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F3DD0DE-49AD-47EC-9654-39F7B10A5154}"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15">'ICR Computation 30'!$A$1:$H$45</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8" i="11" l="1"/>
  <c r="D13" i="11"/>
  <c r="E10" i="108" l="1"/>
  <c r="E9" i="108"/>
  <c r="E8" i="108"/>
  <c r="J33" i="8"/>
  <c r="D264" i="29"/>
  <c r="D266" i="29"/>
  <c r="D267" i="29"/>
  <c r="D268" i="29"/>
  <c r="D245" i="29"/>
  <c r="D254" i="29"/>
  <c r="D223" i="29"/>
  <c r="D219" i="29"/>
  <c r="D75" i="29"/>
  <c r="C75" i="29"/>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F28" i="183" s="1"/>
  <c r="E27" i="183"/>
  <c r="F27" i="183" s="1"/>
  <c r="E26" i="183"/>
  <c r="E25" i="183"/>
  <c r="E24" i="183"/>
  <c r="E23" i="183"/>
  <c r="E22" i="183"/>
  <c r="E21" i="183"/>
  <c r="E20" i="183"/>
  <c r="F20" i="183" s="1"/>
  <c r="E19" i="183"/>
  <c r="F19" i="183" s="1"/>
  <c r="E18" i="183"/>
  <c r="F18" i="183" s="1"/>
  <c r="E17" i="183"/>
  <c r="F17" i="183" s="1"/>
  <c r="F80" i="34" l="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F52" i="34" l="1"/>
  <c r="B7831" i="106" s="1"/>
  <c r="D7831" i="106" s="1"/>
  <c r="B7189" i="106"/>
  <c r="D7189" i="106" s="1"/>
  <c r="E64" i="184"/>
  <c r="N64" i="184" s="1"/>
  <c r="B7153" i="106"/>
  <c r="D7153" i="106" s="1"/>
  <c r="E60" i="184"/>
  <c r="N60" i="184" s="1"/>
  <c r="C352" i="29"/>
  <c r="H76" i="4"/>
  <c r="B3298" i="106" s="1"/>
  <c r="D3298" i="106" s="1"/>
  <c r="B1274" i="106"/>
  <c r="D1274" i="106" s="1"/>
  <c r="H12" i="184"/>
  <c r="J129" i="29"/>
  <c r="B7038" i="106" s="1"/>
  <c r="D7038" i="106" s="1"/>
  <c r="C129" i="29"/>
  <c r="B1225" i="106" s="1"/>
  <c r="D1225" i="106" s="1"/>
  <c r="B7198" i="106"/>
  <c r="D7198" i="106" s="1"/>
  <c r="E65" i="184"/>
  <c r="N65" i="184" s="1"/>
  <c r="B7162" i="106"/>
  <c r="D7162" i="106" s="1"/>
  <c r="E61" i="184"/>
  <c r="N61" i="184" s="1"/>
  <c r="B7126" i="106"/>
  <c r="D7126" i="106" s="1"/>
  <c r="E57" i="184"/>
  <c r="G39" i="108"/>
  <c r="B7696" i="106"/>
  <c r="D7696" i="106" s="1"/>
  <c r="E66" i="184"/>
  <c r="N66" i="184" s="1"/>
  <c r="B7171" i="106"/>
  <c r="D7171" i="106" s="1"/>
  <c r="E62" i="184"/>
  <c r="N62" i="184" s="1"/>
  <c r="B7135" i="106"/>
  <c r="D7135" i="106" s="1"/>
  <c r="E58" i="184"/>
  <c r="N58" i="184" s="1"/>
  <c r="B7705" i="106"/>
  <c r="D7705" i="106" s="1"/>
  <c r="E67" i="184"/>
  <c r="N67" i="184" s="1"/>
  <c r="H365" i="29"/>
  <c r="B7242" i="106" s="1"/>
  <c r="D7242" i="106" s="1"/>
  <c r="H15" i="184"/>
  <c r="F34" i="34"/>
  <c r="B7826" i="106" s="1"/>
  <c r="D7826" i="106" s="1"/>
  <c r="D31" i="108"/>
  <c r="E16" i="184"/>
  <c r="H16" i="184"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342" i="29" l="1"/>
  <c r="F13" i="34" s="1"/>
  <c r="F41" i="108"/>
  <c r="G43" i="108" s="1"/>
  <c r="B1381" i="106"/>
  <c r="D1381" i="106" s="1"/>
  <c r="L114" i="29"/>
  <c r="B5527" i="106"/>
  <c r="D5527" i="106" s="1"/>
  <c r="H77" i="4"/>
  <c r="B3299" i="106" s="1"/>
  <c r="D3299" i="106" s="1"/>
  <c r="B6216" i="106"/>
  <c r="D6216" i="106" s="1"/>
  <c r="D44" i="36"/>
  <c r="E367" i="29"/>
  <c r="B3635" i="106"/>
  <c r="C151" i="29"/>
  <c r="B1226" i="106" s="1"/>
  <c r="D1226" i="106" s="1"/>
  <c r="E19" i="184"/>
  <c r="H19" i="184"/>
  <c r="L20" i="184" s="1"/>
  <c r="L16" i="11"/>
  <c r="B2061" i="106" s="1"/>
  <c r="D2061" i="106" s="1"/>
  <c r="N57" i="184"/>
  <c r="N68" i="184" s="1"/>
  <c r="E68" i="184"/>
  <c r="B7220" i="106"/>
  <c r="D7220" i="106" s="1"/>
  <c r="F75" i="34"/>
  <c r="B7886" i="106" s="1"/>
  <c r="D7886" i="106" s="1"/>
  <c r="B7222" i="106"/>
  <c r="D7222" i="106" s="1"/>
  <c r="F76" i="34"/>
  <c r="B7887" i="106" s="1"/>
  <c r="D7887" i="106" s="1"/>
  <c r="N23" i="3"/>
  <c r="B284" i="106" s="1"/>
  <c r="D284" i="106" s="1"/>
  <c r="B7235" i="106"/>
  <c r="D72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2567" i="106"/>
  <c r="D2567" i="106" s="1"/>
  <c r="B6227" i="106" l="1"/>
  <c r="D6227" i="106" s="1"/>
  <c r="F77" i="34"/>
  <c r="B7834" i="106" s="1"/>
  <c r="D7834" i="106" s="1"/>
  <c r="F8" i="4"/>
  <c r="B6223" i="106"/>
  <c r="D6223"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<sst xmlns="http://schemas.openxmlformats.org/spreadsheetml/2006/main" count="5171" uniqueCount="2094">
  <si>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</si>
  <si>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</si>
  <si>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</si>
  <si>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</si>
  <si>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</si>
  <si>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</si>
  <si>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</si>
  <si>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</si>
  <si>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</si>
  <si>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</si>
  <si>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</si>
  <si>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</si>
  <si>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</si>
  <si>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</si>
  <si>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</si>
  <si>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</si>
  <si>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</si>
  <si>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</si>
  <si>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</si>
  <si>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</si>
  <si>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</si>
  <si>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</si>
  <si>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</si>
  <si>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</si>
  <si>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</si>
  <si>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</si>
  <si>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</si>
  <si>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</si>
  <si>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</si>
  <si>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</si>
  <si>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</si>
  <si>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</si>
  <si>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</si>
  <si>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</si>
  <si>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</si>
  <si>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</si>
  <si>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</si>
  <si>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</si>
  <si>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</si>
  <si>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</si>
  <si>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</si>
  <si>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</si>
  <si>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</si>
  <si>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</si>
  <si>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</si>
  <si>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</si>
  <si>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</si>
  <si>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</si>
  <si>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</si>
  <si>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</si>
  <si>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</si>
  <si>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</si>
  <si>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</si>
  <si>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</si>
  <si>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</si>
  <si>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</si>
  <si>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</si>
  <si>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</si>
  <si>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</si>
  <si>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</si>
  <si>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</si>
  <si>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</si>
  <si>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</si>
  <si>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</si>
  <si>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</si>
  <si>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</si>
  <si>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</si>
  <si>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</si>
  <si>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</si>
  <si>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</si>
  <si>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</si>
  <si>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</si>
  <si>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</si>
  <si>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</si>
  <si>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</si>
  <si>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</si>
  <si>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</si>
  <si>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</si>
  <si>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</si>
  <si>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</si>
  <si>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</si>
  <si>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</si>
  <si>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</si>
  <si>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</si>
  <si>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</si>
  <si>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</si>
  <si>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</si>
  <si>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</si>
  <si>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</si>
  <si>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</si>
  <si>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</si>
  <si>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</si>
  <si>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</si>
  <si>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</si>
  <si>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</si>
  <si>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</si>
  <si>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</si>
  <si>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</si>
  <si>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</si>
  <si>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</si>
  <si>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</si>
  <si>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</si>
  <si>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</si>
  <si>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</si>
  <si>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</si>
  <si>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</si>
  <si>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</si>
  <si>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</si>
  <si>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</si>
  <si>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</si>
  <si>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</si>
  <si>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</si>
  <si>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</si>
  <si>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</si>
  <si>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</si>
  <si>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</si>
  <si>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</si>
  <si>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</si>
  <si>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</si>
  <si>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</si>
  <si>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</si>
  <si>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</si>
  <si>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</si>
  <si>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</si>
  <si>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</si>
  <si>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</si>
  <si>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</si>
  <si>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</si>
  <si>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</si>
  <si>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</si>
  <si>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</si>
  <si>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</si>
  <si>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</si>
  <si>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</si>
  <si>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</si>
  <si>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</si>
  <si>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</si>
  <si>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</si>
  <si>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</si>
  <si>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</si>
  <si>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</si>
  <si>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</si>
  <si>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</si>
  <si>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</si>
  <si>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</si>
  <si>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</si>
  <si>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</si>
  <si>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</si>
  <si>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</si>
  <si>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</si>
  <si>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</si>
  <si>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</si>
  <si>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</si>
  <si>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</si>
  <si>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</si>
  <si>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</si>
  <si>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</si>
  <si>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</si>
  <si>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</si>
  <si>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</si>
  <si>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</si>
  <si>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</si>
  <si>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</si>
  <si>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</si>
  <si>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</si>
  <si>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</si>
  <si>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</si>
  <si>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</si>
  <si>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</si>
  <si>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</si>
  <si>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</si>
  <si>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</si>
  <si>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</si>
  <si>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</si>
  <si>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</si>
  <si>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</si>
  <si>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</si>
  <si>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</si>
  <si>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</si>
  <si>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</si>
  <si>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</si>
  <si>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</si>
  <si>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</si>
  <si>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</si>
  <si>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</si>
  <si>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</si>
  <si>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</si>
  <si>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</si>
  <si>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</si>
  <si>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</si>
  <si>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</si>
  <si>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</si>
  <si>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</si>
  <si>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</si>
  <si>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</si>
  <si>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</si>
  <si>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</si>
  <si>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</si>
  <si>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</si>
  <si>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</si>
  <si>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</si>
  <si>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</si>
  <si>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</si>
  <si>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</si>
  <si>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</si>
  <si>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</si>
  <si>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</si>
  <si>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</si>
  <si>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</si>
  <si>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</si>
  <si>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</si>
  <si>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</si>
  <si>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</si>
  <si>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</si>
  <si>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</si>
  <si>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</si>
  <si>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</si>
  <si>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</si>
  <si>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</si>
  <si>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</si>
  <si>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</si>
  <si>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</si>
  <si>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</si>
  <si>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</si>
  <si>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</si>
  <si>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</si>
  <si>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</si>
  <si>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</si>
  <si>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</si>
  <si>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</si>
  <si>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</si>
  <si>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</si>
  <si>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</si>
  <si>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</si>
  <si>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</si>
  <si>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</si>
  <si>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</si>
  <si>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</si>
  <si>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</si>
  <si>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</si>
  <si>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</si>
  <si>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</si>
  <si>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</si>
  <si>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</si>
  <si>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</si>
  <si>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</si>
  <si>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</si>
  <si>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</si>
  <si>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</si>
  <si>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</si>
  <si>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</si>
  <si>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</si>
  <si>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</si>
  <si>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</si>
  <si>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</si>
  <si>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</si>
  <si>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</si>
  <si>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</si>
  <si>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</si>
  <si>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</si>
  <si>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</si>
  <si>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</si>
  <si>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</si>
  <si>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</si>
  <si>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</si>
  <si>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</si>
  <si>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</si>
  <si>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</si>
  <si>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</si>
  <si>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</si>
  <si>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</si>
  <si>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</si>
  <si>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</si>
  <si>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</si>
  <si>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</si>
  <si>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</si>
  <si>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</si>
  <si>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</si>
  <si>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</si>
  <si>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</si>
  <si>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</si>
  <si>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</si>
  <si>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</si>
  <si>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</si>
  <si>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</si>
  <si>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</si>
  <si>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</si>
  <si>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</si>
  <si>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</si>
  <si>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</si>
  <si>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</si>
  <si>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</si>
  <si>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</si>
  <si>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</si>
  <si>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</si>
  <si>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</si>
  <si>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</si>
  <si>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</si>
  <si>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</si>
  <si>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</si>
  <si>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</si>
  <si>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</si>
  <si>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</si>
  <si>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</si>
  <si>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</si>
  <si>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</si>
  <si>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</si>
  <si>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</si>
  <si>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</si>
  <si>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</si>
  <si>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</si>
  <si>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</si>
  <si>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</si>
  <si>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</si>
  <si>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</si>
  <si>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</si>
  <si>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</si>
  <si>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</si>
  <si>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</si>
  <si>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</si>
  <si>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</si>
  <si>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</si>
  <si>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</si>
  <si>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</si>
  <si>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</si>
  <si>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</si>
  <si>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</si>
  <si>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</si>
  <si>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</si>
  <si>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</si>
  <si>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</si>
  <si>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</si>
  <si>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</si>
  <si>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</si>
  <si>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</si>
  <si>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</si>
  <si>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</si>
  <si>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</si>
  <si>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</si>
  <si>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</si>
  <si>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</si>
  <si>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</si>
  <si>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</si>
  <si>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</si>
  <si>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</si>
  <si>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</si>
  <si>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</si>
  <si>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</si>
  <si>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</si>
  <si>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</si>
  <si>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</si>
  <si>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</si>
  <si>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</si>
  <si>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</si>
  <si>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</si>
  <si>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</si>
  <si>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</si>
  <si>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</si>
  <si>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</si>
  <si>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</si>
  <si>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</si>
  <si>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</si>
  <si>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</si>
  <si>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</si>
  <si>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</si>
  <si>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</si>
  <si>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</si>
  <si>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</si>
  <si>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</si>
  <si>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</si>
  <si>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</si>
  <si>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</si>
  <si>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</si>
  <si>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</si>
  <si>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</si>
  <si>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</si>
  <si>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</si>
  <si>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</si>
  <si>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</si>
  <si>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</si>
  <si>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</si>
  <si>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</si>
  <si>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</si>
  <si>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</si>
  <si>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</si>
  <si>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</si>
  <si>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</si>
  <si>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</si>
  <si>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</si>
  <si>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</si>
  <si>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</si>
  <si>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</si>
  <si>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</si>
  <si>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</si>
  <si>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</si>
  <si>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</si>
  <si>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</si>
  <si>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</si>
  <si>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</si>
  <si>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</si>
  <si>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</si>
  <si>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</si>
  <si>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</si>
  <si>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</si>
  <si>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</si>
  <si>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</si>
  <si>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</si>
  <si>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</si>
  <si>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</si>
  <si>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</si>
  <si>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</si>
  <si>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</si>
  <si>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</si>
  <si>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</si>
  <si>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</si>
  <si>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</si>
  <si>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</si>
  <si>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</si>
  <si>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</si>
  <si>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</si>
  <si>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</si>
  <si>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</si>
  <si>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</si>
  <si>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</si>
  <si>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</si>
  <si>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</si>
  <si>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</si>
  <si>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</si>
  <si>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</si>
  <si>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</si>
  <si>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</si>
  <si>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</si>
  <si>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</si>
  <si>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</si>
  <si>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</si>
  <si>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</si>
  <si>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</si>
  <si>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</si>
  <si>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</si>
  <si>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</si>
  <si>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</si>
  <si>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</si>
  <si>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</si>
  <si>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</si>
  <si>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</si>
  <si>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</si>
  <si>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</si>
  <si>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</si>
  <si>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</si>
  <si>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</si>
  <si>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</si>
  <si>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</si>
  <si>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</si>
  <si>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</si>
  <si>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</si>
  <si>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</si>
  <si>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</si>
  <si>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</si>
  <si>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</si>
  <si>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</si>
  <si>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</si>
  <si>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</si>
  <si>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</si>
  <si>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</si>
  <si>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</si>
  <si>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</si>
  <si>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</si>
  <si>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</si>
  <si>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</si>
  <si>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</si>
  <si>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</si>
  <si>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</si>
  <si>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</si>
  <si>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</si>
  <si>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</si>
  <si>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</si>
  <si>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</si>
  <si>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</si>
  <si>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</si>
  <si>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</si>
  <si>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</si>
  <si>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</si>
  <si>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</si>
  <si>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</si>
  <si>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</si>
  <si>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</si>
  <si>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</si>
  <si>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</si>
  <si>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</si>
  <si>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</si>
  <si>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</si>
  <si>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</si>
  <si>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</si>
  <si>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</si>
  <si>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</si>
  <si>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</si>
  <si>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</si>
  <si>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</si>
  <si>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</si>
  <si>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</si>
  <si>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</si>
  <si>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</si>
  <si>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</si>
  <si>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</si>
  <si>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</si>
  <si>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</si>
  <si>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</si>
  <si>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</si>
  <si>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</si>
  <si>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</si>
  <si>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</si>
  <si>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</si>
  <si>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</si>
  <si>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</si>
  <si>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</si>
  <si>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</si>
  <si>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</si>
  <si>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</si>
  <si>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</si>
  <si>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</si>
  <si>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</si>
  <si>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</si>
  <si>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</si>
  <si>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</si>
  <si>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</si>
  <si>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</si>
  <si>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</si>
  <si>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</si>
  <si>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</si>
  <si>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</si>
  <si>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</si>
  <si>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</si>
  <si>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</si>
  <si>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</si>
  <si>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</si>
  <si>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</si>
  <si>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</si>
  <si>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</si>
  <si>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</si>
  <si>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</si>
  <si>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</si>
  <si>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</si>
  <si>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</si>
  <si>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</si>
  <si>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</si>
  <si>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</si>
  <si>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</si>
  <si>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</si>
  <si>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</si>
  <si>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</si>
  <si>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</si>
  <si>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</si>
  <si>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</si>
  <si>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</si>
  <si>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</si>
  <si>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</si>
  <si>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</si>
  <si>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</si>
  <si>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</si>
  <si>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</si>
  <si>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</si>
  <si>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</si>
  <si>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</si>
  <si>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</si>
  <si>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</si>
  <si>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</si>
  <si>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</si>
  <si>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</si>
  <si>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</si>
  <si>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</si>
  <si>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</si>
  <si>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</si>
  <si>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</si>
  <si>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</si>
  <si>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</si>
  <si>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</si>
  <si>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</si>
  <si>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</si>
  <si>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</si>
  <si>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</si>
  <si>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</si>
  <si>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</si>
  <si>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</si>
  <si>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</si>
  <si>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</si>
  <si>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</si>
  <si>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</si>
  <si>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</si>
  <si>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</si>
  <si>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</si>
  <si>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</si>
  <si>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</si>
  <si>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</si>
  <si>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</si>
  <si>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</si>
  <si>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</si>
  <si>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</si>
  <si>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</si>
  <si>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</si>
  <si>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</si>
  <si>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</si>
  <si>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</si>
  <si>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</si>
  <si>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</si>
  <si>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</si>
  <si>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</si>
  <si>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</si>
  <si>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</si>
  <si>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</si>
  <si>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</si>
  <si>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</si>
  <si>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</si>
  <si>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</si>
  <si>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</si>
  <si>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</si>
  <si>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</si>
  <si>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</si>
  <si>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</si>
  <si>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</si>
  <si>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</si>
  <si>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</si>
  <si>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</si>
  <si>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</si>
  <si>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</si>
  <si>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</si>
  <si>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</si>
  <si>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</si>
  <si>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</si>
  <si>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</si>
  <si>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</si>
  <si>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</si>
  <si>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</si>
  <si>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</si>
  <si>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</si>
  <si>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</si>
  <si>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</si>
  <si>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</si>
  <si>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</si>
  <si>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</si>
  <si>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</si>
  <si>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</si>
  <si>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</si>
  <si>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</si>
  <si>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</si>
  <si>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</si>
  <si>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</si>
  <si>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</si>
  <si>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</si>
  <si>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</si>
  <si>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</si>
  <si>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</si>
  <si>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</si>
  <si>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</si>
  <si>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</si>
  <si>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</si>
  <si>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</si>
  <si>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</si>
  <si>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</si>
  <si>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</si>
  <si>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</si>
  <si>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</si>
  <si>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</si>
  <si>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</si>
  <si>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</si>
  <si>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</si>
  <si>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</si>
  <si>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</si>
  <si>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</si>
  <si>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</si>
  <si>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</si>
  <si>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</si>
  <si>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</si>
  <si>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</si>
  <si>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</si>
  <si>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</si>
  <si>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</si>
  <si>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</si>
  <si>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</si>
  <si>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</si>
  <si>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</si>
  <si>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</si>
  <si>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</si>
  <si>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</si>
  <si>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</si>
  <si>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</si>
  <si>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</si>
  <si>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</si>
  <si>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</si>
  <si>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</si>
  <si>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</si>
  <si>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</si>
  <si>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</si>
  <si>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</si>
  <si>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</si>
  <si>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</si>
  <si>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</si>
  <si>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</si>
  <si>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</si>
  <si>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</si>
  <si>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</si>
  <si>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</si>
  <si>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</si>
  <si>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</si>
  <si>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</si>
  <si>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</si>
  <si>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</si>
  <si>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</si>
  <si>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</si>
  <si>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</si>
  <si>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</si>
  <si>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</si>
  <si>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</si>
  <si>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</si>
  <si>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</si>
  <si>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</si>
  <si>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</si>
  <si>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</si>
  <si>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</si>
  <si>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</si>
  <si>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</si>
  <si>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</si>
  <si>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</si>
  <si>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</si>
  <si>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</si>
  <si>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</si>
  <si>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</si>
  <si>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</si>
  <si>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</si>
  <si>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</si>
  <si>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</si>
  <si>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</si>
  <si>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</si>
  <si>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</si>
  <si>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</si>
  <si>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</si>
  <si>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</si>
  <si>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</si>
  <si>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</si>
  <si>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</si>
  <si>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</si>
  <si>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</si>
  <si>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</si>
  <si>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</si>
  <si>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</si>
  <si>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</si>
  <si>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</si>
  <si>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</si>
  <si>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</si>
  <si>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</si>
  <si>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</si>
  <si>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</si>
  <si>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</si>
  <si>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</si>
  <si>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</si>
  <si>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</si>
  <si>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</si>
  <si>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</si>
  <si>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</si>
  <si>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</si>
  <si>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</si>
  <si>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</si>
  <si>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</si>
  <si>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</si>
  <si>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</si>
  <si>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</si>
  <si>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</si>
  <si>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</si>
  <si>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</si>
  <si>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</si>
  <si>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</si>
  <si>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</si>
  <si>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</si>
  <si>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</si>
  <si>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</si>
  <si>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</si>
  <si>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</si>
  <si>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</si>
  <si>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</si>
  <si>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</si>
  <si>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</si>
  <si>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</si>
  <si>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</si>
  <si>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</si>
  <si>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</si>
  <si>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</si>
  <si>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</si>
  <si>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</si>
  <si>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</si>
  <si>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</si>
  <si>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</si>
  <si>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</si>
  <si>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</si>
  <si>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</si>
  <si>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</si>
  <si>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</si>
  <si>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</si>
  <si>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</si>
  <si>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</si>
  <si>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</si>
  <si>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</si>
  <si>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</si>
  <si>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</si>
  <si>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</si>
  <si>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</si>
  <si>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</si>
  <si>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</si>
  <si>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</si>
  <si>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</si>
  <si>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</si>
  <si>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</si>
  <si>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</si>
  <si>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</si>
  <si>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</si>
  <si>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</si>
  <si>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</si>
  <si>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</si>
  <si>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</si>
  <si>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</si>
  <si>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</si>
  <si>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</si>
  <si>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</si>
  <si>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</si>
  <si>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</si>
  <si>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</si>
  <si>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</si>
  <si>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</si>
  <si>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</si>
  <si>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</si>
  <si>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</si>
  <si>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</si>
  <si>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</si>
  <si>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</si>
  <si>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</si>
  <si>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</si>
  <si>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</si>
  <si>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</si>
  <si>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</si>
  <si>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</si>
  <si>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</si>
  <si>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</si>
  <si>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</si>
  <si>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</si>
  <si>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</si>
  <si>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</si>
  <si>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</si>
  <si>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</si>
  <si>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</si>
  <si>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</si>
  <si>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</si>
  <si>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</si>
  <si>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</si>
  <si>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</si>
  <si>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</si>
  <si>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</si>
  <si>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</si>
  <si>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</si>
  <si>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</si>
  <si>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</si>
  <si>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</si>
  <si>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</si>
  <si>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</si>
  <si>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</si>
  <si>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</si>
  <si>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</si>
  <si>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</si>
  <si>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</si>
  <si>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</si>
  <si>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</si>
  <si>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</si>
  <si>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</si>
  <si>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</si>
  <si>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</si>
  <si>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</si>
  <si>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</si>
  <si>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</si>
  <si>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</si>
  <si>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</si>
  <si>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</si>
  <si>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</si>
  <si>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</si>
  <si>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</si>
  <si>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</si>
  <si>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</si>
  <si>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</si>
  <si>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</si>
  <si>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</si>
  <si>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</si>
  <si>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</si>
  <si>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</si>
  <si>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</si>
  <si>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</si>
  <si>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</si>
  <si>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</si>
  <si>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</si>
  <si>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</si>
  <si>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</si>
  <si>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</si>
  <si>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</si>
  <si>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</si>
  <si>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</si>
  <si>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</si>
  <si>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</si>
  <si>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</si>
  <si>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</si>
  <si>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</si>
  <si>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</si>
  <si>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</si>
  <si>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</si>
  <si>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</si>
  <si>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</si>
  <si>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</si>
  <si>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</si>
  <si>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</si>
  <si>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</si>
  <si>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</si>
  <si>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</si>
  <si>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</si>
  <si>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</si>
  <si>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</si>
  <si>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</si>
  <si>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</si>
  <si>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</si>
  <si>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</si>
  <si>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</si>
  <si>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</si>
  <si>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</si>
  <si>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</si>
  <si>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</si>
  <si>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</si>
  <si>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</si>
  <si>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</si>
  <si>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</si>
  <si>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</si>
  <si>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</si>
  <si>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</si>
  <si>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</si>
  <si>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</si>
  <si>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</si>
  <si>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</si>
  <si>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</si>
  <si>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</si>
  <si>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</si>
  <si>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</si>
  <si>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</si>
  <si>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</si>
  <si>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</si>
  <si>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</si>
  <si>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</si>
  <si>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</si>
  <si>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</si>
  <si>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</si>
  <si>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</si>
  <si>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</si>
  <si>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</si>
  <si>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</si>
  <si>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</si>
  <si>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</si>
  <si>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</si>
  <si>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</si>
  <si>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</si>
  <si>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</si>
  <si>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</si>
  <si>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</si>
  <si>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</si>
  <si>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</si>
  <si>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</si>
  <si>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</si>
  <si>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</si>
  <si>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</si>
  <si>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</si>
  <si>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</si>
  <si>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</si>
  <si>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</si>
  <si>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</si>
  <si>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</si>
  <si>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</si>
  <si>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</si>
  <si>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</si>
  <si>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</si>
  <si>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</si>
  <si>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</si>
  <si>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</si>
  <si>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</si>
  <si>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</si>
  <si>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</si>
  <si>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</si>
  <si>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</si>
  <si>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</si>
  <si>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</si>
  <si>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</si>
  <si>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</si>
  <si>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</si>
  <si>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</si>
  <si>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</si>
  <si>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</si>
  <si>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</si>
  <si>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</si>
  <si>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</si>
  <si>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</si>
  <si>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</si>
  <si>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</si>
  <si>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</si>
  <si>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</si>
  <si>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</si>
  <si>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</si>
  <si>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</si>
  <si>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</si>
  <si>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</si>
  <si>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</si>
  <si>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</si>
  <si>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</si>
  <si>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</si>
  <si>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</si>
  <si>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</si>
  <si>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</si>
  <si>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</si>
  <si>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</si>
  <si>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</si>
  <si>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</si>
  <si>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</si>
  <si>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</si>
  <si>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</si>
  <si>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</si>
  <si>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</si>
  <si>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</si>
  <si>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</si>
  <si>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</si>
  <si>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</si>
  <si>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</si>
  <si>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</si>
  <si>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</si>
  <si>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</si>
  <si>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</si>
  <si>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</si>
  <si>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</si>
  <si>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</si>
  <si>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</si>
  <si>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</si>
  <si>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</si>
  <si>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</si>
  <si>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</si>
  <si>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</si>
  <si>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</si>
  <si>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</si>
  <si>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</si>
  <si>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</si>
  <si>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</si>
  <si>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</si>
  <si>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</si>
  <si>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</si>
  <si>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</si>
  <si>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</si>
  <si>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</si>
  <si>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</si>
  <si>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</si>
  <si>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</si>
  <si>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</si>
  <si>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</si>
  <si>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</si>
  <si>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</si>
  <si>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</si>
  <si>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</si>
  <si>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</si>
  <si>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</si>
  <si>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</si>
  <si>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</si>
  <si>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</si>
  <si>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</si>
  <si>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</si>
  <si>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</si>
  <si>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</si>
  <si>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</si>
  <si>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</si>
  <si>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</si>
  <si>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</si>
  <si>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</si>
  <si>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</si>
  <si>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</si>
  <si>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</si>
  <si>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</si>
  <si>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</si>
  <si>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</si>
  <si>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</si>
  <si>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</si>
  <si>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</si>
  <si>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</si>
  <si>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</si>
  <si>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</si>
  <si>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</si>
  <si>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</si>
  <si>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</si>
  <si>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</si>
  <si>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</si>
  <si>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</si>
  <si>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</si>
  <si>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</si>
  <si>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</si>
  <si>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</si>
  <si>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</si>
  <si>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</si>
  <si>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</si>
  <si>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</si>
  <si>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</si>
  <si>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</si>
  <si>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</si>
  <si>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</si>
  <si>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</si>
  <si>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</si>
  <si>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</si>
  <si>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</si>
  <si>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</si>
  <si>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</si>
  <si>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</si>
  <si>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</si>
  <si>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</si>
  <si>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</si>
  <si>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</si>
  <si>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</si>
  <si>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</si>
  <si>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</si>
  <si>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</si>
  <si>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</si>
  <si>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</si>
  <si>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</si>
  <si>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</si>
  <si>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</si>
  <si>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</si>
  <si>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</si>
  <si>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</si>
  <si>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</si>
  <si>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</si>
  <si>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</si>
  <si>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</si>
  <si>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</si>
  <si>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</si>
  <si>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</si>
  <si>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</si>
  <si>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</si>
  <si>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</si>
  <si>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</si>
  <si>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</si>
  <si>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</si>
  <si>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</si>
  <si>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</si>
  <si>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</si>
  <si>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</si>
  <si>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</si>
  <si>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</si>
  <si>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</si>
  <si>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</si>
  <si>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</si>
  <si>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</si>
  <si>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</si>
  <si>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</si>
  <si>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</si>
  <si>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</si>
  <si>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</si>
  <si>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</si>
  <si>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</si>
  <si>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</si>
  <si>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</si>
  <si>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</si>
  <si>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</si>
  <si>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</si>
  <si>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</si>
  <si>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</si>
  <si>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</si>
  <si>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</si>
  <si>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</si>
  <si>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</si>
  <si>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</si>
  <si>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</si>
  <si>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</si>
  <si>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</si>
  <si>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</si>
  <si>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</si>
  <si>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</si>
  <si>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</si>
  <si>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</si>
  <si>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</si>
  <si>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</si>
  <si>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</si>
  <si>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</si>
  <si>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</si>
  <si>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</si>
  <si>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</si>
  <si>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</si>
  <si>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</si>
  <si>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</si>
  <si>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</si>
  <si>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</si>
  <si>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</si>
  <si>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</si>
  <si>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</si>
  <si>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</si>
  <si>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</si>
  <si>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</si>
  <si>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</si>
  <si>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</si>
  <si>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</si>
  <si>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</si>
  <si>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</si>
  <si>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</si>
  <si>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</si>
  <si>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</si>
  <si>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</si>
  <si>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</si>
  <si>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</si>
  <si>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</si>
  <si>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</si>
  <si>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</si>
  <si>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</si>
  <si>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</si>
  <si>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</si>
  <si>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</si>
  <si>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</si>
  <si>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</si>
  <si>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</si>
  <si>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</si>
  <si>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</si>
  <si>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</si>
  <si>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</si>
  <si>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</si>
  <si>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</si>
  <si>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</si>
  <si>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</si>
  <si>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</si>
  <si>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</si>
  <si>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</si>
  <si>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</si>
  <si>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</si>
  <si>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</si>
  <si>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</si>
  <si>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</si>
  <si>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</si>
  <si>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</si>
  <si>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</si>
  <si>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</si>
  <si>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</si>
  <si>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</si>
  <si>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</si>
  <si>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</si>
  <si>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</si>
  <si>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</si>
  <si>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</si>
  <si>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</si>
  <si>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</si>
  <si>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</si>
  <si>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</si>
  <si>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</si>
  <si>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</si>
  <si>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</si>
  <si>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</si>
  <si>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</si>
  <si>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</si>
  <si>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</si>
  <si>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</si>
  <si>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</si>
  <si>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</si>
  <si>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</si>
  <si>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</si>
  <si>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</si>
  <si>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</si>
  <si>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</si>
  <si>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</si>
  <si>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</si>
  <si>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</si>
  <si>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</si>
  <si>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</si>
  <si>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</si>
  <si>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</si>
  <si>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</si>
  <si>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</si>
  <si>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</si>
  <si>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</si>
  <si>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</si>
  <si>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</si>
  <si>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</si>
  <si>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</si>
  <si>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</si>
  <si>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</si>
  <si>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</si>
  <si>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</si>
  <si>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</si>
  <si>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</si>
  <si>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</si>
  <si>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</si>
  <si>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</si>
  <si>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</si>
  <si>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</si>
  <si>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</si>
  <si>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</si>
  <si>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</si>
  <si>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</si>
  <si>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</si>
  <si>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</si>
  <si>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</si>
  <si>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</si>
  <si>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</si>
  <si>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</si>
  <si>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</si>
  <si>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</si>
  <si>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</si>
  <si>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</si>
  <si>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</si>
  <si>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</si>
  <si>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</si>
  <si>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</si>
  <si>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</si>
  <si>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</si>
  <si>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</si>
  <si>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</si>
  <si>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</si>
  <si>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</si>
  <si>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</si>
  <si>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</si>
  <si>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</si>
  <si>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</si>
  <si>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</si>
  <si>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</si>
  <si>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</si>
  <si>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</si>
  <si>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</si>
  <si>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</si>
  <si>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</si>
  <si>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</si>
  <si>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</si>
  <si>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</si>
  <si>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</si>
  <si>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</si>
  <si>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</si>
  <si>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</si>
  <si>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</si>
  <si>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</si>
  <si>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</si>
  <si>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</si>
  <si>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</si>
  <si>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</si>
  <si>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</si>
  <si>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</si>
  <si>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</si>
  <si>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</si>
  <si>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</si>
  <si>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</si>
  <si>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</si>
  <si>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</si>
  <si>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</si>
  <si>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</si>
  <si>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</si>
  <si>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</si>
  <si>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</si>
  <si>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</si>
  <si>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</si>
  <si>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</si>
  <si>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</si>
  <si>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</si>
  <si>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</si>
  <si>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</si>
  <si>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</si>
  <si>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</si>
  <si>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</si>
  <si>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</si>
  <si>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</si>
  <si>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</si>
  <si>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</si>
  <si>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</si>
  <si>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</si>
  <si>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</si>
  <si>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</si>
  <si>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</si>
  <si>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</si>
  <si>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</si>
  <si>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</si>
  <si>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</si>
  <si>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</si>
  <si>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</si>
  <si>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</si>
  <si>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</si>
  <si>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</si>
  <si>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</si>
  <si>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</si>
  <si>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</si>
  <si>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</si>
  <si>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</si>
  <si>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</si>
  <si>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</si>
  <si>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</si>
  <si>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</si>
  <si>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</si>
  <si>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</si>
  <si>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</si>
  <si>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</si>
  <si>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</si>
  <si>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</si>
  <si>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</si>
  <si>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</si>
  <si>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</si>
  <si>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</si>
  <si>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</si>
  <si>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</si>
  <si>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</si>
  <si>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</si>
  <si>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</si>
  <si>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</si>
  <si>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</si>
  <si>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</si>
  <si>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</si>
  <si>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</si>
  <si>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</si>
  <si>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</si>
  <si>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</si>
  <si>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</si>
  <si>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</si>
  <si>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</si>
  <si>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</si>
  <si>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</si>
  <si>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</si>
  <si>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</si>
  <si>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</si>
  <si>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</si>
  <si>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</si>
  <si>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</si>
  <si>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</si>
  <si>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</si>
  <si>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</si>
  <si>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</si>
  <si>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</si>
  <si>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</si>
  <si>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</si>
  <si>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</si>
  <si>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</si>
  <si>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</si>
  <si>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</si>
  <si>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</si>
  <si>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</si>
  <si>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</si>
  <si>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</si>
  <si>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</si>
  <si>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</si>
  <si>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</si>
  <si>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</si>
  <si>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</si>
  <si>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</si>
  <si>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</si>
  <si>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</si>
  <si>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</si>
  <si>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</si>
  <si>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</si>
  <si>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</si>
  <si>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</si>
  <si>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</si>
  <si>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</si>
  <si>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</si>
  <si>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</si>
  <si>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</si>
  <si>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</si>
  <si>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</si>
  <si>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</si>
  <si>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</si>
  <si>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</si>
  <si>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</si>
  <si>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</si>
  <si>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</si>
  <si>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</si>
  <si>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</si>
  <si>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</si>
  <si>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</si>
  <si>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</si>
  <si>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</si>
  <si>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</si>
  <si>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</si>
  <si>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</si>
  <si>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</si>
  <si>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</si>
  <si>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</si>
  <si>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</si>
  <si>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</si>
  <si>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</si>
  <si>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</si>
  <si>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</si>
  <si>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</si>
  <si>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</si>
  <si>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</si>
  <si>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</si>
  <si>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</si>
  <si>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</si>
  <si>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</si>
  <si>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</si>
  <si>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</si>
  <si>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</si>
  <si>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</si>
  <si>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</si>
  <si>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</si>
  <si>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</si>
  <si>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</si>
  <si>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</si>
  <si>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</si>
  <si>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</si>
  <si>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</si>
  <si>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</si>
  <si>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</si>
  <si>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</si>
  <si>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</si>
  <si>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</si>
  <si>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</si>
  <si>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</si>
  <si>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</si>
  <si>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</si>
  <si>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</si>
  <si>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</si>
  <si>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</si>
  <si>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</si>
  <si>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</si>
  <si>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</si>
  <si>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</si>
  <si>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</si>
  <si>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</si>
  <si>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</si>
  <si>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</si>
  <si>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</si>
  <si>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</si>
  <si>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</si>
  <si>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</si>
  <si>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</si>
  <si>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</si>
  <si>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</si>
  <si>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</si>
  <si>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</si>
  <si>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</si>
  <si>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</si>
  <si>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</si>
  <si>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</si>
  <si>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</si>
  <si>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</si>
  <si>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</si>
  <si>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</si>
  <si>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</si>
  <si>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</si>
  <si>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</si>
  <si>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</si>
  <si>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</si>
  <si>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</si>
  <si>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</si>
  <si>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</si>
  <si>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</si>
  <si>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</si>
  <si>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</si>
  <si>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</si>
  <si>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</si>
  <si>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</si>
  <si>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</si>
  <si>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</si>
  <si>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</si>
  <si>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</si>
  <si>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</si>
  <si>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</si>
  <si>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</si>
  <si>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</si>
  <si>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</si>
  <si>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</si>
  <si>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</si>
  <si>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</si>
  <si>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</si>
  <si>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</si>
  <si>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</si>
  <si>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</si>
  <si>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</si>
  <si>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</si>
  <si>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</si>
  <si>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</si>
  <si>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</si>
  <si>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</si>
  <si>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</si>
  <si>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</si>
  <si>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</si>
  <si>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</si>
  <si>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</si>
  <si>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</si>
  <si>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</si>
  <si>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</si>
  <si>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</si>
  <si>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</si>
  <si>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</si>
  <si>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</si>
  <si>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</si>
  <si>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</si>
  <si>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</si>
  <si>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</si>
  <si>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</si>
  <si>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</si>
  <si>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</si>
  <si>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</si>
  <si>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</si>
  <si>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</si>
  <si>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</si>
  <si>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</si>
  <si>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</si>
  <si>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</si>
  <si>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</si>
  <si>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</si>
  <si>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</si>
  <si>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</si>
  <si>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</si>
  <si>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</si>
  <si>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</si>
  <si>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</si>
  <si>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</si>
  <si>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</si>
  <si>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</si>
  <si>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</si>
  <si>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</si>
  <si>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</si>
  <si>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</si>
  <si>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</si>
  <si>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</si>
  <si>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</si>
  <si>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</si>
  <si>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</si>
  <si>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</si>
  <si>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</si>
  <si>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</si>
  <si>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</si>
  <si>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</si>
  <si>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</si>
  <si>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</si>
  <si>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</si>
  <si>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</si>
  <si>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</si>
  <si>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</si>
  <si>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</si>
  <si>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</si>
  <si>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</si>
  <si>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</si>
  <si>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</si>
  <si>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</si>
  <si>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</si>
  <si>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</si>
  <si>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</si>
  <si>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</si>
  <si>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</si>
  <si>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</si>
  <si>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</si>
  <si>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</si>
  <si>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</si>
  <si>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</si>
  <si>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</si>
  <si>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</si>
  <si>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</si>
  <si>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</si>
  <si>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</si>
  <si>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</si>
  <si>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</si>
  <si>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</si>
  <si>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</si>
  <si>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</si>
  <si>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</si>
  <si>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</si>
  <si>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</si>
  <si>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</si>
  <si>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</si>
  <si>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</si>
  <si>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</si>
  <si>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</si>
  <si>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</si>
  <si>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</si>
  <si>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</si>
  <si>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</si>
  <si>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</si>
  <si>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</si>
  <si>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</si>
  <si>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</si>
  <si>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</si>
  <si>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</si>
  <si>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</si>
  <si>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</si>
  <si>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</si>
  <si>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</si>
  <si>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</si>
  <si>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</si>
  <si>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</si>
  <si>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</si>
  <si>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</si>
  <si>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</si>
  <si>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</si>
  <si>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</si>
  <si>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</si>
  <si>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</si>
  <si>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</si>
  <si>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</si>
  <si>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</si>
  <si>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</si>
  <si>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</si>
  <si>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</si>
  <si>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</si>
  <si>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</si>
  <si>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</si>
  <si>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</si>
  <si>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</si>
  <si>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</si>
  <si>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</si>
  <si>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</si>
  <si>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</si>
  <si>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</si>
  <si>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</si>
  <si>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</si>
  <si>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</si>
  <si>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</si>
  <si>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</si>
  <si>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</si>
  <si>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</si>
  <si>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</si>
  <si>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</si>
  <si>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</si>
  <si>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</si>
  <si>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</si>
  <si>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</si>
  <si>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</si>
  <si>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</si>
  <si>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</si>
  <si>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</si>
  <si>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</si>
  <si>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</si>
  <si>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</si>
  <si>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</si>
  <si>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</si>
  <si>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</si>
  <si>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</si>
  <si>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</si>
  <si>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</si>
  <si>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</si>
  <si>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</si>
  <si>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</si>
  <si>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</si>
  <si>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</si>
  <si>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</si>
  <si>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</si>
  <si>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</si>
  <si>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</si>
  <si>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</si>
  <si>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</si>
  <si>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</si>
  <si>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</si>
  <si>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</si>
  <si>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</si>
  <si>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</si>
  <si>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</si>
  <si>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</si>
  <si>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</si>
  <si>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</si>
  <si>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</si>
  <si>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</si>
  <si>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</si>
  <si>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</si>
  <si>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</si>
  <si>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</si>
  <si>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</si>
  <si>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</si>
  <si>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</si>
  <si>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</si>
  <si>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</si>
  <si>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</si>
  <si>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</si>
  <si>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</si>
  <si>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</si>
  <si>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</si>
  <si>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</si>
  <si>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</si>
  <si>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</si>
  <si>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</si>
  <si>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</si>
  <si>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</si>
  <si>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</si>
  <si>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</si>
  <si>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</si>
  <si>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</si>
  <si>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</si>
  <si>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</si>
  <si>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</si>
  <si>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</si>
  <si>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</si>
  <si>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</si>
  <si>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</si>
  <si>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</si>
  <si>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</si>
  <si>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</si>
  <si>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</si>
  <si>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</si>
  <si>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</si>
  <si>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</si>
  <si>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</si>
  <si>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</si>
  <si>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</si>
  <si>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</si>
  <si>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</si>
  <si>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</si>
  <si>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</si>
  <si>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</si>
  <si>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</si>
  <si>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</si>
  <si>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</si>
  <si>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</si>
  <si>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</si>
  <si>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</si>
  <si>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</si>
  <si>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</si>
  <si>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</si>
  <si>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</si>
  <si>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</si>
  <si>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</si>
  <si>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</si>
  <si>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</si>
  <si>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</si>
  <si>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</si>
  <si>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</si>
  <si>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</si>
  <si>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</si>
  <si>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</si>
  <si>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</si>
  <si>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</si>
  <si>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</si>
  <si>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</si>
  <si>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</si>
  <si>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</si>
  <si>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</si>
  <si>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</si>
  <si>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</si>
  <si>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</si>
  <si>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</si>
  <si>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</si>
  <si>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</si>
  <si>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</si>
  <si>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</si>
  <si>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</si>
  <si>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</si>
  <si>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</si>
  <si>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</si>
  <si>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</si>
  <si>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</si>
  <si>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</si>
  <si>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</si>
  <si>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</si>
  <si>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</si>
  <si>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</si>
  <si>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</si>
  <si>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</si>
  <si>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</si>
  <si>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</si>
  <si>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</si>
  <si>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</si>
  <si>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</si>
  <si>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</si>
  <si>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</si>
  <si>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</si>
  <si>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</si>
  <si>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</si>
  <si>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</si>
  <si>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</si>
  <si>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</si>
  <si>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</si>
  <si>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</si>
  <si>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</si>
  <si>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</si>
  <si>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</si>
  <si>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</si>
  <si>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</si>
  <si>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</si>
  <si>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</si>
  <si>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</si>
  <si>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</si>
  <si>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</si>
  <si>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</si>
  <si>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</si>
  <si>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</si>
  <si>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</si>
  <si>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</si>
  <si>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</si>
  <si>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</si>
  <si>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</si>
  <si>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</si>
  <si>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</si>
  <si>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</si>
  <si>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</si>
  <si>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</si>
  <si>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</si>
  <si>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</si>
  <si>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</si>
  <si>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</si>
  <si>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</si>
  <si>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</si>
  <si>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</si>
  <si>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</si>
  <si>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</si>
  <si>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</si>
  <si>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</si>
  <si>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</si>
  <si>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</si>
  <si>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</si>
  <si>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</si>
  <si>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</si>
  <si>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</si>
  <si>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</si>
  <si>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</si>
  <si>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</si>
  <si>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</si>
  <si>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</si>
  <si>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</si>
  <si>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</si>
  <si>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</si>
  <si>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</si>
  <si>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</si>
  <si>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</si>
  <si>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</si>
  <si>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</si>
  <si>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</si>
  <si>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</si>
  <si>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</si>
  <si>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</si>
  <si>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</si>
  <si>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</si>
  <si>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</si>
  <si>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</si>
  <si>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</si>
  <si>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</si>
  <si>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</si>
  <si>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</si>
  <si>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</si>
  <si>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</si>
  <si>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</si>
  <si>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</si>
  <si>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</si>
  <si>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</si>
  <si>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</si>
  <si>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</si>
  <si>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</si>
  <si>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</si>
  <si>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</si>
  <si>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</si>
  <si>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</si>
  <si>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</si>
  <si>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</si>
  <si>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</si>
  <si>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</si>
  <si>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</si>
  <si>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</si>
  <si>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</si>
  <si>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</si>
  <si>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</si>
  <si>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</si>
  <si>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</si>
  <si>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</si>
  <si>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</si>
  <si>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</si>
  <si>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</si>
  <si>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</si>
  <si>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</si>
  <si>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</si>
  <si>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</si>
  <si>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</si>
  <si>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</si>
  <si>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</si>
  <si>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</si>
  <si>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</si>
  <si>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</si>
  <si>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</si>
  <si>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</si>
  <si>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</si>
  <si>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</si>
  <si>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</si>
  <si>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</si>
  <si>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</si>
  <si>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</si>
  <si>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</si>
  <si>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</si>
  <si>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</si>
  <si>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</si>
  <si>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</si>
  <si>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</si>
  <si>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</si>
  <si>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</si>
  <si>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</si>
  <si>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</si>
  <si>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</si>
  <si>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</si>
  <si>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</si>
  <si>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</si>
  <si>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</si>
  <si>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</si>
  <si>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</si>
  <si>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</si>
  <si>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</si>
  <si>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</si>
  <si>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</si>
  <si>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</si>
  <si>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</si>
  <si>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</si>
  <si>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</si>
  <si>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</si>
  <si>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</si>
  <si>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</si>
  <si>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</si>
  <si>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</si>
  <si>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</si>
  <si>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</si>
  <si>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</si>
  <si>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</si>
  <si>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</si>
  <si>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</si>
  <si>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</si>
  <si>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</si>
  <si>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</si>
  <si>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</si>
  <si>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</si>
  <si>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</si>
  <si>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</si>
  <si>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</si>
  <si>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</si>
  <si>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</si>
  <si>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</si>
  <si>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</si>
  <si>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</si>
  <si>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</si>
  <si>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</si>
  <si>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</si>
  <si>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</si>
  <si>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</si>
  <si>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</si>
  <si>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</si>
  <si>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</si>
  <si>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</si>
  <si>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</si>
  <si>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</si>
  <si>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</si>
  <si>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</si>
  <si>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</si>
  <si>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</si>
  <si>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</si>
  <si>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</si>
  <si>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</si>
  <si>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</si>
  <si>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</si>
  <si>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</si>
  <si>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</si>
  <si>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</si>
  <si>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</si>
  <si>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</si>
  <si>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</si>
  <si>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</si>
  <si>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</si>
  <si>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</si>
  <si>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</si>
  <si>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</si>
  <si>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</si>
  <si>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Fick, Eggemeyer &amp; Williamson</t>
  </si>
  <si>
    <t>Keith Slusser</t>
  </si>
  <si>
    <t>205 S. Main</t>
  </si>
  <si>
    <t>Columbia</t>
  </si>
  <si>
    <t>IL</t>
  </si>
  <si>
    <t>314-845-7999</t>
  </si>
  <si>
    <t>314-845-7770</t>
  </si>
  <si>
    <t>066-005025</t>
  </si>
  <si>
    <t>keith@afewcpas.com</t>
  </si>
  <si>
    <t>St. Clair</t>
  </si>
  <si>
    <t>316 Hickory Street/PO Box 395</t>
  </si>
  <si>
    <t>Smithton</t>
  </si>
  <si>
    <t>hetling@sccsd130.com</t>
  </si>
  <si>
    <t>Page 7 - Line 44 - Transfer from general to pay ISBE loan</t>
  </si>
  <si>
    <t>Page 8 - Line 75 - Payment of capital lease and bond issuance costs</t>
  </si>
  <si>
    <t>Page 11 - Line 107 - Other miscellaneous local revenue</t>
  </si>
  <si>
    <t>Page 18 - Line 171 - Principal on loan payment</t>
  </si>
  <si>
    <t>2009 General Obligation School Bonds</t>
  </si>
  <si>
    <t>2020 General Obligation School Bonds</t>
  </si>
  <si>
    <t>IEC (Illinois Consortium) &amp; Constellation New Energy (Natural Gas)</t>
  </si>
  <si>
    <t>Belleville School District #118</t>
  </si>
  <si>
    <t>Prairie States Ins Coop &amp; IPRF (Workers Comp)</t>
  </si>
  <si>
    <t>Shared cost with district #70 &amp; #77
5
5
0
Share Band Teacher with Freeburg District #77</t>
  </si>
  <si>
    <t>Share Band Teacher with Freeburg District #77</t>
  </si>
  <si>
    <t>Member of BASSC</t>
  </si>
  <si>
    <t>Share Trp Director/Secretary/Bus Garage with District #70 &amp; #77</t>
  </si>
  <si>
    <t>Outsource PT &amp; OT services with 3rd Party, Therakids, P.C.</t>
  </si>
  <si>
    <t>ED-Health Services</t>
  </si>
  <si>
    <t>Therakids</t>
  </si>
  <si>
    <t>ED-Info Services Lease</t>
  </si>
  <si>
    <t>Americom Imaging Systems</t>
  </si>
  <si>
    <t>ED-Instruction-Lease</t>
  </si>
  <si>
    <t>O&amp;M-Plant Services-Purchase Services</t>
  </si>
  <si>
    <t>Trans-Pupil Trans Service-Pirch Service</t>
  </si>
  <si>
    <t>Tort-Tort Immunity-Purch Services</t>
  </si>
  <si>
    <t>Dell Financial Services</t>
  </si>
  <si>
    <t>Brady Pest</t>
  </si>
  <si>
    <t>AT&amp;T</t>
  </si>
  <si>
    <t>Missouri Floor Company</t>
  </si>
  <si>
    <t>Randy Barber</t>
  </si>
  <si>
    <t>Environmental Consultants</t>
  </si>
  <si>
    <t xml:space="preserve">  Smithton CCSD 130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</si>
</sst>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100" fillId="0" borderId="105" xfId="18" applyFont="1" applyBorder="1" applyAlignment="1" applyProtection="1">
      <alignment wrapText="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3</xdr:row>
          <xdr:rowOff>7793</xdr:rowOff>
        </xdr:from>
        <xdr:to>
          <xdr:col>1</xdr:col>
          <xdr:colOff>949902</xdr:colOff>
          <xdr:row>8</xdr:row>
          <xdr:rowOff>20782</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8">
        <f>+'AFR20'!E4</f>
        <v>44119</v>
      </c>
      <c r="C1" s="2038"/>
      <c r="D1" s="2039"/>
      <c r="I1" s="2117" t="s">
        <v>402</v>
      </c>
      <c r="J1" s="2118"/>
      <c r="K1" s="2118"/>
      <c r="L1" s="2118"/>
      <c r="M1" s="2118"/>
      <c r="N1" s="2118"/>
      <c r="O1" s="2118"/>
      <c r="P1" s="2118"/>
      <c r="Q1" s="2118"/>
      <c r="R1" s="2118"/>
      <c r="S1" s="2118"/>
    </row>
    <row r="2" spans="1:32" ht="12" customHeight="1" x14ac:dyDescent="0.2">
      <c r="A2" s="1831" t="str">
        <f>"Due to ISBE on "</f>
        <v xml:space="preserve">Due to ISBE on </v>
      </c>
      <c r="B2" s="2040">
        <f>+'AFR20'!F4</f>
        <v>44151</v>
      </c>
      <c r="C2" s="2040"/>
      <c r="D2" s="2041"/>
      <c r="I2" s="2119" t="s">
        <v>2003</v>
      </c>
      <c r="J2" s="2118"/>
      <c r="K2" s="2118"/>
      <c r="L2" s="2118"/>
      <c r="M2" s="2118"/>
      <c r="N2" s="2118"/>
      <c r="O2" s="2118"/>
      <c r="P2" s="2118"/>
      <c r="Q2" s="2118"/>
      <c r="R2" s="2118"/>
      <c r="S2" s="2118"/>
    </row>
    <row r="3" spans="1:32" ht="12" customHeight="1" x14ac:dyDescent="0.2">
      <c r="A3" s="1834" t="str">
        <f>"SD/JA"&amp;MID('AFR20'!E2,3,2)</f>
        <v>SD/JA20</v>
      </c>
      <c r="B3" s="151"/>
      <c r="C3" s="151"/>
      <c r="D3" s="152"/>
      <c r="I3" s="2119" t="s">
        <v>52</v>
      </c>
      <c r="J3" s="2118"/>
      <c r="K3" s="2118"/>
      <c r="L3" s="2118"/>
      <c r="M3" s="2118"/>
      <c r="N3" s="2118"/>
      <c r="O3" s="2118"/>
      <c r="P3" s="2118"/>
      <c r="Q3" s="2118"/>
      <c r="R3" s="2118"/>
      <c r="S3" s="2118"/>
    </row>
    <row r="4" spans="1:32" ht="12" customHeight="1" x14ac:dyDescent="0.2">
      <c r="A4" s="37"/>
      <c r="I4" s="2119" t="s">
        <v>521</v>
      </c>
      <c r="J4" s="2118"/>
      <c r="K4" s="2118"/>
      <c r="L4" s="2118"/>
      <c r="M4" s="2118"/>
      <c r="N4" s="2118"/>
      <c r="O4" s="2118"/>
      <c r="P4" s="2118"/>
      <c r="Q4" s="2118"/>
      <c r="R4" s="2118"/>
      <c r="S4" s="2118"/>
    </row>
    <row r="5" spans="1:32" ht="14.1" customHeight="1" x14ac:dyDescent="0.2">
      <c r="B5" s="101" t="s">
        <v>2051</v>
      </c>
      <c r="C5" s="26" t="s">
        <v>904</v>
      </c>
      <c r="D5" s="81"/>
      <c r="E5" s="81"/>
      <c r="H5" s="38"/>
      <c r="I5" s="2126" t="s">
        <v>675</v>
      </c>
      <c r="J5" s="2071"/>
      <c r="K5" s="2071"/>
      <c r="L5" s="2071"/>
      <c r="M5" s="2071"/>
      <c r="N5" s="2071"/>
      <c r="O5" s="2071"/>
      <c r="P5" s="2071"/>
      <c r="Q5" s="2071"/>
      <c r="R5" s="2071"/>
      <c r="S5" s="2071"/>
      <c r="AF5" s="1827"/>
    </row>
    <row r="6" spans="1:32" ht="14.1" customHeight="1" x14ac:dyDescent="0.2">
      <c r="B6" s="101"/>
      <c r="C6" s="26" t="s">
        <v>905</v>
      </c>
      <c r="D6" s="81"/>
      <c r="E6" s="81"/>
      <c r="I6" s="2125" t="s">
        <v>877</v>
      </c>
      <c r="J6" s="2071"/>
      <c r="K6" s="2071"/>
      <c r="L6" s="2071"/>
      <c r="M6" s="2071"/>
      <c r="N6" s="2071"/>
      <c r="O6" s="2071"/>
      <c r="P6" s="2071"/>
      <c r="Q6" s="2071"/>
      <c r="R6" s="2071"/>
      <c r="S6" s="2071"/>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669</v>
      </c>
      <c r="J9" s="2123"/>
      <c r="K9" s="2123"/>
      <c r="L9" s="2123"/>
      <c r="M9" s="2123"/>
      <c r="N9" s="2123"/>
      <c r="O9" s="2123"/>
      <c r="P9" s="2123"/>
      <c r="Q9" s="2123"/>
      <c r="R9" s="2123"/>
      <c r="S9" s="2124"/>
      <c r="T9" s="2067" t="s">
        <v>530</v>
      </c>
      <c r="U9" s="2068"/>
      <c r="V9" s="2068"/>
      <c r="W9" s="2068"/>
      <c r="X9" s="2068"/>
      <c r="Y9" s="2068"/>
      <c r="Z9" s="2068"/>
      <c r="AA9" s="2069"/>
    </row>
    <row r="10" spans="1:32" ht="13.5" customHeight="1" x14ac:dyDescent="0.2">
      <c r="A10" s="2076" t="s">
        <v>670</v>
      </c>
      <c r="B10" s="2077"/>
      <c r="C10" s="2077"/>
      <c r="D10" s="2077"/>
      <c r="E10" s="2077"/>
      <c r="F10" s="2077"/>
      <c r="G10" s="2077"/>
      <c r="H10" s="2078"/>
      <c r="I10" s="29"/>
      <c r="J10" s="30"/>
      <c r="K10" s="28"/>
      <c r="R10" s="30"/>
      <c r="S10" s="30"/>
      <c r="T10" s="2070"/>
      <c r="U10" s="2071"/>
      <c r="V10" s="2071"/>
      <c r="W10" s="2071"/>
      <c r="X10" s="2071"/>
      <c r="Y10" s="2071"/>
      <c r="Z10" s="2071"/>
      <c r="AA10" s="2072"/>
    </row>
    <row r="11" spans="1:32" ht="14.25" customHeight="1" x14ac:dyDescent="0.2">
      <c r="A11" s="2079" t="s">
        <v>949</v>
      </c>
      <c r="B11" s="2080"/>
      <c r="C11" s="2080"/>
      <c r="D11" s="2080"/>
      <c r="E11" s="2080"/>
      <c r="F11" s="2080"/>
      <c r="G11" s="2080"/>
      <c r="H11" s="2081"/>
      <c r="I11" s="27"/>
      <c r="J11" s="71"/>
      <c r="K11" s="27"/>
      <c r="O11" s="144" t="s">
        <v>2051</v>
      </c>
      <c r="P11" s="97" t="s">
        <v>199</v>
      </c>
      <c r="Q11" s="30"/>
      <c r="R11" s="28"/>
      <c r="S11" s="27"/>
      <c r="T11" s="2073"/>
      <c r="U11" s="2074"/>
      <c r="V11" s="2074"/>
      <c r="W11" s="2074"/>
      <c r="X11" s="2074"/>
      <c r="Y11" s="2074"/>
      <c r="Z11" s="2074"/>
      <c r="AA11" s="207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7">
        <v>50082130004</v>
      </c>
      <c r="B13" s="2088"/>
      <c r="C13" s="2088"/>
      <c r="D13" s="2088"/>
      <c r="E13" s="2088"/>
      <c r="F13" s="2088"/>
      <c r="G13" s="2088"/>
      <c r="H13" s="2089"/>
      <c r="I13" s="31"/>
      <c r="J13" s="30"/>
      <c r="K13" s="28"/>
      <c r="L13" s="30"/>
      <c r="M13" s="30"/>
      <c r="N13" s="30"/>
      <c r="O13" s="30"/>
      <c r="P13" s="30"/>
      <c r="Q13" s="30"/>
      <c r="R13" s="30"/>
      <c r="S13" s="30"/>
      <c r="T13" s="2092" t="s">
        <v>2052</v>
      </c>
      <c r="U13" s="2093"/>
      <c r="V13" s="2093"/>
      <c r="W13" s="2093"/>
      <c r="X13" s="2093"/>
      <c r="Y13" s="2094"/>
      <c r="Z13" s="2094"/>
      <c r="AA13" s="209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5" t="s">
        <v>2061</v>
      </c>
      <c r="B15" s="2090"/>
      <c r="C15" s="2090"/>
      <c r="D15" s="2090"/>
      <c r="E15" s="2090"/>
      <c r="F15" s="2090"/>
      <c r="G15" s="2090"/>
      <c r="H15" s="2091"/>
      <c r="T15" s="2053" t="s">
        <v>2053</v>
      </c>
      <c r="U15" s="2054"/>
      <c r="V15" s="2054"/>
      <c r="W15" s="2054"/>
      <c r="X15" s="2054"/>
      <c r="Y15" s="2096"/>
      <c r="Z15" s="2096"/>
      <c r="AA15" s="209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5" t="s">
        <v>2093</v>
      </c>
      <c r="B17" s="2115"/>
      <c r="C17" s="2115"/>
      <c r="D17" s="2115"/>
      <c r="E17" s="2115"/>
      <c r="F17" s="2115"/>
      <c r="G17" s="2115"/>
      <c r="H17" s="2116"/>
      <c r="T17" s="2102" t="s">
        <v>2054</v>
      </c>
      <c r="U17" s="2103"/>
      <c r="V17" s="2103"/>
      <c r="W17" s="2103"/>
      <c r="X17" s="2103"/>
      <c r="Y17" s="2103"/>
      <c r="Z17" s="2103"/>
      <c r="AA17" s="2104"/>
    </row>
    <row r="18" spans="1:27" ht="13.5" customHeight="1" x14ac:dyDescent="0.2">
      <c r="A18" s="82" t="s">
        <v>527</v>
      </c>
      <c r="B18" s="73"/>
      <c r="C18" s="69"/>
      <c r="D18" s="73"/>
      <c r="E18" s="73"/>
      <c r="F18" s="73"/>
      <c r="G18" s="73"/>
      <c r="H18" s="53"/>
      <c r="I18" s="2112" t="s">
        <v>671</v>
      </c>
      <c r="J18" s="2113"/>
      <c r="K18" s="2113"/>
      <c r="L18" s="2113"/>
      <c r="M18" s="2113"/>
      <c r="N18" s="2113"/>
      <c r="O18" s="2113"/>
      <c r="P18" s="2113"/>
      <c r="Q18" s="2113"/>
      <c r="R18" s="2113"/>
      <c r="S18" s="2114"/>
      <c r="T18" s="82" t="s">
        <v>706</v>
      </c>
      <c r="U18" s="48"/>
      <c r="V18" s="69"/>
      <c r="W18" s="47"/>
      <c r="X18" s="82" t="s">
        <v>264</v>
      </c>
      <c r="Y18" s="78"/>
      <c r="Z18" s="154" t="s">
        <v>672</v>
      </c>
      <c r="AA18" s="44"/>
    </row>
    <row r="19" spans="1:27" ht="13.5" customHeight="1" x14ac:dyDescent="0.2">
      <c r="A19" s="2085" t="s">
        <v>2062</v>
      </c>
      <c r="B19" s="2086"/>
      <c r="C19" s="2086"/>
      <c r="D19" s="2086"/>
      <c r="E19" s="2086"/>
      <c r="F19" s="2086"/>
      <c r="G19" s="2086"/>
      <c r="H19" s="2084"/>
      <c r="I19" s="30"/>
      <c r="J19" s="96"/>
      <c r="K19" s="40"/>
      <c r="L19" s="38"/>
      <c r="M19" s="109" t="s">
        <v>312</v>
      </c>
      <c r="P19" s="27"/>
      <c r="Q19" s="27"/>
      <c r="R19" s="27"/>
      <c r="S19" s="31"/>
      <c r="T19" s="2085" t="s">
        <v>2055</v>
      </c>
      <c r="U19" s="2083"/>
      <c r="V19" s="2083"/>
      <c r="W19" s="2084"/>
      <c r="X19" s="2100" t="s">
        <v>2056</v>
      </c>
      <c r="Y19" s="2101"/>
      <c r="Z19" s="2098">
        <v>62236</v>
      </c>
      <c r="AA19" s="209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2" t="s">
        <v>2063</v>
      </c>
      <c r="B21" s="2083"/>
      <c r="C21" s="2083"/>
      <c r="D21" s="2083"/>
      <c r="E21" s="2083"/>
      <c r="F21" s="2083"/>
      <c r="G21" s="2083"/>
      <c r="H21" s="2084"/>
      <c r="I21" s="2108" t="s">
        <v>673</v>
      </c>
      <c r="J21" s="2071"/>
      <c r="K21" s="2071"/>
      <c r="L21" s="2071"/>
      <c r="M21" s="2071"/>
      <c r="N21" s="2071"/>
      <c r="O21" s="2071"/>
      <c r="P21" s="2071"/>
      <c r="Q21" s="2071"/>
      <c r="R21" s="2071"/>
      <c r="S21" s="2072"/>
      <c r="T21" s="2050" t="s">
        <v>2057</v>
      </c>
      <c r="U21" s="2051"/>
      <c r="V21" s="2051"/>
      <c r="W21" s="2051"/>
      <c r="X21" s="2064" t="s">
        <v>2058</v>
      </c>
      <c r="Y21" s="2065"/>
      <c r="Z21" s="2065"/>
      <c r="AA21" s="2066"/>
    </row>
    <row r="22" spans="1:27" ht="13.5" customHeight="1" x14ac:dyDescent="0.2">
      <c r="A22" s="84" t="s">
        <v>528</v>
      </c>
      <c r="B22" s="56"/>
      <c r="C22" s="56"/>
      <c r="D22" s="56"/>
      <c r="E22" s="56"/>
      <c r="F22" s="56"/>
      <c r="G22" s="56"/>
      <c r="H22" s="57"/>
      <c r="I22" s="2109" t="s">
        <v>1412</v>
      </c>
      <c r="J22" s="2110"/>
      <c r="K22" s="2110"/>
      <c r="L22" s="2110"/>
      <c r="M22" s="2110"/>
      <c r="N22" s="2110"/>
      <c r="O22" s="2110"/>
      <c r="P22" s="2110"/>
      <c r="Q22" s="2110"/>
      <c r="R22" s="2110"/>
      <c r="S22" s="2111"/>
      <c r="T22" s="82" t="s">
        <v>1499</v>
      </c>
      <c r="U22" s="48"/>
      <c r="V22" s="69"/>
      <c r="W22" s="48"/>
      <c r="X22" s="155" t="s">
        <v>1307</v>
      </c>
      <c r="Z22" s="43"/>
      <c r="AA22" s="44"/>
    </row>
    <row r="23" spans="1:27" ht="13.5" customHeight="1" x14ac:dyDescent="0.2">
      <c r="A23" s="2105" t="s">
        <v>2064</v>
      </c>
      <c r="B23" s="2106"/>
      <c r="C23" s="2106"/>
      <c r="D23" s="2106"/>
      <c r="E23" s="2106"/>
      <c r="F23" s="2106"/>
      <c r="G23" s="2106"/>
      <c r="H23" s="2107"/>
      <c r="T23" s="2045" t="s">
        <v>2059</v>
      </c>
      <c r="U23" s="2046"/>
      <c r="V23" s="2046"/>
      <c r="W23" s="2046"/>
      <c r="X23" s="2061">
        <v>44530</v>
      </c>
      <c r="Y23" s="2062"/>
      <c r="Z23" s="2062"/>
      <c r="AA23" s="2063"/>
    </row>
    <row r="24" spans="1:27" ht="14.1" customHeight="1" x14ac:dyDescent="0.2">
      <c r="A24" s="85" t="s">
        <v>672</v>
      </c>
      <c r="B24" s="46"/>
      <c r="C24" s="46"/>
      <c r="D24" s="46"/>
      <c r="E24" s="46"/>
      <c r="F24" s="46"/>
      <c r="G24" s="46"/>
      <c r="H24" s="58"/>
      <c r="J24" s="2147">
        <f>IF(B5="x",IF(AUDITCHECK!D29="AFR form Incomplete.","",IF(AUDITCHECK!D29="Deficit reduction plan is required.","School District must complete a deficit reduction plan in the 2020-2021 Budget",)),"")</f>
        <v>0</v>
      </c>
      <c r="K24" s="2147"/>
      <c r="L24" s="2147"/>
      <c r="M24" s="2147"/>
      <c r="N24" s="2147"/>
      <c r="O24" s="2147"/>
      <c r="P24" s="2147"/>
      <c r="Q24" s="2147"/>
      <c r="R24" s="2147"/>
      <c r="S24" s="2148"/>
      <c r="T24" s="102" t="s">
        <v>528</v>
      </c>
      <c r="U24" s="103"/>
      <c r="V24" s="103"/>
      <c r="W24" s="103"/>
      <c r="X24" s="104"/>
      <c r="Y24" s="104"/>
      <c r="Z24" s="104"/>
      <c r="AA24" s="105"/>
    </row>
    <row r="25" spans="1:27" ht="14.1" customHeight="1" x14ac:dyDescent="0.2">
      <c r="A25" s="2082">
        <v>62285</v>
      </c>
      <c r="B25" s="2083"/>
      <c r="C25" s="2083"/>
      <c r="D25" s="2083"/>
      <c r="E25" s="2083"/>
      <c r="F25" s="2083"/>
      <c r="G25" s="2083"/>
      <c r="H25" s="2084"/>
      <c r="I25" s="110"/>
      <c r="J25" s="2149"/>
      <c r="K25" s="2149"/>
      <c r="L25" s="2149"/>
      <c r="M25" s="2149"/>
      <c r="N25" s="2149"/>
      <c r="O25" s="2149"/>
      <c r="P25" s="2149"/>
      <c r="Q25" s="2149"/>
      <c r="R25" s="2149"/>
      <c r="S25" s="2150"/>
      <c r="T25" s="2042" t="s">
        <v>2060</v>
      </c>
      <c r="U25" s="2043"/>
      <c r="V25" s="2043"/>
      <c r="W25" s="2043"/>
      <c r="X25" s="2043"/>
      <c r="Y25" s="2043"/>
      <c r="Z25" s="2043"/>
      <c r="AA25" s="204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0" t="s">
        <v>1494</v>
      </c>
      <c r="J27" s="2113"/>
      <c r="K27" s="2113"/>
      <c r="L27" s="2113"/>
      <c r="M27" s="2113"/>
      <c r="N27" s="2113"/>
      <c r="O27" s="2113"/>
      <c r="P27" s="2113"/>
      <c r="Q27" s="2113"/>
      <c r="R27" s="2113"/>
      <c r="S27" s="211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6"/>
      <c r="Q35" s="2083"/>
      <c r="R35" s="208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5"/>
      <c r="B38" s="2115"/>
      <c r="C38" s="2115"/>
      <c r="D38" s="2115"/>
      <c r="E38" s="2115"/>
      <c r="F38" s="2083"/>
      <c r="G38" s="2083"/>
      <c r="H38" s="2084"/>
      <c r="I38" s="2134"/>
      <c r="J38" s="2054"/>
      <c r="K38" s="2054"/>
      <c r="L38" s="2054"/>
      <c r="M38" s="2054"/>
      <c r="N38" s="2054"/>
      <c r="O38" s="2054"/>
      <c r="P38" s="2055"/>
      <c r="Q38" s="2055"/>
      <c r="R38" s="2055"/>
      <c r="S38" s="2056"/>
      <c r="T38" s="2053"/>
      <c r="U38" s="2054"/>
      <c r="V38" s="2054"/>
      <c r="W38" s="2054"/>
      <c r="X38" s="2055"/>
      <c r="Y38" s="2055"/>
      <c r="Z38" s="2055"/>
      <c r="AA38" s="2056"/>
    </row>
    <row r="39" spans="1:27" ht="12" customHeight="1" x14ac:dyDescent="0.2">
      <c r="A39" s="2138" t="s">
        <v>528</v>
      </c>
      <c r="B39" s="2139"/>
      <c r="C39" s="69"/>
      <c r="D39" s="66"/>
      <c r="E39" s="66"/>
      <c r="F39" s="76"/>
      <c r="G39" s="66"/>
      <c r="H39" s="53"/>
      <c r="I39" s="2138" t="s">
        <v>528</v>
      </c>
      <c r="J39" s="2139"/>
      <c r="K39" s="2139"/>
      <c r="L39" s="2139"/>
      <c r="M39" s="2139"/>
      <c r="N39" s="64"/>
      <c r="O39" s="69"/>
      <c r="P39" s="69"/>
      <c r="Q39" s="75"/>
      <c r="R39" s="69"/>
      <c r="S39" s="53"/>
      <c r="T39" s="69" t="s">
        <v>528</v>
      </c>
      <c r="U39" s="48"/>
      <c r="V39" s="69"/>
      <c r="W39" s="47"/>
      <c r="X39" s="75"/>
      <c r="Y39" s="43"/>
      <c r="Z39" s="43"/>
      <c r="AA39" s="44"/>
    </row>
    <row r="40" spans="1:27" ht="13.5" customHeight="1" x14ac:dyDescent="0.2">
      <c r="A40" s="2141"/>
      <c r="B40" s="2142"/>
      <c r="C40" s="2143"/>
      <c r="D40" s="2143"/>
      <c r="E40" s="2143"/>
      <c r="F40" s="2144"/>
      <c r="G40" s="2144"/>
      <c r="H40" s="2145"/>
      <c r="I40" s="2057"/>
      <c r="J40" s="2059"/>
      <c r="K40" s="2059"/>
      <c r="L40" s="2059"/>
      <c r="M40" s="2059"/>
      <c r="N40" s="2059"/>
      <c r="O40" s="2059"/>
      <c r="P40" s="2059"/>
      <c r="Q40" s="2059"/>
      <c r="R40" s="2059"/>
      <c r="S40" s="2060"/>
      <c r="T40" s="2057"/>
      <c r="U40" s="2058"/>
      <c r="V40" s="2059"/>
      <c r="W40" s="2059"/>
      <c r="X40" s="2059"/>
      <c r="Y40" s="2059"/>
      <c r="Z40" s="2059"/>
      <c r="AA40" s="206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1"/>
      <c r="B42" s="2132"/>
      <c r="C42" s="2133"/>
      <c r="D42" s="2146"/>
      <c r="E42" s="2132"/>
      <c r="F42" s="2132"/>
      <c r="G42" s="2132"/>
      <c r="H42" s="2133"/>
      <c r="I42" s="2052"/>
      <c r="J42" s="2048"/>
      <c r="K42" s="2048"/>
      <c r="L42" s="2048"/>
      <c r="M42" s="2048"/>
      <c r="N42" s="2048"/>
      <c r="O42" s="2049"/>
      <c r="P42" s="2047"/>
      <c r="Q42" s="2048"/>
      <c r="R42" s="2048"/>
      <c r="S42" s="2049"/>
      <c r="T42" s="2052"/>
      <c r="U42" s="2048"/>
      <c r="V42" s="2048"/>
      <c r="W42" s="2049"/>
      <c r="X42" s="2047"/>
      <c r="Y42" s="2048"/>
      <c r="Z42" s="2048"/>
      <c r="AA42" s="204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5"/>
      <c r="B44" s="2136"/>
      <c r="C44" s="2136"/>
      <c r="D44" s="2136"/>
      <c r="E44" s="2136"/>
      <c r="F44" s="2136"/>
      <c r="G44" s="2136"/>
      <c r="H44" s="2137"/>
      <c r="I44" s="2127"/>
      <c r="J44" s="2129"/>
      <c r="K44" s="2129"/>
      <c r="L44" s="2129"/>
      <c r="M44" s="2129"/>
      <c r="N44" s="2129"/>
      <c r="O44" s="2129"/>
      <c r="P44" s="2129"/>
      <c r="Q44" s="2129"/>
      <c r="R44" s="2129"/>
      <c r="S44" s="2130"/>
      <c r="T44" s="2127"/>
      <c r="U44" s="2128"/>
      <c r="V44" s="2128"/>
      <c r="W44" s="2128"/>
      <c r="X44" s="2128"/>
      <c r="Y44" s="2128"/>
      <c r="Z44" s="2129"/>
      <c r="AA44" s="213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2002390</v>
      </c>
      <c r="C4" s="1722"/>
      <c r="D4" s="1723">
        <f>B4-C4</f>
        <v>2002390</v>
      </c>
      <c r="E4" s="1722">
        <v>2110874</v>
      </c>
      <c r="F4" s="1723">
        <f>E4-C4</f>
        <v>2110874</v>
      </c>
    </row>
    <row r="5" spans="1:8" ht="13.7" customHeight="1" x14ac:dyDescent="0.2">
      <c r="A5" s="579" t="s">
        <v>865</v>
      </c>
      <c r="B5" s="1724">
        <f>'Revenues 9-14'!D5</f>
        <v>250120</v>
      </c>
      <c r="C5" s="1664"/>
      <c r="D5" s="1725">
        <f t="shared" ref="D5:D18" si="0">B5-C5</f>
        <v>250120</v>
      </c>
      <c r="E5" s="1664">
        <v>263899</v>
      </c>
      <c r="F5" s="1725">
        <f>E5-C5</f>
        <v>263899</v>
      </c>
    </row>
    <row r="6" spans="1:8" ht="13.7" customHeight="1" x14ac:dyDescent="0.2">
      <c r="A6" s="579" t="s">
        <v>408</v>
      </c>
      <c r="B6" s="1724">
        <f>'Revenues 9-14'!E5</f>
        <v>161878</v>
      </c>
      <c r="C6" s="1664"/>
      <c r="D6" s="1725">
        <f t="shared" si="0"/>
        <v>161878</v>
      </c>
      <c r="E6" s="1664">
        <v>347780</v>
      </c>
      <c r="F6" s="1725">
        <f t="shared" ref="F6:F18" si="1">E6-C6</f>
        <v>347780</v>
      </c>
    </row>
    <row r="7" spans="1:8" ht="13.7" customHeight="1" x14ac:dyDescent="0.2">
      <c r="A7" s="579" t="s">
        <v>154</v>
      </c>
      <c r="B7" s="1724">
        <f>'Revenues 9-14'!F5</f>
        <v>120056</v>
      </c>
      <c r="C7" s="1664"/>
      <c r="D7" s="1725">
        <f t="shared" si="0"/>
        <v>120056</v>
      </c>
      <c r="E7" s="1664">
        <v>126727</v>
      </c>
      <c r="F7" s="1725">
        <f t="shared" si="1"/>
        <v>126727</v>
      </c>
    </row>
    <row r="8" spans="1:8" ht="13.7" customHeight="1" x14ac:dyDescent="0.2">
      <c r="A8" s="579" t="s">
        <v>1169</v>
      </c>
      <c r="B8" s="1724">
        <f>'Revenues 9-14'!G5</f>
        <v>79737</v>
      </c>
      <c r="C8" s="1664"/>
      <c r="D8" s="1725">
        <f t="shared" si="0"/>
        <v>79737</v>
      </c>
      <c r="E8" s="1664">
        <v>60006</v>
      </c>
      <c r="F8" s="1725">
        <f t="shared" si="1"/>
        <v>60006</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50025</v>
      </c>
      <c r="C10" s="1664"/>
      <c r="D10" s="1725">
        <f t="shared" si="0"/>
        <v>50025</v>
      </c>
      <c r="E10" s="1664">
        <v>52865</v>
      </c>
      <c r="F10" s="1725">
        <f t="shared" si="1"/>
        <v>52865</v>
      </c>
    </row>
    <row r="11" spans="1:8" x14ac:dyDescent="0.2">
      <c r="A11" s="579" t="s">
        <v>406</v>
      </c>
      <c r="B11" s="1724">
        <f>'Revenues 9-14'!J5</f>
        <v>392287</v>
      </c>
      <c r="C11" s="1664"/>
      <c r="D11" s="1725">
        <f t="shared" si="0"/>
        <v>392287</v>
      </c>
      <c r="E11" s="1664">
        <v>443811</v>
      </c>
      <c r="F11" s="1725">
        <f t="shared" si="1"/>
        <v>443811</v>
      </c>
    </row>
    <row r="12" spans="1:8" ht="13.7" customHeight="1" x14ac:dyDescent="0.2">
      <c r="A12" s="579" t="s">
        <v>156</v>
      </c>
      <c r="B12" s="1724">
        <f>'Revenues 9-14'!K5</f>
        <v>50025</v>
      </c>
      <c r="C12" s="1664"/>
      <c r="D12" s="1725">
        <f t="shared" si="0"/>
        <v>50025</v>
      </c>
      <c r="E12" s="1664">
        <v>52865</v>
      </c>
      <c r="F12" s="1725">
        <f t="shared" si="1"/>
        <v>52865</v>
      </c>
    </row>
    <row r="13" spans="1:8" ht="13.7" customHeight="1" x14ac:dyDescent="0.2">
      <c r="A13" s="579" t="s">
        <v>930</v>
      </c>
      <c r="B13" s="1724">
        <f>SUM('Revenues 9-14'!C6:D6)</f>
        <v>50025</v>
      </c>
      <c r="C13" s="1664"/>
      <c r="D13" s="1725">
        <f t="shared" si="0"/>
        <v>50025</v>
      </c>
      <c r="E13" s="1664">
        <v>52865</v>
      </c>
      <c r="F13" s="1725">
        <f t="shared" si="1"/>
        <v>52865</v>
      </c>
    </row>
    <row r="14" spans="1:8" ht="13.7" customHeight="1" x14ac:dyDescent="0.2">
      <c r="A14" s="579" t="s">
        <v>407</v>
      </c>
      <c r="B14" s="1724">
        <f>SUM('Revenues 9-14'!C7:D7,'Revenues 9-14'!F7:H7)</f>
        <v>20009</v>
      </c>
      <c r="C14" s="1664"/>
      <c r="D14" s="1725">
        <f t="shared" si="0"/>
        <v>20009</v>
      </c>
      <c r="E14" s="1664">
        <v>21210</v>
      </c>
      <c r="F14" s="1725">
        <f t="shared" si="1"/>
        <v>21210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99648</v>
      </c>
      <c r="C16" s="1664"/>
      <c r="D16" s="1725">
        <f t="shared" si="0"/>
        <v>99648</v>
      </c>
      <c r="E16" s="1664">
        <v>95072</v>
      </c>
      <c r="F16" s="1725">
        <f t="shared" si="1"/>
        <v>95072</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3276200</v>
      </c>
      <c r="C19" s="1726">
        <f>SUM(C4:C18)</f>
        <v>0</v>
      </c>
      <c r="D19" s="1726">
        <f>SUM(D4:D18)</f>
        <v>3276200</v>
      </c>
      <c r="E19" s="1726">
        <f>SUM(E4:E18)</f>
        <v>3627974</v>
      </c>
      <c r="F19" s="1726">
        <f>SUM(F4:F18)</f>
        <v>3627974</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BreakPreview" topLeftCell="A22" colorId="8" zoomScale="60" zoomScaleNormal="110" workbookViewId="0">
      <selection activeCell="D34" sqref="D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625</v>
      </c>
      <c r="B1" s="2296"/>
      <c r="C1" s="585"/>
    </row>
    <row r="2" spans="1:7" ht="33.75" x14ac:dyDescent="0.2">
      <c r="A2" s="2304" t="s">
        <v>1779</v>
      </c>
      <c r="B2" s="230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8" t="s">
        <v>1104</v>
      </c>
      <c r="B3" s="2309"/>
      <c r="C3" s="2297"/>
      <c r="D3" s="2298"/>
      <c r="E3" s="2298"/>
      <c r="F3" s="2299"/>
    </row>
    <row r="4" spans="1:7" ht="12.75" customHeight="1" thickBot="1" x14ac:dyDescent="0.25">
      <c r="A4" s="2306" t="s">
        <v>626</v>
      </c>
      <c r="B4" s="2307"/>
      <c r="C4" s="1656"/>
      <c r="D4" s="1656"/>
      <c r="E4" s="1656"/>
      <c r="F4" s="1732">
        <f>SUM(C4+D4)-E4</f>
        <v>0</v>
      </c>
    </row>
    <row r="5" spans="1:7" ht="15.75" customHeight="1" thickTop="1" x14ac:dyDescent="0.2">
      <c r="A5" s="2291" t="s">
        <v>1101</v>
      </c>
      <c r="B5" s="2292"/>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3" t="s">
        <v>627</v>
      </c>
      <c r="B15" s="2294"/>
      <c r="C15" s="1732">
        <f>SUM(C6:C14)</f>
        <v>0</v>
      </c>
      <c r="D15" s="1732">
        <f>SUM(D6:D14)</f>
        <v>0</v>
      </c>
      <c r="E15" s="1732">
        <f>SUM(E6:E14)</f>
        <v>0</v>
      </c>
      <c r="F15" s="1732">
        <f>SUM(F6:F14)</f>
        <v>0</v>
      </c>
      <c r="G15" s="473"/>
    </row>
    <row r="16" spans="1:7" s="197" customFormat="1" ht="15.75" customHeight="1" thickTop="1" x14ac:dyDescent="0.2">
      <c r="A16" s="2303" t="s">
        <v>1102</v>
      </c>
      <c r="B16" s="2292"/>
      <c r="C16" s="2300"/>
      <c r="D16" s="2301"/>
      <c r="E16" s="2301"/>
      <c r="F16" s="2302"/>
    </row>
    <row r="17" spans="1:11" ht="12.75" customHeight="1" thickBot="1" x14ac:dyDescent="0.25">
      <c r="A17" s="2316" t="s">
        <v>64</v>
      </c>
      <c r="B17" s="2317"/>
      <c r="C17" s="1733"/>
      <c r="D17" s="1664"/>
      <c r="E17" s="1733"/>
      <c r="F17" s="1732">
        <f>SUM(C17+D17)-E17</f>
        <v>0</v>
      </c>
    </row>
    <row r="18" spans="1:11" ht="12.75" customHeight="1" thickTop="1" thickBot="1" x14ac:dyDescent="0.25">
      <c r="A18" s="2316" t="s">
        <v>6</v>
      </c>
      <c r="B18" s="2317"/>
      <c r="C18" s="1733"/>
      <c r="D18" s="1664"/>
      <c r="E18" s="1733"/>
      <c r="F18" s="1732">
        <f>SUM(C18+D18)-E18</f>
        <v>0</v>
      </c>
    </row>
    <row r="19" spans="1:11" ht="12.75" customHeight="1" thickTop="1" thickBot="1" x14ac:dyDescent="0.25">
      <c r="A19" s="2316" t="s">
        <v>385</v>
      </c>
      <c r="B19" s="2317"/>
      <c r="C19" s="1733"/>
      <c r="D19" s="1664"/>
      <c r="E19" s="1733"/>
      <c r="F19" s="1732">
        <f>SUM(C19+D19)-E19</f>
        <v>0</v>
      </c>
    </row>
    <row r="20" spans="1:11" ht="12.75" customHeight="1" thickTop="1" thickBot="1" x14ac:dyDescent="0.25">
      <c r="A20" s="2316" t="s">
        <v>445</v>
      </c>
      <c r="B20" s="2317"/>
      <c r="C20" s="1733"/>
      <c r="D20" s="1664"/>
      <c r="E20" s="1733"/>
      <c r="F20" s="1732">
        <f>SUM(C20+D20)-E20</f>
        <v>0</v>
      </c>
    </row>
    <row r="21" spans="1:11" ht="14.25" thickTop="1" thickBot="1" x14ac:dyDescent="0.25">
      <c r="A21" s="2293" t="s">
        <v>628</v>
      </c>
      <c r="B21" s="2294"/>
      <c r="C21" s="1732">
        <f>SUM(C17:C20)</f>
        <v>0</v>
      </c>
      <c r="D21" s="1732">
        <f>SUM(D17:D20)</f>
        <v>0</v>
      </c>
      <c r="E21" s="1732">
        <f>SUM(E17:E20)</f>
        <v>0</v>
      </c>
      <c r="F21" s="1732">
        <f>SUM(F17:F20)</f>
        <v>0</v>
      </c>
      <c r="G21" s="473"/>
    </row>
    <row r="22" spans="1:11" ht="15.75" customHeight="1" thickTop="1" x14ac:dyDescent="0.2">
      <c r="A22" s="2318" t="s">
        <v>1103</v>
      </c>
      <c r="B22" s="2292"/>
      <c r="C22" s="2300"/>
      <c r="D22" s="2301"/>
      <c r="E22" s="2301"/>
      <c r="F22" s="2302"/>
    </row>
    <row r="23" spans="1:11" ht="13.5" thickBot="1" x14ac:dyDescent="0.25">
      <c r="A23" s="2306" t="s">
        <v>629</v>
      </c>
      <c r="B23" s="2307"/>
      <c r="C23" s="1656"/>
      <c r="D23" s="1656"/>
      <c r="E23" s="1656"/>
      <c r="F23" s="1732">
        <f>SUM(C23+D23)-E23</f>
        <v>0</v>
      </c>
      <c r="G23" s="473"/>
    </row>
    <row r="24" spans="1:11" ht="15.75" customHeight="1" thickTop="1" x14ac:dyDescent="0.2">
      <c r="A24" s="2318" t="s">
        <v>2006</v>
      </c>
      <c r="B24" s="2292"/>
      <c r="C24" s="2300"/>
      <c r="D24" s="2301"/>
      <c r="E24" s="2301"/>
      <c r="F24" s="2302"/>
    </row>
    <row r="25" spans="1:11" ht="13.5" thickBot="1" x14ac:dyDescent="0.25">
      <c r="A25" s="2306" t="s">
        <v>2007</v>
      </c>
      <c r="B25" s="2307"/>
      <c r="C25" s="1656"/>
      <c r="D25" s="1656"/>
      <c r="E25" s="1656"/>
      <c r="F25" s="1732">
        <f>SUM(C25+D25)-E25</f>
        <v>0</v>
      </c>
      <c r="G25" s="473"/>
    </row>
    <row r="26" spans="1:11" ht="15.75" customHeight="1" thickTop="1" x14ac:dyDescent="0.2">
      <c r="A26" s="2291" t="s">
        <v>652</v>
      </c>
      <c r="B26" s="2292"/>
      <c r="C26" s="589"/>
      <c r="D26" s="589"/>
      <c r="E26" s="589"/>
      <c r="F26" s="590"/>
    </row>
    <row r="27" spans="1:11" ht="13.5" thickBot="1" x14ac:dyDescent="0.25">
      <c r="A27" s="2293" t="s">
        <v>1061</v>
      </c>
      <c r="B27" s="2294"/>
      <c r="C27" s="1664"/>
      <c r="D27" s="1664"/>
      <c r="E27" s="1664"/>
      <c r="F27" s="1732">
        <f>SUM(C27+D27)-E27</f>
        <v>0</v>
      </c>
      <c r="G27" s="473"/>
    </row>
    <row r="28" spans="1:11" ht="7.5" customHeight="1" thickTop="1" x14ac:dyDescent="0.2">
      <c r="A28" s="489"/>
    </row>
    <row r="29" spans="1:11" ht="23.25" customHeight="1" x14ac:dyDescent="0.2">
      <c r="A29" s="2319" t="s">
        <v>578</v>
      </c>
      <c r="B29" s="229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t="s">
        <v>2069</v>
      </c>
      <c r="B32" s="595">
        <v>39934</v>
      </c>
      <c r="C32" s="1734">
        <v>1345000</v>
      </c>
      <c r="D32" s="1735">
        <v>1</v>
      </c>
      <c r="E32" s="1734">
        <v>270000</v>
      </c>
      <c r="F32" s="1734"/>
      <c r="G32" s="1734"/>
      <c r="H32" s="1734">
        <v>155000</v>
      </c>
      <c r="I32" s="1736">
        <f>((E32+F32)-H32)+G32</f>
        <v>115000</v>
      </c>
      <c r="J32" s="1734">
        <v>115000</v>
      </c>
      <c r="K32" s="596"/>
    </row>
    <row r="33" spans="1:11" ht="12" customHeight="1" x14ac:dyDescent="0.2">
      <c r="A33" s="594" t="s">
        <v>2070</v>
      </c>
      <c r="B33" s="595">
        <v>43853</v>
      </c>
      <c r="C33" s="1734">
        <v>5000000</v>
      </c>
      <c r="D33" s="1735">
        <v>6</v>
      </c>
      <c r="E33" s="1734"/>
      <c r="F33" s="1734">
        <v>5000000</v>
      </c>
      <c r="G33" s="1734"/>
      <c r="H33" s="1734"/>
      <c r="I33" s="1736">
        <f t="shared" ref="I33:I48" si="1">((E33+F33)-H33)+G33</f>
        <v>5000000</v>
      </c>
      <c r="J33" s="1734">
        <f>5000000-130554</f>
        <v>4869446</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6345000</v>
      </c>
      <c r="D49" s="1742"/>
      <c r="E49" s="1736">
        <f t="shared" ref="E49:J49" si="2">SUM(E31:E48)</f>
        <v>270000</v>
      </c>
      <c r="F49" s="1736">
        <f t="shared" si="2"/>
        <v>5000000</v>
      </c>
      <c r="G49" s="1736">
        <f t="shared" si="2"/>
        <v>0</v>
      </c>
      <c r="H49" s="1736">
        <f t="shared" si="2"/>
        <v>155000</v>
      </c>
      <c r="I49" s="1736">
        <f t="shared" si="2"/>
        <v>5115000</v>
      </c>
      <c r="J49" s="1736">
        <f t="shared" si="2"/>
        <v>4984446</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0" t="s">
        <v>580</v>
      </c>
      <c r="C52" s="2311"/>
      <c r="D52" s="2311"/>
      <c r="E52" s="603" t="s">
        <v>840</v>
      </c>
      <c r="F52" s="2312"/>
      <c r="G52" s="2313"/>
      <c r="H52" s="596"/>
      <c r="I52" s="596"/>
      <c r="J52" s="600"/>
    </row>
    <row r="53" spans="1:11" ht="11.25" customHeight="1" x14ac:dyDescent="0.2">
      <c r="A53" s="604" t="s">
        <v>907</v>
      </c>
      <c r="B53" s="605" t="s">
        <v>945</v>
      </c>
      <c r="C53" s="600"/>
      <c r="D53" s="597"/>
      <c r="E53" s="603" t="s">
        <v>494</v>
      </c>
      <c r="F53" s="2314"/>
      <c r="G53" s="2315"/>
      <c r="H53" s="596"/>
      <c r="I53" s="596"/>
      <c r="J53" s="600"/>
    </row>
    <row r="54" spans="1:11" ht="11.25" customHeight="1" x14ac:dyDescent="0.2">
      <c r="A54" s="606" t="s">
        <v>908</v>
      </c>
      <c r="B54" s="601" t="s">
        <v>946</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view="pageBreakPreview" topLeftCell="A10" colorId="8" zoomScale="60" zoomScaleNormal="110" workbookViewId="0">
      <selection activeCell="J37" sqref="J37"/>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851</v>
      </c>
      <c r="B1" s="2347"/>
      <c r="C1" s="2347"/>
      <c r="D1" s="2347"/>
      <c r="E1" s="2347"/>
      <c r="F1" s="2347"/>
      <c r="G1" s="2348"/>
      <c r="H1" s="1298"/>
      <c r="I1" s="614"/>
      <c r="J1" s="400"/>
    </row>
    <row r="2" spans="1:11" ht="26.25" x14ac:dyDescent="0.2">
      <c r="A2" s="2323" t="s">
        <v>1658</v>
      </c>
      <c r="B2" s="2324"/>
      <c r="C2" s="2324"/>
      <c r="D2" s="2324"/>
      <c r="E2" s="2325"/>
      <c r="F2" s="615" t="s">
        <v>898</v>
      </c>
      <c r="G2" s="616" t="s">
        <v>1655</v>
      </c>
      <c r="H2" s="616" t="s">
        <v>407</v>
      </c>
      <c r="I2" s="616" t="s">
        <v>1148</v>
      </c>
      <c r="J2" s="616" t="s">
        <v>1789</v>
      </c>
      <c r="K2" s="616" t="s">
        <v>137</v>
      </c>
    </row>
    <row r="3" spans="1:11" x14ac:dyDescent="0.2">
      <c r="A3" s="2326" t="str">
        <f>"Cash Basis Fund Balance as of July 1, "&amp;'AFR20'!E2-1</f>
        <v>Cash Basis Fund Balance as of July 1, 2019</v>
      </c>
      <c r="B3" s="2327"/>
      <c r="C3" s="2327"/>
      <c r="D3" s="2327"/>
      <c r="E3" s="2328"/>
      <c r="F3" s="617"/>
      <c r="G3" s="1744"/>
      <c r="H3" s="1744"/>
      <c r="I3" s="1744"/>
      <c r="J3" s="1745"/>
      <c r="K3" s="1745"/>
    </row>
    <row r="4" spans="1:11" x14ac:dyDescent="0.2">
      <c r="A4" s="2329" t="s">
        <v>366</v>
      </c>
      <c r="B4" s="2330"/>
      <c r="C4" s="2330"/>
      <c r="D4" s="2330"/>
      <c r="E4" s="2311"/>
      <c r="F4" s="620"/>
      <c r="G4" s="1746"/>
      <c r="H4" s="1747"/>
      <c r="I4" s="1746"/>
      <c r="J4" s="1748"/>
      <c r="K4" s="1748"/>
    </row>
    <row r="5" spans="1:11" x14ac:dyDescent="0.2">
      <c r="A5" s="2349" t="s">
        <v>1060</v>
      </c>
      <c r="B5" s="2320"/>
      <c r="C5" s="2320"/>
      <c r="D5" s="2320"/>
      <c r="E5" s="2350"/>
      <c r="F5" s="622" t="s">
        <v>843</v>
      </c>
      <c r="G5" s="1749"/>
      <c r="H5" s="1744">
        <v>20009</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9" t="s">
        <v>1790</v>
      </c>
      <c r="B10" s="2320"/>
      <c r="C10" s="2320"/>
      <c r="D10" s="2320"/>
      <c r="E10" s="2351"/>
      <c r="F10" s="633" t="s">
        <v>857</v>
      </c>
      <c r="G10" s="1753"/>
      <c r="H10" s="1754"/>
      <c r="I10" s="1744"/>
      <c r="J10" s="1745"/>
      <c r="K10" s="1745"/>
    </row>
    <row r="11" spans="1:11" x14ac:dyDescent="0.2">
      <c r="A11" s="2349" t="s">
        <v>159</v>
      </c>
      <c r="B11" s="2320"/>
      <c r="C11" s="2320"/>
      <c r="D11" s="2320"/>
      <c r="E11" s="2350"/>
      <c r="F11" s="622" t="s">
        <v>847</v>
      </c>
      <c r="G11" s="1749"/>
      <c r="H11" s="1744"/>
      <c r="I11" s="1744"/>
      <c r="J11" s="1745"/>
      <c r="K11" s="1751"/>
    </row>
    <row r="12" spans="1:11" ht="13.5" thickBot="1" x14ac:dyDescent="0.25">
      <c r="A12" s="2337" t="s">
        <v>899</v>
      </c>
      <c r="B12" s="2338"/>
      <c r="C12" s="2338"/>
      <c r="D12" s="2338"/>
      <c r="E12" s="2339"/>
      <c r="F12" s="1433"/>
      <c r="G12" s="1755">
        <f>SUM(G5:G11)</f>
        <v>0</v>
      </c>
      <c r="H12" s="1755">
        <f>SUM(H5:H11)</f>
        <v>20009</v>
      </c>
      <c r="I12" s="1755">
        <f>SUM(I5:I11)</f>
        <v>0</v>
      </c>
      <c r="J12" s="1755">
        <f>SUM(J5:J11)</f>
        <v>0</v>
      </c>
      <c r="K12" s="1755">
        <f>SUM(K5:K11)</f>
        <v>0</v>
      </c>
    </row>
    <row r="13" spans="1:11" ht="13.5" thickTop="1" x14ac:dyDescent="0.2">
      <c r="A13" s="2331" t="s">
        <v>367</v>
      </c>
      <c r="B13" s="2332"/>
      <c r="C13" s="2332"/>
      <c r="D13" s="2332"/>
      <c r="E13" s="2333"/>
      <c r="F13" s="634"/>
      <c r="G13" s="1756"/>
      <c r="H13" s="1757"/>
      <c r="I13" s="1758"/>
      <c r="J13" s="1758"/>
      <c r="K13" s="1758"/>
    </row>
    <row r="14" spans="1:11" x14ac:dyDescent="0.2">
      <c r="A14" s="2355" t="s">
        <v>453</v>
      </c>
      <c r="B14" s="2355"/>
      <c r="C14" s="2355"/>
      <c r="D14" s="2355"/>
      <c r="E14" s="2356"/>
      <c r="F14" s="635" t="s">
        <v>849</v>
      </c>
      <c r="G14" s="1753"/>
      <c r="H14" s="1744">
        <v>2009</v>
      </c>
      <c r="I14" s="1749"/>
      <c r="J14" s="1751"/>
      <c r="K14" s="1745"/>
    </row>
    <row r="15" spans="1:11" x14ac:dyDescent="0.2">
      <c r="A15" s="2320" t="s">
        <v>4</v>
      </c>
      <c r="B15" s="2320"/>
      <c r="C15" s="2320"/>
      <c r="D15" s="2320"/>
      <c r="E15" s="2350"/>
      <c r="F15" s="635" t="s">
        <v>850</v>
      </c>
      <c r="G15" s="1749"/>
      <c r="H15" s="1744"/>
      <c r="I15" s="1744"/>
      <c r="J15" s="1745"/>
      <c r="K15" s="1745"/>
    </row>
    <row r="16" spans="1:11" x14ac:dyDescent="0.2">
      <c r="A16" s="2320" t="s">
        <v>295</v>
      </c>
      <c r="B16" s="2320"/>
      <c r="C16" s="2320"/>
      <c r="D16" s="2320"/>
      <c r="E16" s="2350"/>
      <c r="F16" s="635" t="s">
        <v>917</v>
      </c>
      <c r="G16" s="1750"/>
      <c r="H16" s="1746"/>
      <c r="I16" s="1746"/>
      <c r="J16" s="1748"/>
      <c r="K16" s="1748"/>
    </row>
    <row r="17" spans="1:15" x14ac:dyDescent="0.2">
      <c r="A17" s="2344" t="s">
        <v>929</v>
      </c>
      <c r="B17" s="2344"/>
      <c r="C17" s="2344"/>
      <c r="D17" s="2344"/>
      <c r="E17" s="2345"/>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57" t="s">
        <v>1786</v>
      </c>
      <c r="B19" s="2357"/>
      <c r="C19" s="2357"/>
      <c r="D19" s="2357"/>
      <c r="E19" s="2358"/>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40" t="s">
        <v>633</v>
      </c>
      <c r="B21" s="2340"/>
      <c r="C21" s="2340"/>
      <c r="D21" s="2340"/>
      <c r="E21" s="2340"/>
      <c r="F21" s="1434"/>
      <c r="G21" s="1760"/>
      <c r="H21" s="1764"/>
      <c r="I21" s="1764"/>
      <c r="J21" s="1765">
        <f>SUM(J18:J20)</f>
        <v>0</v>
      </c>
      <c r="K21" s="1761"/>
    </row>
    <row r="22" spans="1:15" ht="13.5" thickTop="1" x14ac:dyDescent="0.2">
      <c r="A22" s="2320" t="s">
        <v>1792</v>
      </c>
      <c r="B22" s="2320"/>
      <c r="C22" s="2320"/>
      <c r="D22" s="2320"/>
      <c r="E22" s="2350"/>
      <c r="F22" s="635" t="s">
        <v>857</v>
      </c>
      <c r="G22" s="1753"/>
      <c r="H22" s="1744"/>
      <c r="I22" s="1744"/>
      <c r="J22" s="1766"/>
      <c r="K22" s="1745"/>
    </row>
    <row r="23" spans="1:15" ht="13.5" thickBot="1" x14ac:dyDescent="0.25">
      <c r="A23" s="2341" t="s">
        <v>900</v>
      </c>
      <c r="B23" s="2340"/>
      <c r="C23" s="2340"/>
      <c r="D23" s="2340"/>
      <c r="E23" s="2340"/>
      <c r="F23" s="1436"/>
      <c r="G23" s="1755">
        <f>SUM(G14:G16,G21,G22)</f>
        <v>0</v>
      </c>
      <c r="H23" s="1755">
        <f>SUM(H14:H16,H21,H22)</f>
        <v>2009</v>
      </c>
      <c r="I23" s="1755">
        <f>SUM(I14:I16,I21,I22)</f>
        <v>0</v>
      </c>
      <c r="J23" s="1755">
        <f>SUM(J14:J16,J21,J22)</f>
        <v>0</v>
      </c>
      <c r="K23" s="1755">
        <f>SUM(K14:K16,K21,K22)</f>
        <v>0</v>
      </c>
      <c r="M23" s="1846"/>
      <c r="N23" s="1846"/>
      <c r="O23" s="1846"/>
    </row>
    <row r="24" spans="1:15" ht="14.25" thickTop="1" thickBot="1" x14ac:dyDescent="0.25">
      <c r="A24" s="2342" t="str">
        <f>"Ending Cash Basis Fund Balance as of June 30, "&amp;'AFR20'!E2</f>
        <v>Ending Cash Basis Fund Balance as of June 30, 2020</v>
      </c>
      <c r="B24" s="2343"/>
      <c r="C24" s="2343"/>
      <c r="D24" s="2343"/>
      <c r="E24" s="2343"/>
      <c r="F24" s="1437"/>
      <c r="G24" s="1767">
        <f>SUM(G3,G12)-G23</f>
        <v>0</v>
      </c>
      <c r="H24" s="1767">
        <f>SUM(H3,H12)-H23</f>
        <v>18000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18000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52"/>
      <c r="I31" s="2353"/>
      <c r="J31" s="2353"/>
      <c r="K31" s="2353"/>
    </row>
    <row r="32" spans="1:15" x14ac:dyDescent="0.2">
      <c r="A32" s="649"/>
      <c r="B32" s="232"/>
      <c r="C32" s="232"/>
      <c r="D32" s="232"/>
      <c r="E32" s="645"/>
      <c r="F32" s="651" t="s">
        <v>537</v>
      </c>
      <c r="G32" s="618"/>
      <c r="H32" s="2354"/>
      <c r="I32" s="2353"/>
      <c r="J32" s="2353"/>
      <c r="K32" s="2353"/>
    </row>
    <row r="33" spans="1:11" ht="1.5" customHeight="1" x14ac:dyDescent="0.2">
      <c r="A33" s="652" t="s">
        <v>1159</v>
      </c>
      <c r="B33" s="341"/>
      <c r="C33" s="341"/>
      <c r="D33" s="341"/>
      <c r="E33" s="341"/>
      <c r="F33" s="341"/>
      <c r="G33" s="653"/>
      <c r="H33" s="2354"/>
      <c r="I33" s="2353"/>
      <c r="J33" s="2353"/>
      <c r="K33" s="235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0" t="s">
        <v>538</v>
      </c>
      <c r="B41" s="2321"/>
      <c r="C41" s="2321"/>
      <c r="D41" s="2321"/>
      <c r="E41" s="2321"/>
      <c r="F41" s="232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9" sqref="D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688913</v>
      </c>
      <c r="D5" s="1770">
        <v>30000</v>
      </c>
      <c r="E5" s="1770"/>
      <c r="F5" s="1765">
        <f>(C5+D5)-E5</f>
        <v>718913</v>
      </c>
      <c r="G5" s="676"/>
      <c r="H5" s="680"/>
      <c r="I5" s="680"/>
      <c r="J5" s="680"/>
      <c r="K5" s="637"/>
      <c r="L5" s="1442">
        <f>F5-K5</f>
        <v>718913</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5508794</v>
      </c>
      <c r="D8" s="1771">
        <f>12950+195648+1</f>
        <v>208599</v>
      </c>
      <c r="E8" s="1771"/>
      <c r="F8" s="1765">
        <f>(C8+D8)-E8</f>
        <v>5717393</v>
      </c>
      <c r="G8" s="681">
        <v>50</v>
      </c>
      <c r="H8" s="619">
        <v>2527106</v>
      </c>
      <c r="I8" s="619">
        <v>167226</v>
      </c>
      <c r="J8" s="619"/>
      <c r="K8" s="1442">
        <f>(H8+I8)-J8</f>
        <v>2694332</v>
      </c>
      <c r="L8" s="1442">
        <f>F8-K8</f>
        <v>3023061</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335692</v>
      </c>
      <c r="D12" s="1771">
        <v>72995</v>
      </c>
      <c r="E12" s="1771"/>
      <c r="F12" s="1765">
        <f>(C12+D12)-E12</f>
        <v>408687</v>
      </c>
      <c r="G12" s="681">
        <v>10</v>
      </c>
      <c r="H12" s="619">
        <v>325332</v>
      </c>
      <c r="I12" s="619">
        <v>13898</v>
      </c>
      <c r="J12" s="619"/>
      <c r="K12" s="1442">
        <f>(H12+I12)-J12</f>
        <v>339230</v>
      </c>
      <c r="L12" s="1442">
        <f>F12-K12</f>
        <v>69457</v>
      </c>
    </row>
    <row r="13" spans="1:14" ht="14.25" thickTop="1" thickBot="1" x14ac:dyDescent="0.25">
      <c r="A13" s="684" t="s">
        <v>1112</v>
      </c>
      <c r="B13" s="679">
        <v>252</v>
      </c>
      <c r="C13" s="1771">
        <v>1257615</v>
      </c>
      <c r="D13" s="1771">
        <f>63166+53694</f>
        <v>116860</v>
      </c>
      <c r="E13" s="1771"/>
      <c r="F13" s="1765">
        <f>(C13+D13)-E13</f>
        <v>1374475</v>
      </c>
      <c r="G13" s="681">
        <v>5</v>
      </c>
      <c r="H13" s="619">
        <v>1199240</v>
      </c>
      <c r="I13" s="619">
        <v>53678</v>
      </c>
      <c r="J13" s="619"/>
      <c r="K13" s="1442">
        <f>(H13+I13)-J13</f>
        <v>1252918</v>
      </c>
      <c r="L13" s="1442">
        <f>F13-K13</f>
        <v>121557</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7791014</v>
      </c>
      <c r="D16" s="1765">
        <f>SUM(D3,D5:D6,D8:D10,D12:D15)</f>
        <v>428454</v>
      </c>
      <c r="E16" s="1765">
        <f>SUM(E3,E5:E6,E8:E10,E12:E15)</f>
        <v>0</v>
      </c>
      <c r="F16" s="1765">
        <f>SUM(F3,F5:F6,F8:F10,F12:F15)</f>
        <v>8219468</v>
      </c>
      <c r="G16" s="681"/>
      <c r="H16" s="1435">
        <f>SUM(H3,H6,H8:H10,H12:H14,)</f>
        <v>4051678</v>
      </c>
      <c r="I16" s="1435">
        <f>SUM(I3,I6,I8:I10,I12:I14,)</f>
        <v>234802</v>
      </c>
      <c r="J16" s="1435">
        <f>SUM(J3,J6,J8:J10,J12:J14,)</f>
        <v>0</v>
      </c>
      <c r="K16" s="1435">
        <f>(H16+I16)-J16</f>
        <v>4286480</v>
      </c>
      <c r="L16" s="1435">
        <f>F16-K16</f>
        <v>3932988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234802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view="pageBreakPreview" colorId="8" zoomScale="23" zoomScaleNormal="110" zoomScaleSheetLayoutView="23"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3710647</v>
      </c>
      <c r="G8" s="701"/>
    </row>
    <row r="9" spans="1:9" x14ac:dyDescent="0.2">
      <c r="A9" s="705" t="s">
        <v>457</v>
      </c>
      <c r="B9" s="706" t="s">
        <v>1848</v>
      </c>
      <c r="C9" s="707"/>
      <c r="D9" s="705" t="s">
        <v>498</v>
      </c>
      <c r="E9" s="704"/>
      <c r="F9" s="1775">
        <f>'Expenditures 15-22'!K151</f>
        <v>205324</v>
      </c>
      <c r="G9" s="708"/>
    </row>
    <row r="10" spans="1:9" x14ac:dyDescent="0.2">
      <c r="A10" s="705" t="s">
        <v>496</v>
      </c>
      <c r="B10" s="706" t="s">
        <v>1849</v>
      </c>
      <c r="C10" s="707"/>
      <c r="D10" s="705" t="s">
        <v>498</v>
      </c>
      <c r="E10" s="704"/>
      <c r="F10" s="1775">
        <f>'Expenditures 15-22'!K174</f>
        <v>180748</v>
      </c>
      <c r="G10" s="708"/>
    </row>
    <row r="11" spans="1:9" x14ac:dyDescent="0.2">
      <c r="A11" s="705" t="s">
        <v>458</v>
      </c>
      <c r="B11" s="706" t="s">
        <v>1850</v>
      </c>
      <c r="C11" s="707"/>
      <c r="D11" s="705" t="s">
        <v>498</v>
      </c>
      <c r="E11" s="704"/>
      <c r="F11" s="1775">
        <f>'Expenditures 15-22'!K210</f>
        <v>126938</v>
      </c>
      <c r="G11" s="708"/>
    </row>
    <row r="12" spans="1:9" x14ac:dyDescent="0.2">
      <c r="A12" s="705" t="s">
        <v>459</v>
      </c>
      <c r="B12" s="706" t="s">
        <v>1851</v>
      </c>
      <c r="C12" s="707"/>
      <c r="D12" s="705" t="s">
        <v>498</v>
      </c>
      <c r="E12" s="704"/>
      <c r="F12" s="1775">
        <f>'Expenditures 15-22'!K295</f>
        <v>137889</v>
      </c>
      <c r="G12" s="708"/>
    </row>
    <row r="13" spans="1:9" x14ac:dyDescent="0.2">
      <c r="A13" s="705" t="s">
        <v>106</v>
      </c>
      <c r="B13" s="706" t="s">
        <v>1852</v>
      </c>
      <c r="C13" s="707"/>
      <c r="D13" s="705" t="s">
        <v>498</v>
      </c>
      <c r="E13" s="704"/>
      <c r="F13" s="1775">
        <f>'Expenditures 15-22'!K342</f>
        <v>398269</v>
      </c>
      <c r="G13" s="709"/>
    </row>
    <row r="14" spans="1:9" ht="12" customHeight="1" thickBot="1" x14ac:dyDescent="0.25">
      <c r="A14" s="1443"/>
      <c r="B14" s="1444"/>
      <c r="C14" s="1445"/>
      <c r="D14" s="1446" t="s">
        <v>498</v>
      </c>
      <c r="E14" s="1447" t="s">
        <v>952</v>
      </c>
      <c r="F14" s="1776">
        <f>SUM(F8:F13)</f>
        <v>4759815</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18405</v>
      </c>
      <c r="G52" s="701"/>
    </row>
    <row r="53" spans="1:7" x14ac:dyDescent="0.2">
      <c r="A53" s="705" t="s">
        <v>456</v>
      </c>
      <c r="B53" s="705" t="s">
        <v>1458</v>
      </c>
      <c r="C53" s="724">
        <f>'Expenditures 15-22'!B102</f>
        <v>4000</v>
      </c>
      <c r="D53" s="723" t="str">
        <f>'Expenditures 15-22'!A102</f>
        <v>Total Payments to Other Govt Units</v>
      </c>
      <c r="E53" s="704"/>
      <c r="F53" s="1782">
        <f>'Expenditures 15-22'!K102</f>
        <v>187057</v>
      </c>
      <c r="G53" s="701"/>
    </row>
    <row r="54" spans="1:7" x14ac:dyDescent="0.2">
      <c r="A54" s="705" t="s">
        <v>456</v>
      </c>
      <c r="B54" s="705" t="s">
        <v>1459</v>
      </c>
      <c r="C54" s="724" t="s">
        <v>975</v>
      </c>
      <c r="D54" s="720" t="s">
        <v>1086</v>
      </c>
      <c r="E54" s="704"/>
      <c r="F54" s="1782">
        <f>'Expenditures 15-22'!G114</f>
        <v>123488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62620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155000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1113</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1192</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548875</v>
      </c>
      <c r="G77" s="701"/>
    </row>
    <row r="78" spans="1:9" s="728" customFormat="1" ht="12" customHeight="1" thickTop="1" thickBot="1" x14ac:dyDescent="0.25">
      <c r="A78" s="1450"/>
      <c r="B78" s="1448"/>
      <c r="C78" s="1445"/>
      <c r="D78" s="1449" t="s">
        <v>2012</v>
      </c>
      <c r="E78" s="1447"/>
      <c r="F78" s="1788">
        <f>(F14-F77)</f>
        <v>4210940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534.29999999999995</v>
      </c>
      <c r="G79" s="733"/>
      <c r="H79" s="705"/>
      <c r="I79" s="705"/>
    </row>
    <row r="80" spans="1:9" s="728" customFormat="1" ht="12" customHeight="1" thickBot="1" x14ac:dyDescent="0.25">
      <c r="A80" s="1452"/>
      <c r="B80" s="1448"/>
      <c r="C80" s="1445"/>
      <c r="D80" s="1449" t="s">
        <v>2013</v>
      </c>
      <c r="E80" s="1447" t="s">
        <v>952</v>
      </c>
      <c r="F80" s="1790">
        <f>IF(F79&gt;0,F78/F79," Complete Line 79")</f>
        <v>7881.2277746584323</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14590</v>
      </c>
      <c r="G95" s="745"/>
    </row>
    <row r="96" spans="1:7" x14ac:dyDescent="0.2">
      <c r="A96" s="741" t="s">
        <v>139</v>
      </c>
      <c r="B96" s="741" t="s">
        <v>174</v>
      </c>
      <c r="C96" s="743">
        <v>1700</v>
      </c>
      <c r="D96" s="751" t="str">
        <f>'Revenues 9-14'!A82</f>
        <v>Total District/School Activity Income</v>
      </c>
      <c r="E96" s="739"/>
      <c r="F96" s="1793">
        <f>SUM('Revenues 9-14'!C82,'Revenues 9-14'!D82)</f>
        <v>31974</v>
      </c>
      <c r="G96" s="745"/>
    </row>
    <row r="97" spans="1:7" x14ac:dyDescent="0.2">
      <c r="A97" s="741" t="s">
        <v>456</v>
      </c>
      <c r="B97" s="741" t="s">
        <v>175</v>
      </c>
      <c r="C97" s="743">
        <f>'Revenues 9-14'!B84</f>
        <v>1811</v>
      </c>
      <c r="D97" s="744" t="str">
        <f>'Revenues 9-14'!A84</f>
        <v>Rentals - Regular Textbooks</v>
      </c>
      <c r="E97" s="739"/>
      <c r="F97" s="1793">
        <f>'Revenues 9-14'!C84</f>
        <v>49649</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8428</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251</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51043</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37195</v>
      </c>
      <c r="G126" s="763"/>
    </row>
    <row r="127" spans="1:7" x14ac:dyDescent="0.2">
      <c r="A127" s="760" t="s">
        <v>663</v>
      </c>
      <c r="B127" s="760" t="s">
        <v>1931</v>
      </c>
      <c r="C127" s="765">
        <v>4300</v>
      </c>
      <c r="D127" s="766" t="str">
        <f>'Revenues 9-14'!A204</f>
        <v>Total Title I</v>
      </c>
      <c r="E127" s="739"/>
      <c r="F127" s="1793">
        <f>SUM('Revenues 9-14'!C204,'Revenues 9-14'!D204,'Revenues 9-14'!F204,'Revenues 9-14'!G204)</f>
        <v>57542</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16617</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112680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5449</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7341</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3850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3947</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450556</v>
      </c>
    </row>
    <row r="176" spans="1:7" ht="12" customHeight="1" x14ac:dyDescent="0.2">
      <c r="A176" s="1443"/>
      <c r="B176" s="1453"/>
      <c r="C176" s="1454"/>
      <c r="D176" s="1455" t="s">
        <v>2014</v>
      </c>
      <c r="E176" s="1456"/>
      <c r="F176" s="1793">
        <f>'PCTC-OEPP 27-28'!F78-F175</f>
        <v>3760384</v>
      </c>
    </row>
    <row r="177" spans="1:9" ht="12" customHeight="1" x14ac:dyDescent="0.2">
      <c r="A177" s="1443"/>
      <c r="B177" s="1453"/>
      <c r="C177" s="1454"/>
      <c r="D177" s="1455" t="s">
        <v>1794</v>
      </c>
      <c r="E177" s="1456"/>
      <c r="F177" s="1793">
        <f>'Cap Outlay Deprec 26'!I18</f>
        <v>234802</v>
      </c>
    </row>
    <row r="178" spans="1:9" ht="12" customHeight="1" x14ac:dyDescent="0.2">
      <c r="A178" s="1443"/>
      <c r="B178" s="1453"/>
      <c r="C178" s="1454"/>
      <c r="D178" s="1455" t="s">
        <v>2015</v>
      </c>
      <c r="E178" s="1456"/>
      <c r="F178" s="1793">
        <f>F176+F177</f>
        <v>3995186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534.29999999999995</v>
      </c>
      <c r="G179" s="763"/>
      <c r="I179" s="701"/>
    </row>
    <row r="180" spans="1:9" ht="12" customHeight="1" thickBot="1" x14ac:dyDescent="0.25">
      <c r="A180" s="1443"/>
      <c r="B180" s="1457"/>
      <c r="C180" s="1454"/>
      <c r="D180" s="1455" t="s">
        <v>2017</v>
      </c>
      <c r="E180" s="1456" t="s">
        <v>1528</v>
      </c>
      <c r="F180" s="1798">
        <f>F178/F179</f>
        <v>7477.4209245742095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view="pageBreakPreview" topLeftCell="A16" zoomScale="60" zoomScaleNormal="100" workbookViewId="0">
      <selection activeCell="B22" sqref="B22"/>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2079</v>
      </c>
      <c r="B18" s="1908">
        <v>102100300</v>
      </c>
      <c r="C18" s="2037" t="s">
        <v>2080</v>
      </c>
      <c r="D18" s="1886">
        <v>12717</v>
      </c>
      <c r="E18" s="1906">
        <f t="shared" ref="E18:E81" si="0">IF(D18&lt;25000,D18,"25,000")</f>
        <v>12717</v>
      </c>
      <c r="F18" s="1906" t="str">
        <f t="shared" ref="F18:F81" si="1">IF(D18&gt;=25000,(D18-E18),"0")</f>
        <v>0</v>
      </c>
      <c r="G18" s="1887"/>
    </row>
    <row r="19" spans="1:7" x14ac:dyDescent="0.25">
      <c r="A19" s="1888" t="s">
        <v>2081</v>
      </c>
      <c r="B19" s="1908">
        <v>102630300</v>
      </c>
      <c r="C19" s="2037" t="s">
        <v>2082</v>
      </c>
      <c r="D19" s="1886">
        <v>28724</v>
      </c>
      <c r="E19" s="1906" t="str">
        <f t="shared" si="0"/>
        <v>25,000</v>
      </c>
      <c r="F19" s="1906">
        <f t="shared" si="1"/>
        <v>3724</v>
      </c>
    </row>
    <row r="20" spans="1:7" x14ac:dyDescent="0.25">
      <c r="A20" s="2036" t="s">
        <v>2083</v>
      </c>
      <c r="B20" s="1908">
        <v>101000300</v>
      </c>
      <c r="C20" s="1885" t="s">
        <v>2087</v>
      </c>
      <c r="D20" s="1886">
        <v>28065</v>
      </c>
      <c r="E20" s="1906" t="str">
        <f t="shared" si="0"/>
        <v>25,000</v>
      </c>
      <c r="F20" s="1906">
        <f t="shared" si="1"/>
        <v>3065</v>
      </c>
    </row>
    <row r="21" spans="1:7" x14ac:dyDescent="0.25">
      <c r="A21" s="1888" t="s">
        <v>2084</v>
      </c>
      <c r="B21" s="1908">
        <v>202540300</v>
      </c>
      <c r="C21" s="1885" t="s">
        <v>2088</v>
      </c>
      <c r="D21" s="1886">
        <v>580</v>
      </c>
      <c r="E21" s="1906">
        <f t="shared" si="0"/>
        <v>580</v>
      </c>
      <c r="F21" s="1906" t="str">
        <f t="shared" si="1"/>
        <v>0</v>
      </c>
    </row>
    <row r="22" spans="1:7" x14ac:dyDescent="0.25">
      <c r="A22" s="1888" t="s">
        <v>2084</v>
      </c>
      <c r="B22" s="1908">
        <v>202540300</v>
      </c>
      <c r="C22" s="1885" t="s">
        <v>2089</v>
      </c>
      <c r="D22" s="1886">
        <v>1604</v>
      </c>
      <c r="E22" s="1906">
        <f t="shared" si="0"/>
        <v>1604</v>
      </c>
      <c r="F22" s="1906" t="str">
        <f t="shared" si="1"/>
        <v>0</v>
      </c>
    </row>
    <row r="23" spans="1:7" x14ac:dyDescent="0.25">
      <c r="A23" s="1888" t="s">
        <v>2084</v>
      </c>
      <c r="B23" s="1908">
        <v>202540300</v>
      </c>
      <c r="C23" s="1885" t="s">
        <v>2089</v>
      </c>
      <c r="D23" s="1886">
        <v>1562</v>
      </c>
      <c r="E23" s="1906">
        <f t="shared" si="0"/>
        <v>1562</v>
      </c>
      <c r="F23" s="1906" t="str">
        <f t="shared" si="1"/>
        <v>0</v>
      </c>
    </row>
    <row r="24" spans="1:7" x14ac:dyDescent="0.25">
      <c r="A24" s="1888" t="s">
        <v>2084</v>
      </c>
      <c r="B24" s="1908">
        <v>202540300</v>
      </c>
      <c r="C24" s="1885" t="s">
        <v>2090</v>
      </c>
      <c r="D24" s="1886">
        <v>7300</v>
      </c>
      <c r="E24" s="1906">
        <f t="shared" si="0"/>
        <v>7300</v>
      </c>
      <c r="F24" s="1906" t="str">
        <f t="shared" si="1"/>
        <v>0</v>
      </c>
    </row>
    <row r="25" spans="1:7" x14ac:dyDescent="0.25">
      <c r="A25" s="1888" t="s">
        <v>2085</v>
      </c>
      <c r="B25" s="1908">
        <v>402550300</v>
      </c>
      <c r="C25" s="1885" t="s">
        <v>2091</v>
      </c>
      <c r="D25" s="1886">
        <v>4445</v>
      </c>
      <c r="E25" s="1906">
        <f t="shared" si="0"/>
        <v>4445</v>
      </c>
      <c r="F25" s="1906" t="str">
        <f t="shared" si="1"/>
        <v>0</v>
      </c>
    </row>
    <row r="26" spans="1:7" x14ac:dyDescent="0.25">
      <c r="A26" s="1888" t="s">
        <v>2086</v>
      </c>
      <c r="B26" s="1908">
        <v>802300300</v>
      </c>
      <c r="C26" s="1885" t="s">
        <v>2092</v>
      </c>
      <c r="D26" s="1886">
        <v>3496</v>
      </c>
      <c r="E26" s="1906">
        <f t="shared" si="0"/>
        <v>3496</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88493</v>
      </c>
      <c r="E142" s="1893">
        <f>SUM(E18:E141)</f>
        <v>31704</v>
      </c>
      <c r="F142" s="1894">
        <f>SUM(F18:F141)</f>
        <v>6789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view="pageBreakPreview" topLeftCell="A16" colorId="8" zoomScale="60" zoomScaleNormal="110" workbookViewId="0">
      <selection activeCell="B20" sqref="B2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f>'Expenditures 15-22'!K60</f>
        <v>102930</v>
      </c>
      <c r="F8" s="805"/>
      <c r="G8" s="806"/>
      <c r="H8" s="157"/>
      <c r="I8" s="157"/>
    </row>
    <row r="9" spans="1:13" s="542" customFormat="1" ht="12" customHeight="1" x14ac:dyDescent="0.2">
      <c r="A9" s="802" t="s">
        <v>130</v>
      </c>
      <c r="B9" s="803"/>
      <c r="C9" s="803"/>
      <c r="D9" s="804"/>
      <c r="E9" s="1800">
        <f>'Expenditures 15-22'!K61+'Expenditures 15-22'!K124+'Expenditures 15-22'!K266</f>
        <v>371390</v>
      </c>
      <c r="F9" s="805"/>
      <c r="G9" s="806"/>
      <c r="H9" s="157"/>
      <c r="I9" s="157"/>
    </row>
    <row r="10" spans="1:13" s="542" customFormat="1" ht="12" customHeight="1" x14ac:dyDescent="0.2">
      <c r="A10" s="802" t="s">
        <v>1894</v>
      </c>
      <c r="B10" s="803"/>
      <c r="C10" s="807"/>
      <c r="D10" s="804"/>
      <c r="E10" s="1800">
        <f>'Expenditures 15-22'!K63</f>
        <v>32435</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14008</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2485330</v>
      </c>
      <c r="F19" s="1802"/>
      <c r="G19" s="1804">
        <f>'Expenditures 15-22'!K33-SUM('Expenditures 15-22'!G33,'Expenditures 15-22'!I33)+'Expenditures 15-22'!D229</f>
        <v>2485330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190075</v>
      </c>
      <c r="F21" s="1805"/>
      <c r="G21" s="1808">
        <f>'Expenditures 15-22'!K42-SUM('Expenditures 15-22'!G42,'Expenditures 15-22'!I42)+'Expenditures 15-22'!K120-SUM('Expenditures 15-22'!G120,'Expenditures 15-22'!I120)+'Expenditures 15-22'!K180-SUM('Expenditures 15-22'!G180,'Expenditures 15-22'!I180)+'Expenditures 15-22'!D238</f>
        <v>190075</v>
      </c>
      <c r="H21" s="817"/>
      <c r="I21" s="157"/>
    </row>
    <row r="22" spans="1:9" s="542" customFormat="1" ht="12" customHeight="1" x14ac:dyDescent="0.2">
      <c r="A22" s="824" t="s">
        <v>560</v>
      </c>
      <c r="B22" s="825"/>
      <c r="C22" s="823">
        <v>2200</v>
      </c>
      <c r="D22" s="1805"/>
      <c r="E22" s="1807">
        <f>'Expenditures 15-22'!K47-SUM('Expenditures 15-22'!G47,'Expenditures 15-22'!I47)+'Expenditures 15-22'!D243</f>
        <v>31990</v>
      </c>
      <c r="F22" s="1805"/>
      <c r="G22" s="1808">
        <f>'Expenditures 15-22'!K47-SUM('Expenditures 15-22'!G47,'Expenditures 15-22'!I47)+'Expenditures 15-22'!D243</f>
        <v>31990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562766</v>
      </c>
      <c r="F23" s="1805"/>
      <c r="G23" s="1807">
        <f>'Expenditures 15-22'!K53-SUM('Expenditures 15-22'!G53,'Expenditures 15-22'!I53)+'Expenditures 15-22'!D257+'Expenditures 15-22'!K330-SUM('Expenditures 15-22'!G330,'Expenditures 15-22'!I330)</f>
        <v>562766</v>
      </c>
      <c r="H23" s="817"/>
      <c r="I23" s="157"/>
    </row>
    <row r="24" spans="1:9" s="542" customFormat="1" ht="12" customHeight="1" x14ac:dyDescent="0.2">
      <c r="A24" s="824" t="s">
        <v>562</v>
      </c>
      <c r="B24" s="825"/>
      <c r="C24" s="823">
        <v>2400</v>
      </c>
      <c r="D24" s="1805"/>
      <c r="E24" s="1807">
        <f>'Expenditures 15-22'!K57-SUM('Expenditures 15-22'!G57,'Expenditures 15-22'!I57)+'Expenditures 15-22'!D261</f>
        <v>160670</v>
      </c>
      <c r="F24" s="1805"/>
      <c r="G24" s="1808">
        <f>'Expenditures 15-22'!K57-SUM('Expenditures 15-22'!G57,'Expenditures 15-22'!I57)+'Expenditures 15-22'!D261</f>
        <v>160670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11848</v>
      </c>
      <c r="E27" s="1807">
        <f>E8</f>
        <v>102930</v>
      </c>
      <c r="F27" s="1807">
        <f>'Expenditures 15-22'!K60-SUM('Expenditures 15-22'!G60,'Expenditures 15-22'!I60)+'Expenditures 15-22'!D264-E8</f>
        <v>11848</v>
      </c>
      <c r="G27" s="1808">
        <f>E8</f>
        <v>102930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350330</v>
      </c>
      <c r="F28" s="1809">
        <f>'Expenditures 15-22'!K61-SUM('Expenditures 15-22'!G61,'Expenditures 15-22'!I61)+'Expenditures 15-22'!K124-SUM('Expenditures 15-22'!G124,'Expenditures 15-22'!I124)+'Expenditures 15-22'!D266-E9</f>
        <v>-21060</v>
      </c>
      <c r="G28" s="1808">
        <f>E9</f>
        <v>371390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134330</v>
      </c>
      <c r="F29" s="1805"/>
      <c r="G29" s="1808">
        <f>'Expenditures 15-22'!K62-SUM('Expenditures 15-22'!G62,'Expenditures 15-22'!I62)+'Expenditures 15-22'!K125-SUM('Expenditures 15-22'!G125,'Expenditures 15-22'!I125)+'Expenditures 15-22'!K182-SUM('Expenditures 15-22'!G182,'Expenditures 15-22'!I182)+'Expenditures 15-22'!D267</f>
        <v>134330</v>
      </c>
      <c r="H29" s="815"/>
    </row>
    <row r="30" spans="1:9" ht="12" customHeight="1" x14ac:dyDescent="0.2">
      <c r="A30" s="824" t="s">
        <v>100</v>
      </c>
      <c r="B30" s="827"/>
      <c r="C30" s="823">
        <v>2560</v>
      </c>
      <c r="D30" s="1805"/>
      <c r="E30" s="1807">
        <f>'Expenditures 15-22'!K63-SUM('Expenditures 15-22'!G63,'Expenditures 15-22'!I63)+'Expenditures 15-22'!D268-E10</f>
        <v>3332</v>
      </c>
      <c r="F30" s="1805"/>
      <c r="G30" s="1807">
        <f>'Expenditures 15-22'!K63-SUM('Expenditures 15-22'!G63,'Expenditures 15-22'!I63)+'Expenditures 15-22'!D268-E10</f>
        <v>3332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119156</v>
      </c>
      <c r="F35" s="1805"/>
      <c r="G35" s="1807">
        <f>'Expenditures 15-22'!K69-SUM('Expenditures 15-22'!G69,'Expenditures 15-22'!I69)+'Expenditures 15-22'!D274</f>
        <v>119156</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19597</v>
      </c>
      <c r="F39" s="1805"/>
      <c r="G39" s="1807">
        <f>'Expenditures 15-22'!K75-SUM('Expenditures 15-22'!G75,'Expenditures 15-22'!I75)+'Expenditures 15-22'!K130-SUM('Expenditures 15-22'!G130,'Expenditures 15-22'!I130)+'Expenditures 15-22'!K185-SUM('Expenditures 15-22'!G185,'Expenditures 15-22'!I185)+'Expenditures 15-22'!D280</f>
        <v>19597</v>
      </c>
    </row>
    <row r="40" spans="1:7" ht="12" customHeight="1" x14ac:dyDescent="0.2">
      <c r="A40" s="820" t="s">
        <v>1798</v>
      </c>
      <c r="B40" s="821"/>
      <c r="C40" s="823"/>
      <c r="D40" s="1805"/>
      <c r="E40" s="1809">
        <f>-'Contracts Paid in CY 29'!F142</f>
        <v>-6789</v>
      </c>
      <c r="F40" s="1805"/>
      <c r="G40" s="1809">
        <f>-'Contracts Paid in CY 29'!F142</f>
        <v>-6789</v>
      </c>
    </row>
    <row r="41" spans="1:7" ht="12" customHeight="1" x14ac:dyDescent="0.2">
      <c r="A41" s="828" t="s">
        <v>155</v>
      </c>
      <c r="B41" s="829"/>
      <c r="C41" s="830"/>
      <c r="D41" s="1809">
        <f>SUM(D19:D39)</f>
        <v>11848</v>
      </c>
      <c r="E41" s="1809">
        <f>SUM(E19:E40)</f>
        <v>4153717</v>
      </c>
      <c r="F41" s="1809">
        <f>SUM(F19:F39)</f>
        <v>-9212</v>
      </c>
      <c r="G41" s="1809">
        <f>SUM(G19:G40)</f>
        <v>4174777</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11848</v>
      </c>
      <c r="F43" s="1458" t="s">
        <v>470</v>
      </c>
      <c r="G43" s="1810">
        <f>F41</f>
        <v>-9212</v>
      </c>
    </row>
    <row r="44" spans="1:7" ht="12" customHeight="1" x14ac:dyDescent="0.2">
      <c r="A44" s="817"/>
      <c r="B44" s="157"/>
      <c r="C44" s="831"/>
      <c r="D44" s="1458" t="s">
        <v>471</v>
      </c>
      <c r="E44" s="1810">
        <f>E41</f>
        <v>4153717</v>
      </c>
      <c r="F44" s="1458" t="s">
        <v>471</v>
      </c>
      <c r="G44" s="1810">
        <f>G41</f>
        <v>4174777</v>
      </c>
    </row>
    <row r="45" spans="1:7" ht="12" customHeight="1" x14ac:dyDescent="0.2">
      <c r="A45" s="817"/>
      <c r="B45" s="157"/>
      <c r="C45" s="157"/>
      <c r="D45" s="1459" t="s">
        <v>999</v>
      </c>
      <c r="E45" s="1811">
        <f>(E43/E44)</f>
        <v>2.8523849843405317E-3</v>
      </c>
      <c r="F45" s="1459" t="s">
        <v>999</v>
      </c>
      <c r="G45" s="1811">
        <f>(G43/G44)</f>
        <v>-2.206584926572126E-3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view="pageBreakPreview" topLeftCell="A4" zoomScale="60" zoomScaleNormal="110" workbookViewId="0">
      <selection activeCell="F25" sqref="F25"/>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5703125" style="1507" bestFit="1" customWidth="1"/>
    <col min="9" max="9" width="4" style="1507" bestFit="1" customWidth="1"/>
    <col min="10" max="10" width="2.7109375" style="1507" bestFit="1" customWidth="1"/>
    <col min="11" max="11" width="9" style="1507" customWidth="1"/>
    <col min="12" max="16384" width="9.140625" style="1477"/>
  </cols>
  <sheetData>
    <row r="1" spans="1:15" x14ac:dyDescent="0.2">
      <c r="A1" s="2401" t="s">
        <v>1363</v>
      </c>
      <c r="B1" s="2401"/>
      <c r="C1" s="2401"/>
      <c r="D1" s="2401"/>
      <c r="E1" s="2401"/>
      <c r="F1" s="240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2" t="s">
        <v>1529</v>
      </c>
      <c r="B5" s="2403"/>
      <c r="C5" s="2404"/>
      <c r="D5" s="2404"/>
      <c r="E5" s="2404"/>
      <c r="F5" s="2404"/>
      <c r="G5" s="1507"/>
      <c r="L5" s="1507"/>
      <c r="M5" s="1855"/>
      <c r="N5" s="1855"/>
      <c r="O5" s="1855"/>
    </row>
    <row r="6" spans="1:15" ht="12" customHeight="1" x14ac:dyDescent="0.25">
      <c r="A6" s="1480"/>
      <c r="B6" s="1481"/>
      <c r="C6" s="2405" t="str">
        <f>COVER!A17</f>
        <v xml:space="preserve">  Smithton CCSD 130</v>
      </c>
      <c r="D6" s="2405"/>
      <c r="E6" s="2405"/>
      <c r="F6" s="1482"/>
      <c r="G6" s="1507"/>
      <c r="L6" s="1507"/>
      <c r="M6" s="1855"/>
      <c r="N6" s="1855"/>
      <c r="O6" s="1855"/>
    </row>
    <row r="7" spans="1:15" ht="11.25" customHeight="1" thickBot="1" x14ac:dyDescent="0.3">
      <c r="A7" s="1480"/>
      <c r="B7" s="1481"/>
      <c r="C7" s="2406">
        <f>COVER!A13</f>
        <v>50082130004</v>
      </c>
      <c r="D7" s="2406"/>
      <c r="E7" s="240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t="s">
        <v>2051</v>
      </c>
      <c r="D15" s="1495" t="s">
        <v>2051</v>
      </c>
      <c r="E15" s="1498"/>
      <c r="F15" s="1497" t="s">
        <v>2071</v>
      </c>
      <c r="G15" s="1507"/>
      <c r="H15" s="1507">
        <f t="shared" si="0"/>
        <v>5</v>
      </c>
      <c r="I15" s="1507">
        <f t="shared" si="1"/>
        <v>5</v>
      </c>
      <c r="J15" s="1507">
        <f t="shared" si="2"/>
        <v>0</v>
      </c>
      <c r="L15" s="1507"/>
      <c r="M15" s="1855"/>
      <c r="N15" s="1855"/>
      <c r="O15" s="1855"/>
    </row>
    <row r="16" spans="1:15" ht="12" customHeight="1" x14ac:dyDescent="0.2">
      <c r="A16" s="1493" t="s">
        <v>1372</v>
      </c>
      <c r="B16" s="1494"/>
      <c r="C16" s="1495" t="s">
        <v>2051</v>
      </c>
      <c r="D16" s="1495" t="s">
        <v>2051</v>
      </c>
      <c r="E16" s="1498"/>
      <c r="F16" s="1497" t="s">
        <v>2072</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2051</v>
      </c>
      <c r="D19" s="1495" t="s">
        <v>2051</v>
      </c>
      <c r="E19" s="1498"/>
      <c r="F19" s="1497" t="s">
        <v>2073</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2051</v>
      </c>
      <c r="D24" s="1495" t="s">
        <v>2051</v>
      </c>
      <c r="E24" s="1498"/>
      <c r="F24" s="2035" t="s">
        <v>2074</v>
      </c>
      <c r="G24" s="1507"/>
      <c r="H24" s="1507">
        <f t="shared" si="0"/>
        <v>5</v>
      </c>
      <c r="I24" s="1507">
        <f t="shared" si="1"/>
        <v>5</v>
      </c>
      <c r="J24" s="1507">
        <f t="shared" si="2"/>
        <v>0</v>
      </c>
      <c r="L24" s="1507"/>
      <c r="M24" s="1855"/>
      <c r="N24" s="1855"/>
      <c r="O24" s="1855"/>
    </row>
    <row r="25" spans="1:15" ht="12" customHeight="1" x14ac:dyDescent="0.2">
      <c r="A25" s="1493" t="s">
        <v>1516</v>
      </c>
      <c r="B25" s="1494"/>
      <c r="C25" s="1495" t="s">
        <v>2051</v>
      </c>
      <c r="D25" s="1495"/>
      <c r="E25" s="1498"/>
      <c r="F25" s="1497" t="s">
        <v>2075</v>
      </c>
      <c r="G25" s="1507"/>
      <c r="H25" s="1507">
        <f t="shared" si="0"/>
        <v>5</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2076</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2051</v>
      </c>
      <c r="D30" s="1495" t="s">
        <v>2051</v>
      </c>
      <c r="E30" s="1498"/>
      <c r="F30" s="1497" t="s">
        <v>2077</v>
      </c>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2051</v>
      </c>
      <c r="D32" s="1495" t="s">
        <v>2051</v>
      </c>
      <c r="E32" s="1498"/>
      <c r="F32" s="1497" t="s">
        <v>2078</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40</v>
      </c>
      <c r="I34" s="1507">
        <f>SUM(I11:I32)</f>
        <v>35</v>
      </c>
      <c r="J34" s="1507">
        <f>SUM(J11:J32)</f>
        <v>0</v>
      </c>
      <c r="K34" s="1507">
        <f>SUM(H34:J34)</f>
        <v>75</v>
      </c>
      <c r="L34" s="1507"/>
      <c r="M34" s="1855"/>
      <c r="N34" s="1855"/>
      <c r="O34" s="1855"/>
    </row>
    <row r="35" spans="1:15" ht="12" customHeight="1" x14ac:dyDescent="0.2">
      <c r="A35" s="1500" t="s">
        <v>1376</v>
      </c>
      <c r="B35" s="1501"/>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1375</v>
      </c>
      <c r="B40" s="1504"/>
      <c r="C40" s="2415"/>
      <c r="D40" s="2415"/>
      <c r="E40" s="2415"/>
      <c r="F40" s="2416"/>
      <c r="H40" s="1508"/>
      <c r="I40" s="1508"/>
      <c r="J40" s="1508"/>
      <c r="K40" s="1508"/>
    </row>
    <row r="41" spans="1:15" s="1499" customFormat="1" ht="12" customHeight="1" x14ac:dyDescent="0.25">
      <c r="A41" s="2417"/>
      <c r="B41" s="2418"/>
      <c r="C41" s="2418"/>
      <c r="D41" s="2418"/>
      <c r="E41" s="2418"/>
      <c r="F41" s="2419"/>
      <c r="H41" s="1508"/>
      <c r="I41" s="1508"/>
      <c r="J41" s="1508"/>
      <c r="K41" s="1508"/>
    </row>
    <row r="42" spans="1:15" s="1499" customFormat="1" ht="12" customHeight="1" x14ac:dyDescent="0.25">
      <c r="A42" s="2417"/>
      <c r="B42" s="2418"/>
      <c r="C42" s="2418"/>
      <c r="D42" s="2418"/>
      <c r="E42" s="2418"/>
      <c r="F42" s="2419"/>
      <c r="H42" s="1508"/>
      <c r="I42" s="1508"/>
      <c r="J42" s="1508"/>
      <c r="K42" s="1508"/>
    </row>
    <row r="43" spans="1:15" s="1499" customFormat="1" ht="15" x14ac:dyDescent="0.25">
      <c r="A43" s="2409"/>
      <c r="B43" s="2410"/>
      <c r="C43" s="2410"/>
      <c r="D43" s="2410"/>
      <c r="E43" s="2410"/>
      <c r="F43" s="2411"/>
      <c r="H43" s="1508"/>
      <c r="I43" s="1508"/>
      <c r="J43" s="1508"/>
      <c r="K43" s="1508"/>
    </row>
    <row r="44" spans="1:15" s="1499" customFormat="1" ht="12" hidden="1" customHeight="1" x14ac:dyDescent="0.25">
      <c r="A44" s="2409"/>
      <c r="B44" s="2410"/>
      <c r="C44" s="2410"/>
      <c r="D44" s="2410"/>
      <c r="E44" s="2410"/>
      <c r="F44" s="241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view="pageBreakPreview" topLeftCell="A22" zoomScale="60" zoomScaleNormal="100" workbookViewId="0">
      <selection activeCell="I13" sqref="I13"/>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1" t="str">
        <f>COVER!A17</f>
        <v xml:space="preserve">  Smithton CCSD 130</v>
      </c>
      <c r="K6" s="2421"/>
      <c r="L6" s="2422"/>
      <c r="M6" s="838"/>
      <c r="N6" s="1998"/>
    </row>
    <row r="7" spans="1:14" x14ac:dyDescent="0.2">
      <c r="A7" s="2423" t="s">
        <v>864</v>
      </c>
      <c r="B7" s="2424"/>
      <c r="C7" s="2424"/>
      <c r="D7" s="2424"/>
      <c r="E7" s="2425"/>
      <c r="F7" s="839"/>
      <c r="G7" s="838"/>
      <c r="H7" s="838"/>
      <c r="I7" s="1924" t="s">
        <v>369</v>
      </c>
      <c r="J7" s="2426">
        <f>COVER!A13</f>
        <v>50082130004</v>
      </c>
      <c r="K7" s="2426"/>
      <c r="L7" s="2426"/>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7" t="s">
        <v>478</v>
      </c>
      <c r="B11" s="2428"/>
      <c r="C11" s="2429"/>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121891</v>
      </c>
      <c r="F12" s="1942"/>
      <c r="G12" s="1968">
        <f>G68</f>
        <v>0</v>
      </c>
      <c r="H12" s="1944">
        <f t="shared" ref="H12:H18" si="0">SUM(E12:G12)</f>
        <v>121891</v>
      </c>
      <c r="I12" s="1943">
        <v>128170</v>
      </c>
      <c r="J12" s="1942"/>
      <c r="K12" s="1943"/>
      <c r="L12" s="1944">
        <f t="shared" ref="L12:L18" si="1">SUM(I12:K12)</f>
        <v>128170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0" t="s">
        <v>7</v>
      </c>
      <c r="C18" s="2431"/>
      <c r="D18" s="2432"/>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121891</v>
      </c>
      <c r="F19" s="1950">
        <f t="shared" si="2"/>
        <v>0</v>
      </c>
      <c r="G19" s="1950">
        <f t="shared" ref="G19" si="3">SUM(G12:G17)-G18</f>
        <v>0</v>
      </c>
      <c r="H19" s="1950">
        <f t="shared" si="2"/>
        <v>121891</v>
      </c>
      <c r="I19" s="1950">
        <f t="shared" si="2"/>
        <v>128170</v>
      </c>
      <c r="J19" s="1950">
        <f t="shared" si="2"/>
        <v>0</v>
      </c>
      <c r="K19" s="1950">
        <f t="shared" si="2"/>
        <v>0</v>
      </c>
      <c r="L19" s="1950">
        <f t="shared" si="2"/>
        <v>128170</v>
      </c>
      <c r="M19" s="838"/>
      <c r="N19" s="1998"/>
    </row>
    <row r="20" spans="1:14" ht="13.5" thickTop="1" x14ac:dyDescent="0.2">
      <c r="A20" s="2003">
        <v>9</v>
      </c>
      <c r="B20" s="2433" t="s">
        <v>2021</v>
      </c>
      <c r="C20" s="2433"/>
      <c r="D20" s="2434"/>
      <c r="E20" s="1951"/>
      <c r="F20" s="1951"/>
      <c r="G20" s="1951"/>
      <c r="H20" s="1951"/>
      <c r="I20" s="1951"/>
      <c r="J20" s="1951"/>
      <c r="K20" s="1951"/>
      <c r="L20" s="1952">
        <f>IF(AND(H19&gt;0,L19&gt;0),(((L19-H19)/H19)),"Enter Budget Data")</f>
        <v>5.151323723654741E-2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5"/>
      <c r="D27" s="2435"/>
      <c r="E27" s="843"/>
      <c r="F27" s="2436"/>
      <c r="G27" s="2436"/>
      <c r="H27" s="2436"/>
      <c r="I27" s="838"/>
      <c r="J27" s="838"/>
      <c r="K27" s="838"/>
      <c r="L27" s="838"/>
      <c r="M27" s="838"/>
      <c r="N27" s="1998"/>
    </row>
    <row r="28" spans="1:14" x14ac:dyDescent="0.2">
      <c r="A28" s="1997"/>
      <c r="B28" s="2007"/>
      <c r="C28" s="1957" t="s">
        <v>1026</v>
      </c>
      <c r="D28" s="844"/>
      <c r="E28" s="1958"/>
      <c r="F28" s="2437" t="s">
        <v>1492</v>
      </c>
      <c r="G28" s="2437"/>
      <c r="H28" s="2437"/>
      <c r="I28" s="838"/>
      <c r="J28" s="838"/>
      <c r="K28" s="838"/>
      <c r="L28" s="838"/>
      <c r="M28" s="838"/>
      <c r="N28" s="1998"/>
    </row>
    <row r="29" spans="1:14" x14ac:dyDescent="0.2">
      <c r="A29" s="1997"/>
      <c r="B29" s="2007"/>
      <c r="C29" s="2438"/>
      <c r="D29" s="2438"/>
      <c r="E29" s="845"/>
      <c r="F29" s="2438"/>
      <c r="G29" s="2438"/>
      <c r="H29" s="2438"/>
      <c r="I29" s="838"/>
      <c r="J29" s="838"/>
      <c r="K29" s="838"/>
      <c r="L29" s="838"/>
      <c r="M29" s="838"/>
      <c r="N29" s="1998"/>
    </row>
    <row r="30" spans="1:14" x14ac:dyDescent="0.2">
      <c r="A30" s="1997"/>
      <c r="B30" s="2007"/>
      <c r="C30" s="1960" t="s">
        <v>1544</v>
      </c>
      <c r="D30" s="838"/>
      <c r="E30" s="1959"/>
      <c r="F30" s="2420" t="s">
        <v>1493</v>
      </c>
      <c r="G30" s="2420"/>
      <c r="H30" s="242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1" t="s">
        <v>2024</v>
      </c>
      <c r="D34" s="2442"/>
      <c r="E34" s="2442"/>
      <c r="F34" s="2442"/>
      <c r="G34" s="2442"/>
      <c r="H34" s="2442"/>
      <c r="I34" s="2442"/>
      <c r="J34" s="2442"/>
      <c r="K34" s="2016"/>
      <c r="L34" s="838"/>
      <c r="M34" s="838"/>
      <c r="N34" s="1998"/>
    </row>
    <row r="35" spans="1:14" x14ac:dyDescent="0.2">
      <c r="A35" s="1997"/>
      <c r="B35" s="838"/>
      <c r="C35" s="2442"/>
      <c r="D35" s="2442"/>
      <c r="E35" s="2442"/>
      <c r="F35" s="2442"/>
      <c r="G35" s="2442"/>
      <c r="H35" s="2442"/>
      <c r="I35" s="2442"/>
      <c r="J35" s="2442"/>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1" t="s">
        <v>2025</v>
      </c>
      <c r="D37" s="2442"/>
      <c r="E37" s="2442"/>
      <c r="F37" s="2442"/>
      <c r="G37" s="2442"/>
      <c r="H37" s="2442"/>
      <c r="I37" s="2442"/>
      <c r="J37" s="2442"/>
      <c r="K37" s="2016"/>
      <c r="L37" s="2018"/>
      <c r="M37" s="838"/>
      <c r="N37" s="1998"/>
    </row>
    <row r="38" spans="1:14" x14ac:dyDescent="0.2">
      <c r="A38" s="1997"/>
      <c r="B38" s="838"/>
      <c r="C38" s="2442"/>
      <c r="D38" s="2442"/>
      <c r="E38" s="2442"/>
      <c r="F38" s="2442"/>
      <c r="G38" s="2442"/>
      <c r="H38" s="2442"/>
      <c r="I38" s="2442"/>
      <c r="J38" s="2442"/>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3" t="s">
        <v>2026</v>
      </c>
      <c r="D40" s="2444"/>
      <c r="E40" s="2444"/>
      <c r="F40" s="2444"/>
      <c r="G40" s="2444"/>
      <c r="H40" s="2444"/>
      <c r="I40" s="2444"/>
      <c r="J40" s="2444"/>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5" t="s">
        <v>2027</v>
      </c>
      <c r="B43" s="2446"/>
      <c r="C43" s="2446"/>
      <c r="D43" s="2446"/>
      <c r="E43" s="2446"/>
      <c r="F43" s="2446"/>
      <c r="G43" s="2446"/>
      <c r="H43" s="2446"/>
      <c r="I43" s="2446"/>
      <c r="J43" s="2446"/>
      <c r="K43" s="2446"/>
      <c r="L43" s="2446"/>
      <c r="M43" s="2446"/>
      <c r="N43" s="2447"/>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8" t="s">
        <v>2029</v>
      </c>
      <c r="B46" s="2449"/>
      <c r="C46" s="2449"/>
      <c r="D46" s="2449"/>
      <c r="E46" s="2449"/>
      <c r="F46" s="2449"/>
      <c r="G46" s="2449"/>
      <c r="H46" s="2449"/>
      <c r="I46" s="2449"/>
      <c r="J46" s="2449"/>
      <c r="K46" s="2449"/>
      <c r="L46" s="2449"/>
      <c r="M46" s="2449"/>
      <c r="N46" s="2450"/>
    </row>
    <row r="47" spans="1:14" x14ac:dyDescent="0.2">
      <c r="A47" s="2448"/>
      <c r="B47" s="2449"/>
      <c r="C47" s="2449"/>
      <c r="D47" s="2449"/>
      <c r="E47" s="2449"/>
      <c r="F47" s="2449"/>
      <c r="G47" s="2449"/>
      <c r="H47" s="2449"/>
      <c r="I47" s="2449"/>
      <c r="J47" s="2449"/>
      <c r="K47" s="2449"/>
      <c r="L47" s="2449"/>
      <c r="M47" s="2449"/>
      <c r="N47" s="2450"/>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1" t="str">
        <f>J6</f>
        <v xml:space="preserve">  Smithton CCSD 130</v>
      </c>
      <c r="M52" s="2421"/>
      <c r="N52" s="2451"/>
    </row>
    <row r="53" spans="1:14" x14ac:dyDescent="0.2">
      <c r="A53" s="1982"/>
      <c r="B53" s="1983"/>
      <c r="C53" s="1983"/>
      <c r="D53" s="1983"/>
      <c r="E53" s="1983"/>
      <c r="F53" s="1983"/>
      <c r="G53" s="1983"/>
      <c r="H53" s="1983"/>
      <c r="I53" s="1983"/>
      <c r="J53" s="1983"/>
      <c r="K53" s="1924" t="s">
        <v>369</v>
      </c>
      <c r="L53" s="2426">
        <f>J7</f>
        <v>50082130004</v>
      </c>
      <c r="M53" s="2426"/>
      <c r="N53" s="2452"/>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3"/>
      <c r="B55" s="2454"/>
      <c r="C55" s="2454"/>
      <c r="D55" s="1970"/>
      <c r="E55" s="1970"/>
      <c r="F55" s="1970"/>
      <c r="G55" s="2455" t="s">
        <v>2030</v>
      </c>
      <c r="H55" s="2455"/>
      <c r="I55" s="2455"/>
      <c r="J55" s="2455"/>
      <c r="K55" s="2455"/>
      <c r="L55" s="2455"/>
      <c r="M55" s="2455"/>
      <c r="N55" s="2456"/>
    </row>
    <row r="56" spans="1:14" ht="63.75" x14ac:dyDescent="0.2">
      <c r="A56" s="2457" t="s">
        <v>2031</v>
      </c>
      <c r="B56" s="2458"/>
      <c r="C56" s="2459"/>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60" t="s">
        <v>296</v>
      </c>
      <c r="B57" s="2461"/>
      <c r="C57" s="2461"/>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9" t="s">
        <v>2041</v>
      </c>
      <c r="B58" s="2440"/>
      <c r="C58" s="2440"/>
      <c r="D58" s="1967">
        <v>2362</v>
      </c>
      <c r="E58" s="1977">
        <f>'Expenditures 15-22'!K320</f>
        <v>24062</v>
      </c>
      <c r="F58" s="1972"/>
      <c r="G58" s="2031"/>
      <c r="H58" s="2032"/>
      <c r="I58" s="2032"/>
      <c r="J58" s="2032"/>
      <c r="K58" s="2032"/>
      <c r="L58" s="2032"/>
      <c r="M58" s="2032"/>
      <c r="N58" s="1975" t="str">
        <f>IF((SUM(G58:M58))=E58,SUM(G58:M58),"Column N does not agree with Column E")</f>
        <v>Column N does not agree with Column E</v>
      </c>
    </row>
    <row r="59" spans="1:14" ht="24.75" customHeight="1" x14ac:dyDescent="0.2">
      <c r="A59" s="2462" t="s">
        <v>297</v>
      </c>
      <c r="B59" s="2463"/>
      <c r="C59" s="2463"/>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2" t="s">
        <v>236</v>
      </c>
      <c r="B60" s="2463"/>
      <c r="C60" s="2463"/>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2" t="s">
        <v>697</v>
      </c>
      <c r="B61" s="2463"/>
      <c r="C61" s="2463"/>
      <c r="D61" s="1967">
        <v>2365</v>
      </c>
      <c r="E61" s="1977">
        <f>'Expenditures 15-22'!K323</f>
        <v>19447</v>
      </c>
      <c r="F61" s="1972"/>
      <c r="G61" s="2031"/>
      <c r="H61" s="2032"/>
      <c r="I61" s="2032"/>
      <c r="J61" s="2032"/>
      <c r="K61" s="2032"/>
      <c r="L61" s="2032"/>
      <c r="M61" s="2032"/>
      <c r="N61" s="1975" t="str">
        <f t="shared" si="4"/>
        <v>Column N does not agree with Column E</v>
      </c>
    </row>
    <row r="62" spans="1:14" ht="24" customHeight="1" x14ac:dyDescent="0.2">
      <c r="A62" s="2462" t="s">
        <v>237</v>
      </c>
      <c r="B62" s="2463"/>
      <c r="C62" s="2463"/>
      <c r="D62" s="1967">
        <v>2366</v>
      </c>
      <c r="E62" s="1977">
        <f>'Expenditures 15-22'!K324</f>
        <v>0</v>
      </c>
      <c r="F62" s="1972"/>
      <c r="G62" s="2031"/>
      <c r="H62" s="2032"/>
      <c r="I62" s="2032"/>
      <c r="J62" s="2032"/>
      <c r="K62" s="2032"/>
      <c r="L62" s="2032"/>
      <c r="M62" s="2032"/>
      <c r="N62" s="1975">
        <f t="shared" si="4"/>
        <v>0</v>
      </c>
    </row>
    <row r="63" spans="1:14" ht="24" customHeight="1" x14ac:dyDescent="0.2">
      <c r="A63" s="2439" t="s">
        <v>1022</v>
      </c>
      <c r="B63" s="2440"/>
      <c r="C63" s="2440"/>
      <c r="D63" s="1967">
        <v>2367</v>
      </c>
      <c r="E63" s="1977">
        <f>'Expenditures 15-22'!K325</f>
        <v>310420</v>
      </c>
      <c r="F63" s="1972"/>
      <c r="G63" s="2031"/>
      <c r="H63" s="2032"/>
      <c r="I63" s="2032"/>
      <c r="J63" s="2032"/>
      <c r="K63" s="2032"/>
      <c r="L63" s="2032"/>
      <c r="M63" s="2032"/>
      <c r="N63" s="1975" t="str">
        <f t="shared" si="4"/>
        <v>Column N does not agree with Column E</v>
      </c>
    </row>
    <row r="64" spans="1:14" ht="24" customHeight="1" x14ac:dyDescent="0.2">
      <c r="A64" s="2462" t="s">
        <v>1023</v>
      </c>
      <c r="B64" s="2463"/>
      <c r="C64" s="2463"/>
      <c r="D64" s="1967">
        <v>2368</v>
      </c>
      <c r="E64" s="1977">
        <f>'Expenditures 15-22'!K326</f>
        <v>0</v>
      </c>
      <c r="F64" s="1972"/>
      <c r="G64" s="2031"/>
      <c r="H64" s="2032"/>
      <c r="I64" s="2032"/>
      <c r="J64" s="2032"/>
      <c r="K64" s="2032"/>
      <c r="L64" s="2032"/>
      <c r="M64" s="2032"/>
      <c r="N64" s="1975">
        <f t="shared" si="4"/>
        <v>0</v>
      </c>
    </row>
    <row r="65" spans="1:14" ht="24" customHeight="1" x14ac:dyDescent="0.2">
      <c r="A65" s="2462" t="s">
        <v>965</v>
      </c>
      <c r="B65" s="2463"/>
      <c r="C65" s="2463"/>
      <c r="D65" s="1967">
        <v>2369</v>
      </c>
      <c r="E65" s="1977">
        <f>'Expenditures 15-22'!K327</f>
        <v>18458</v>
      </c>
      <c r="F65" s="1972"/>
      <c r="G65" s="2031"/>
      <c r="H65" s="2032"/>
      <c r="I65" s="2032"/>
      <c r="J65" s="2032"/>
      <c r="K65" s="2032"/>
      <c r="L65" s="2032"/>
      <c r="M65" s="2032"/>
      <c r="N65" s="1975" t="str">
        <f t="shared" si="4"/>
        <v>Column N does not agree with Column E</v>
      </c>
    </row>
    <row r="66" spans="1:14" ht="24" customHeight="1" x14ac:dyDescent="0.2">
      <c r="A66" s="2462" t="s">
        <v>469</v>
      </c>
      <c r="B66" s="2463"/>
      <c r="C66" s="2463"/>
      <c r="D66" s="1967">
        <v>2371</v>
      </c>
      <c r="E66" s="1977">
        <f>'Expenditures 15-22'!K328</f>
        <v>25882</v>
      </c>
      <c r="F66" s="1972"/>
      <c r="G66" s="2031"/>
      <c r="H66" s="2032"/>
      <c r="I66" s="2032"/>
      <c r="J66" s="2032"/>
      <c r="K66" s="2032"/>
      <c r="L66" s="2032"/>
      <c r="M66" s="2032"/>
      <c r="N66" s="1975" t="str">
        <f t="shared" si="4"/>
        <v>Column N does not agree with Column E</v>
      </c>
    </row>
    <row r="67" spans="1:14" ht="24.75" customHeight="1" x14ac:dyDescent="0.2">
      <c r="A67" s="2464" t="s">
        <v>2042</v>
      </c>
      <c r="B67" s="2465"/>
      <c r="C67" s="2465"/>
      <c r="D67" s="1969">
        <v>2372</v>
      </c>
      <c r="E67" s="1978">
        <f>'Expenditures 15-22'!K329</f>
        <v>0</v>
      </c>
      <c r="F67" s="1972"/>
      <c r="G67" s="2033"/>
      <c r="H67" s="2034"/>
      <c r="I67" s="2034"/>
      <c r="J67" s="2034"/>
      <c r="K67" s="2034"/>
      <c r="L67" s="2034"/>
      <c r="M67" s="2034"/>
      <c r="N67" s="1975">
        <f t="shared" si="4"/>
        <v>0</v>
      </c>
    </row>
    <row r="68" spans="1:14" x14ac:dyDescent="0.2">
      <c r="A68" s="2466" t="s">
        <v>1151</v>
      </c>
      <c r="B68" s="2467"/>
      <c r="C68" s="2467"/>
      <c r="D68" s="1970"/>
      <c r="E68" s="1974">
        <f>SUM(E57:E67)</f>
        <v>398269</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view="pageBreakPreview" zoomScale="60" zoomScaleNormal="110" workbookViewId="0">
      <selection activeCell="B9" sqref="B9"/>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2065</v>
      </c>
    </row>
    <row r="6" spans="1:2" x14ac:dyDescent="0.2">
      <c r="A6" s="847">
        <v>2</v>
      </c>
      <c r="B6" s="307" t="s">
        <v>2066</v>
      </c>
    </row>
    <row r="7" spans="1:2" x14ac:dyDescent="0.2">
      <c r="A7" s="847">
        <v>3</v>
      </c>
      <c r="B7" s="307" t="s">
        <v>2067</v>
      </c>
    </row>
    <row r="8" spans="1:2" x14ac:dyDescent="0.2">
      <c r="A8" s="847">
        <v>4</v>
      </c>
      <c r="B8" s="307" t="s">
        <v>2068</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Smithton CCSD 130</v>
      </c>
    </row>
    <row r="65" spans="2:2" x14ac:dyDescent="0.2">
      <c r="B65" s="849">
        <f>COVER!A13</f>
        <v>50082130004</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3</xdr:row>
                <xdr:rowOff>0</xdr:rowOff>
              </from>
              <to>
                <xdr:col>1</xdr:col>
                <xdr:colOff>952500</xdr:colOff>
                <xdr:row>8</xdr:row>
                <xdr:rowOff>0</xdr:rowOff>
              </to>
            </anchor>
          </objectPr>
        </oleObject>
      </mc:Choice>
      <mc:Fallback>
        <oleObject progId="Acrobat Document" dvAspect="DVASPECT_ICON" shapeId="4403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BreakPreview" zoomScale="6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3685235</v>
      </c>
      <c r="C8" s="1813">
        <f>'Acct Summary 7-8'!D8</f>
        <v>344368</v>
      </c>
      <c r="D8" s="1813">
        <f>'Acct Summary 7-8'!F8</f>
        <v>175649</v>
      </c>
      <c r="E8" s="1813">
        <f>'Acct Summary 7-8'!I8</f>
        <v>57211</v>
      </c>
      <c r="F8" s="1813">
        <f>SUM(B8:E8)</f>
        <v>4262463</v>
      </c>
    </row>
    <row r="9" spans="1:8" s="858" customFormat="1" ht="14.25" customHeight="1" thickBot="1" x14ac:dyDescent="0.25">
      <c r="A9" s="857" t="s">
        <v>1353</v>
      </c>
      <c r="B9" s="1814">
        <f>'Acct Summary 7-8'!C17</f>
        <v>3710647</v>
      </c>
      <c r="C9" s="1814">
        <f>'Acct Summary 7-8'!D17</f>
        <v>205324</v>
      </c>
      <c r="D9" s="1814">
        <f>'Acct Summary 7-8'!F17</f>
        <v>126938</v>
      </c>
      <c r="E9" s="1813"/>
      <c r="F9" s="1813">
        <f>SUM(B9:E9)</f>
        <v>4042909</v>
      </c>
    </row>
    <row r="10" spans="1:8" s="858" customFormat="1" ht="14.25" thickTop="1" thickBot="1" x14ac:dyDescent="0.25">
      <c r="A10" s="859" t="s">
        <v>1354</v>
      </c>
      <c r="B10" s="1815">
        <f>(B8-B9)</f>
        <v>-25412</v>
      </c>
      <c r="C10" s="1815">
        <f>(C8-C9)</f>
        <v>139044</v>
      </c>
      <c r="D10" s="1815">
        <f>(D8-D9)</f>
        <v>48711</v>
      </c>
      <c r="E10" s="1814">
        <f>(E8-E9)</f>
        <v>57211</v>
      </c>
      <c r="F10" s="1816">
        <f>SUM(F8-F9)</f>
        <v>219554</v>
      </c>
    </row>
    <row r="11" spans="1:8" s="858" customFormat="1" ht="14.25" thickTop="1" thickBot="1" x14ac:dyDescent="0.25">
      <c r="A11" s="860" t="s">
        <v>1903</v>
      </c>
      <c r="B11" s="1817">
        <f>'Acct Summary 7-8'!C81</f>
        <v>1450214</v>
      </c>
      <c r="C11" s="1817">
        <f>'Acct Summary 7-8'!D81</f>
        <v>858024</v>
      </c>
      <c r="D11" s="1817">
        <f>'Acct Summary 7-8'!F81</f>
        <v>666705</v>
      </c>
      <c r="E11" s="1817">
        <f>'Acct Summary 7-8'!I81</f>
        <v>560582</v>
      </c>
      <c r="F11" s="1818">
        <f>SUM(B11:E11)</f>
        <v>3535525</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6" colorId="8" zoomScale="110" zoomScaleNormal="110" workbookViewId="0">
      <selection activeCell="C70" sqref="C70:D70"/>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50082130004</v>
      </c>
      <c r="E2" s="1542">
        <v>2020</v>
      </c>
      <c r="F2" s="1542">
        <v>1</v>
      </c>
      <c r="G2" s="1899">
        <v>101000300</v>
      </c>
    </row>
    <row r="3" spans="1:7" ht="15" x14ac:dyDescent="0.25">
      <c r="A3" t="s">
        <v>950</v>
      </c>
      <c r="B3" s="135" t="str">
        <f>COVER!A15</f>
        <v>St. Clair</v>
      </c>
      <c r="E3" s="1830" t="s">
        <v>1971</v>
      </c>
      <c r="F3" s="1830" t="s">
        <v>1970</v>
      </c>
      <c r="G3" s="1899">
        <v>101000400</v>
      </c>
    </row>
    <row r="4" spans="1:7" ht="15" x14ac:dyDescent="0.25">
      <c r="A4" t="s">
        <v>1000</v>
      </c>
      <c r="B4" s="135" t="str">
        <f>COVER!A17</f>
        <v xml:space="preserve">  Smithton CCSD 130</v>
      </c>
      <c r="E4" s="1828">
        <v>44119</v>
      </c>
      <c r="F4" s="1829">
        <v>44151</v>
      </c>
      <c r="G4" s="1899">
        <v>101000600</v>
      </c>
    </row>
    <row r="5" spans="1:7" ht="15" x14ac:dyDescent="0.25">
      <c r="A5" t="s">
        <v>699</v>
      </c>
      <c r="B5" s="135">
        <f>COVER!A38</f>
        <v>0</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066-005025</v>
      </c>
      <c r="G15" s="1899">
        <v>402100400</v>
      </c>
    </row>
    <row r="16" spans="1:7" ht="15" x14ac:dyDescent="0.25">
      <c r="A16" t="s">
        <v>419</v>
      </c>
      <c r="B16" s="135" t="str">
        <f>COVER!T13</f>
        <v>Fick, Eggemeyer &amp; Williamson</v>
      </c>
      <c r="G16" s="1899">
        <v>402100600</v>
      </c>
    </row>
    <row r="17" spans="1:7" ht="15" x14ac:dyDescent="0.25">
      <c r="A17" t="s">
        <v>878</v>
      </c>
      <c r="B17" s="135" t="str">
        <f>COVER!T15</f>
        <v>Keith Slusser</v>
      </c>
      <c r="G17" s="1899">
        <v>402100800</v>
      </c>
    </row>
    <row r="18" spans="1:7" ht="15" x14ac:dyDescent="0.25">
      <c r="A18" t="s">
        <v>1140</v>
      </c>
      <c r="B18" s="135" t="str">
        <f>COVER!T17</f>
        <v>205 S. Main</v>
      </c>
      <c r="G18" s="1899">
        <v>102200300</v>
      </c>
    </row>
    <row r="19" spans="1:7" ht="15" x14ac:dyDescent="0.25">
      <c r="A19" t="s">
        <v>880</v>
      </c>
      <c r="B19" s="135" t="str">
        <f>COVER!T25</f>
        <v>keith@afewcpas.com</v>
      </c>
      <c r="G19" s="1899">
        <v>102200400</v>
      </c>
    </row>
    <row r="20" spans="1:7" ht="15" x14ac:dyDescent="0.25">
      <c r="A20" t="s">
        <v>881</v>
      </c>
      <c r="B20" s="135" t="str">
        <f>COVER!T19</f>
        <v>Columbia</v>
      </c>
      <c r="G20" s="1899">
        <v>102200600</v>
      </c>
    </row>
    <row r="21" spans="1:7" ht="15" x14ac:dyDescent="0.25">
      <c r="A21" t="s">
        <v>476</v>
      </c>
      <c r="B21" s="135" t="str">
        <f>COVER!X19</f>
        <v>IL</v>
      </c>
      <c r="G21" s="1899">
        <v>102200800</v>
      </c>
    </row>
    <row r="22" spans="1:7" ht="15" x14ac:dyDescent="0.25">
      <c r="A22" t="s">
        <v>882</v>
      </c>
      <c r="B22" s="135">
        <f>COVER!Z19</f>
        <v>62236</v>
      </c>
      <c r="G22" s="1899">
        <v>102300300</v>
      </c>
    </row>
    <row r="23" spans="1:7" ht="15" x14ac:dyDescent="0.25">
      <c r="A23" t="s">
        <v>1142</v>
      </c>
      <c r="B23" s="135" t="str">
        <f>COVER!T21</f>
        <v>314-845-7999</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573633</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1450214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1450214</v>
      </c>
      <c r="D92" s="2" t="str">
        <f t="shared" si="0"/>
        <v>Error?</v>
      </c>
      <c r="G92" s="1899">
        <v>102640600</v>
      </c>
    </row>
    <row r="93" spans="1:7" ht="15" x14ac:dyDescent="0.25">
      <c r="A93" s="5">
        <v>32</v>
      </c>
      <c r="B93" s="1832">
        <f>'Assets-Liab 5-6'!C41</f>
        <v>1450214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858024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858024</v>
      </c>
      <c r="D123" s="2" t="str">
        <f t="shared" si="0"/>
        <v>Error?</v>
      </c>
      <c r="G123" s="1899">
        <v>203000400</v>
      </c>
    </row>
    <row r="124" spans="1:7" ht="15" x14ac:dyDescent="0.25">
      <c r="A124" s="5">
        <v>63</v>
      </c>
      <c r="B124" s="1832">
        <f>'Assets-Liab 5-6'!D41</f>
        <v>858024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130554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130554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666705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666705</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300000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405536</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405536</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5360066</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5360066</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718913</v>
      </c>
      <c r="D273" s="2" t="str">
        <f t="shared" si="3"/>
        <v>Error?</v>
      </c>
    </row>
    <row r="274" spans="1:4" x14ac:dyDescent="0.2">
      <c r="A274" s="5">
        <v>213</v>
      </c>
      <c r="B274" s="1832">
        <f>'Assets-Liab 5-6'!M17</f>
        <v>3023061</v>
      </c>
      <c r="D274" s="2" t="str">
        <f t="shared" si="3"/>
        <v>Error?</v>
      </c>
    </row>
    <row r="275" spans="1:4" x14ac:dyDescent="0.2">
      <c r="A275" s="5">
        <v>214</v>
      </c>
      <c r="B275" s="1832">
        <f>'Assets-Liab 5-6'!M18</f>
        <v>0</v>
      </c>
      <c r="D275" s="2" t="str">
        <f t="shared" si="3"/>
        <v>Error?</v>
      </c>
    </row>
    <row r="276" spans="1:4" x14ac:dyDescent="0.2">
      <c r="A276" s="5">
        <v>215</v>
      </c>
      <c r="B276" s="1832">
        <f>'Assets-Liab 5-6'!M19</f>
        <v>191014</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4494032</v>
      </c>
      <c r="C279" s="2" t="s">
        <v>569</v>
      </c>
      <c r="D279" s="2" t="str">
        <f t="shared" si="3"/>
        <v>Error?</v>
      </c>
    </row>
    <row r="280" spans="1:4" x14ac:dyDescent="0.2">
      <c r="A280" s="5">
        <v>219</v>
      </c>
      <c r="B280" s="1832">
        <f>'Assets-Liab 5-6'!M40</f>
        <v>4494032</v>
      </c>
      <c r="D280" s="2" t="str">
        <f t="shared" si="3"/>
        <v>Error?</v>
      </c>
    </row>
    <row r="281" spans="1:4" x14ac:dyDescent="0.2">
      <c r="A281" s="5">
        <v>220</v>
      </c>
      <c r="B281" s="1832">
        <f>'Assets-Liab 5-6'!M41</f>
        <v>4494032</v>
      </c>
      <c r="C281" s="2" t="s">
        <v>569</v>
      </c>
      <c r="D281" s="2" t="str">
        <f t="shared" si="3"/>
        <v>Error?</v>
      </c>
    </row>
    <row r="282" spans="1:4" x14ac:dyDescent="0.2">
      <c r="A282" s="5">
        <v>221</v>
      </c>
      <c r="B282" s="1832">
        <f>'Assets-Liab 5-6'!N21</f>
        <v>130554</v>
      </c>
      <c r="D282" s="2" t="str">
        <f t="shared" si="3"/>
        <v>Error?</v>
      </c>
    </row>
    <row r="283" spans="1:4" x14ac:dyDescent="0.2">
      <c r="A283" s="5">
        <v>222</v>
      </c>
      <c r="B283" s="1832">
        <f>'Assets-Liab 5-6'!N22</f>
        <v>4984446</v>
      </c>
      <c r="D283" s="2" t="str">
        <f t="shared" si="3"/>
        <v>Error?</v>
      </c>
    </row>
    <row r="284" spans="1:4" x14ac:dyDescent="0.2">
      <c r="A284" s="5">
        <v>223</v>
      </c>
      <c r="B284" s="1832">
        <f>'Assets-Liab 5-6'!N23</f>
        <v>5115000</v>
      </c>
      <c r="C284" s="2" t="s">
        <v>569</v>
      </c>
      <c r="D284" s="2" t="str">
        <f t="shared" si="3"/>
        <v>Error?</v>
      </c>
    </row>
    <row r="285" spans="1:4" x14ac:dyDescent="0.2">
      <c r="A285" s="5">
        <v>224</v>
      </c>
      <c r="B285" s="1832">
        <f>'Assets-Liab 5-6'!N36</f>
        <v>5115000</v>
      </c>
      <c r="D285" s="2" t="str">
        <f t="shared" si="3"/>
        <v>Error?</v>
      </c>
    </row>
    <row r="286" spans="1:4" x14ac:dyDescent="0.2">
      <c r="A286" s="10">
        <v>225</v>
      </c>
      <c r="B286" s="1832"/>
      <c r="D286" s="2" t="str">
        <f t="shared" si="3"/>
        <v>OK</v>
      </c>
    </row>
    <row r="287" spans="1:4" x14ac:dyDescent="0.2">
      <c r="A287" s="5">
        <v>226</v>
      </c>
      <c r="B287" s="1832">
        <f>'Assets-Liab 5-6'!N37</f>
        <v>5115000</v>
      </c>
      <c r="C287" s="2" t="s">
        <v>569</v>
      </c>
      <c r="D287" s="2" t="str">
        <f t="shared" si="3"/>
        <v>Error?</v>
      </c>
    </row>
    <row r="288" spans="1:4" x14ac:dyDescent="0.2">
      <c r="A288" s="5">
        <v>227</v>
      </c>
      <c r="B288" s="1832">
        <f>'Assets-Liab 5-6'!N41</f>
        <v>5115000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59206</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5000000</v>
      </c>
      <c r="D618" s="2" t="str">
        <f t="shared" si="8"/>
        <v>Error?</v>
      </c>
    </row>
    <row r="619" spans="1:4" x14ac:dyDescent="0.2">
      <c r="A619" s="5">
        <v>558</v>
      </c>
      <c r="B619" s="1832">
        <f>'Acct Summary 7-8'!H34</f>
        <v>813514</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1564033</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28475</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2020589</v>
      </c>
      <c r="C720" s="2" t="s">
        <v>569</v>
      </c>
      <c r="D720" s="2" t="str">
        <f t="shared" si="10"/>
        <v>Error?</v>
      </c>
    </row>
    <row r="721" spans="1:4" x14ac:dyDescent="0.2">
      <c r="A721" s="5">
        <v>660</v>
      </c>
      <c r="B721" s="1832">
        <f>'Expenditures 15-22'!C36</f>
        <v>37878</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8015</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58038</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103931</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1257</v>
      </c>
      <c r="D732" s="2" t="str">
        <f t="shared" si="10"/>
        <v>Error?</v>
      </c>
    </row>
    <row r="733" spans="1:4" x14ac:dyDescent="0.2">
      <c r="A733" s="5">
        <v>672</v>
      </c>
      <c r="B733" s="1832">
        <f>'Expenditures 15-22'!C50</f>
        <v>101405</v>
      </c>
      <c r="D733" s="2" t="str">
        <f t="shared" si="10"/>
        <v>Error?</v>
      </c>
    </row>
    <row r="734" spans="1:4" x14ac:dyDescent="0.2">
      <c r="A734" s="5">
        <v>673</v>
      </c>
      <c r="B734" s="1832">
        <f>'Expenditures 15-22'!C53</f>
        <v>102662</v>
      </c>
      <c r="C734" s="2" t="s">
        <v>569</v>
      </c>
      <c r="D734" s="2" t="str">
        <f t="shared" si="10"/>
        <v>Error?</v>
      </c>
    </row>
    <row r="735" spans="1:4" x14ac:dyDescent="0.2">
      <c r="A735" s="5">
        <v>674</v>
      </c>
      <c r="B735" s="1832">
        <f>'Expenditures 15-22'!C55</f>
        <v>117010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117010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77655</v>
      </c>
      <c r="D739" s="2" t="str">
        <f t="shared" si="10"/>
        <v>Error?</v>
      </c>
    </row>
    <row r="740" spans="1:4" x14ac:dyDescent="0.2">
      <c r="A740" s="5">
        <v>679</v>
      </c>
      <c r="B740" s="1832">
        <f>'Expenditures 15-22'!C61</f>
        <v>159511</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22478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259644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63927</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63927</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647174</v>
      </c>
      <c r="C755" s="2" t="s">
        <v>569</v>
      </c>
      <c r="D755" s="2" t="str">
        <f t="shared" si="10"/>
        <v>Error?</v>
      </c>
    </row>
    <row r="756" spans="1:4" x14ac:dyDescent="0.2">
      <c r="A756" s="5">
        <v>695</v>
      </c>
      <c r="B756" s="1832">
        <f>'Expenditures 15-22'!C75</f>
        <v>11597</v>
      </c>
      <c r="D756" s="2" t="str">
        <f t="shared" si="10"/>
        <v>Error?</v>
      </c>
    </row>
    <row r="757" spans="1:4" x14ac:dyDescent="0.2">
      <c r="A757" s="5">
        <v>696</v>
      </c>
      <c r="B757" s="1832">
        <f>'Expenditures 15-22'!C114</f>
        <v>2679360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330098</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2718</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387501</v>
      </c>
      <c r="C778" s="2" t="s">
        <v>569</v>
      </c>
      <c r="D778" s="2" t="str">
        <f t="shared" si="11"/>
        <v>Error?</v>
      </c>
    </row>
    <row r="779" spans="1:4" x14ac:dyDescent="0.2">
      <c r="A779" s="5">
        <v>718</v>
      </c>
      <c r="B779" s="1832">
        <f>'Expenditures 15-22'!D36</f>
        <v>9856</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1240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15846</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26942</v>
      </c>
      <c r="C785" s="2" t="s">
        <v>569</v>
      </c>
      <c r="D785" s="2" t="str">
        <f t="shared" si="11"/>
        <v>Error?</v>
      </c>
    </row>
    <row r="786" spans="1:4" x14ac:dyDescent="0.2">
      <c r="A786" s="5">
        <v>725</v>
      </c>
      <c r="B786" s="1832">
        <f>'Expenditures 15-22'!D44</f>
        <v>6420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6420</v>
      </c>
      <c r="C789" s="2" t="s">
        <v>569</v>
      </c>
      <c r="D789" s="2" t="str">
        <f t="shared" si="11"/>
        <v>Error?</v>
      </c>
    </row>
    <row r="790" spans="1:4" x14ac:dyDescent="0.2">
      <c r="A790" s="5">
        <v>729</v>
      </c>
      <c r="B790" s="1832">
        <f>'Expenditures 15-22'!D49</f>
        <v>74</v>
      </c>
      <c r="D790" s="2" t="str">
        <f t="shared" si="11"/>
        <v>Error?</v>
      </c>
    </row>
    <row r="791" spans="1:4" x14ac:dyDescent="0.2">
      <c r="A791" s="5">
        <v>730</v>
      </c>
      <c r="B791" s="1832">
        <f>'Expenditures 15-22'!D50</f>
        <v>14873</v>
      </c>
      <c r="D791" s="2" t="str">
        <f t="shared" si="11"/>
        <v>Error?</v>
      </c>
    </row>
    <row r="792" spans="1:4" x14ac:dyDescent="0.2">
      <c r="A792" s="5">
        <v>731</v>
      </c>
      <c r="B792" s="1832">
        <f>'Expenditures 15-22'!D53</f>
        <v>14947</v>
      </c>
      <c r="C792" s="2" t="s">
        <v>569</v>
      </c>
      <c r="D792" s="2" t="str">
        <f t="shared" si="11"/>
        <v>Error?</v>
      </c>
    </row>
    <row r="793" spans="1:4" x14ac:dyDescent="0.2">
      <c r="A793" s="5">
        <v>732</v>
      </c>
      <c r="B793" s="1832">
        <f>'Expenditures 15-22'!D55</f>
        <v>19496</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19496</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16946</v>
      </c>
      <c r="D797" s="2" t="str">
        <f t="shared" si="11"/>
        <v>Error?</v>
      </c>
    </row>
    <row r="798" spans="1:4" x14ac:dyDescent="0.2">
      <c r="A798" s="5">
        <v>737</v>
      </c>
      <c r="B798" s="1832">
        <f>'Expenditures 15-22'!D61</f>
        <v>23081</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4</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40031</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19</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19</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107855</v>
      </c>
      <c r="C813" s="2" t="s">
        <v>569</v>
      </c>
      <c r="D813" s="2" t="str">
        <f t="shared" si="11"/>
        <v>Error?</v>
      </c>
    </row>
    <row r="814" spans="1:4" x14ac:dyDescent="0.2">
      <c r="A814" s="5">
        <v>753</v>
      </c>
      <c r="B814" s="1832">
        <f>'Expenditures 15-22'!D75</f>
        <v>148</v>
      </c>
      <c r="D814" s="2" t="str">
        <f t="shared" si="11"/>
        <v>Error?</v>
      </c>
    </row>
    <row r="815" spans="1:4" x14ac:dyDescent="0.2">
      <c r="A815" s="5">
        <v>754</v>
      </c>
      <c r="B815" s="1832">
        <f>'Expenditures 15-22'!D114</f>
        <v>495504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6567</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6927</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11586</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42034</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53620</v>
      </c>
      <c r="C843" s="2" t="s">
        <v>569</v>
      </c>
      <c r="D843" s="2" t="str">
        <f t="shared" si="12"/>
        <v>Error?</v>
      </c>
    </row>
    <row r="844" spans="1:4" x14ac:dyDescent="0.2">
      <c r="A844" s="5">
        <v>783</v>
      </c>
      <c r="B844" s="1832">
        <f>'Expenditures 15-22'!E44</f>
        <v>24892</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24892</v>
      </c>
      <c r="C847" s="2" t="s">
        <v>569</v>
      </c>
      <c r="D847" s="2" t="str">
        <f t="shared" si="12"/>
        <v>Error?</v>
      </c>
    </row>
    <row r="848" spans="1:4" x14ac:dyDescent="0.2">
      <c r="A848" s="5">
        <v>787</v>
      </c>
      <c r="B848" s="1832">
        <f>'Expenditures 15-22'!E49</f>
        <v>15199</v>
      </c>
      <c r="D848" s="2" t="str">
        <f t="shared" si="12"/>
        <v>Error?</v>
      </c>
    </row>
    <row r="849" spans="1:4" x14ac:dyDescent="0.2">
      <c r="A849" s="5">
        <v>788</v>
      </c>
      <c r="B849" s="1832">
        <f>'Expenditures 15-22'!E50</f>
        <v>3666</v>
      </c>
      <c r="D849" s="2" t="str">
        <f t="shared" si="12"/>
        <v>Error?</v>
      </c>
    </row>
    <row r="850" spans="1:4" x14ac:dyDescent="0.2">
      <c r="A850" s="5">
        <v>789</v>
      </c>
      <c r="B850" s="1832">
        <f>'Expenditures 15-22'!E53</f>
        <v>18865</v>
      </c>
      <c r="C850" s="2" t="s">
        <v>569</v>
      </c>
      <c r="D850" s="2" t="str">
        <f t="shared" si="12"/>
        <v>Error?</v>
      </c>
    </row>
    <row r="851" spans="1:4" x14ac:dyDescent="0.2">
      <c r="A851" s="5">
        <v>790</v>
      </c>
      <c r="B851" s="1832">
        <f>'Expenditures 15-22'!E55</f>
        <v>4408</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4408</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605</v>
      </c>
      <c r="D855" s="2" t="str">
        <f t="shared" si="12"/>
        <v>Error?</v>
      </c>
    </row>
    <row r="856" spans="1:4" x14ac:dyDescent="0.2">
      <c r="A856" s="5">
        <v>795</v>
      </c>
      <c r="B856" s="1832">
        <f>'Expenditures 15-22'!E61</f>
        <v>600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9799</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11004</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27362</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27362</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140151</v>
      </c>
      <c r="C871" s="2" t="s">
        <v>569</v>
      </c>
      <c r="D871" s="2" t="str">
        <f t="shared" si="12"/>
        <v>Error?</v>
      </c>
    </row>
    <row r="872" spans="1:4" x14ac:dyDescent="0.2">
      <c r="A872" s="5">
        <v>811</v>
      </c>
      <c r="B872" s="1832">
        <f>'Expenditures 15-22'!E75</f>
        <v>3163</v>
      </c>
      <c r="D872" s="2" t="str">
        <f t="shared" si="12"/>
        <v>Error?</v>
      </c>
    </row>
    <row r="873" spans="1:4" x14ac:dyDescent="0.2">
      <c r="A873" s="5">
        <v>812</v>
      </c>
      <c r="B873" s="1832">
        <f>'Expenditures 15-22'!E114</f>
        <v>186003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18752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1372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23957</v>
      </c>
      <c r="C894" s="2" t="s">
        <v>569</v>
      </c>
      <c r="D894" s="2" t="str">
        <f t="shared" si="12"/>
        <v>Error?</v>
      </c>
    </row>
    <row r="895" spans="1:4" x14ac:dyDescent="0.2">
      <c r="A895" s="5">
        <v>834</v>
      </c>
      <c r="B895" s="1832">
        <f>'Expenditures 15-22'!F36</f>
        <v>112</v>
      </c>
      <c r="D895" s="2" t="str">
        <f t="shared" ref="D895:D958" si="13">IF(ISBLANK(B895),"OK",IF(A895-B895=0,"OK","Error?"))</f>
        <v>Error?</v>
      </c>
    </row>
    <row r="896" spans="1:4" x14ac:dyDescent="0.2">
      <c r="A896" s="5">
        <v>835</v>
      </c>
      <c r="B896" s="1832">
        <f>'Expenditures 15-22'!F37</f>
        <v>87</v>
      </c>
      <c r="D896" s="2" t="str">
        <f t="shared" si="13"/>
        <v>Error?</v>
      </c>
    </row>
    <row r="897" spans="1:4" x14ac:dyDescent="0.2">
      <c r="A897" s="5">
        <v>836</v>
      </c>
      <c r="B897" s="1832">
        <f>'Expenditures 15-22'!F38</f>
        <v>958</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283</v>
      </c>
      <c r="D899" s="2" t="str">
        <f t="shared" si="13"/>
        <v>Error?</v>
      </c>
    </row>
    <row r="900" spans="1:4" x14ac:dyDescent="0.2">
      <c r="A900" s="5">
        <v>839</v>
      </c>
      <c r="B900" s="1832">
        <f>'Expenditures 15-22'!F41</f>
        <v>2608</v>
      </c>
      <c r="D900" s="2" t="str">
        <f t="shared" si="13"/>
        <v>Error?</v>
      </c>
    </row>
    <row r="901" spans="1:4" x14ac:dyDescent="0.2">
      <c r="A901" s="5">
        <v>840</v>
      </c>
      <c r="B901" s="1832">
        <f>'Expenditures 15-22'!F42</f>
        <v>4048</v>
      </c>
      <c r="C901" s="2" t="s">
        <v>569</v>
      </c>
      <c r="D901" s="2" t="str">
        <f t="shared" si="13"/>
        <v>Error?</v>
      </c>
    </row>
    <row r="902" spans="1:4" x14ac:dyDescent="0.2">
      <c r="A902" s="5">
        <v>841</v>
      </c>
      <c r="B902" s="1832">
        <f>'Expenditures 15-22'!F44</f>
        <v>678</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678</v>
      </c>
      <c r="C905" s="2" t="s">
        <v>569</v>
      </c>
      <c r="D905" s="2" t="str">
        <f t="shared" si="13"/>
        <v>Error?</v>
      </c>
    </row>
    <row r="906" spans="1:4" x14ac:dyDescent="0.2">
      <c r="A906" s="5">
        <v>845</v>
      </c>
      <c r="B906" s="1832">
        <f>'Expenditures 15-22'!F49</f>
        <v>1431</v>
      </c>
      <c r="D906" s="2" t="str">
        <f t="shared" si="13"/>
        <v>Error?</v>
      </c>
    </row>
    <row r="907" spans="1:4" x14ac:dyDescent="0.2">
      <c r="A907" s="5">
        <v>846</v>
      </c>
      <c r="B907" s="1832">
        <f>'Expenditures 15-22'!F50</f>
        <v>915</v>
      </c>
      <c r="D907" s="2" t="str">
        <f t="shared" si="13"/>
        <v>Error?</v>
      </c>
    </row>
    <row r="908" spans="1:4" x14ac:dyDescent="0.2">
      <c r="A908" s="5">
        <v>847</v>
      </c>
      <c r="B908" s="1832">
        <f>'Expenditures 15-22'!F53</f>
        <v>2346</v>
      </c>
      <c r="C908" s="2" t="s">
        <v>569</v>
      </c>
      <c r="D908" s="2" t="str">
        <f t="shared" si="13"/>
        <v>Error?</v>
      </c>
    </row>
    <row r="909" spans="1:4" x14ac:dyDescent="0.2">
      <c r="A909" s="5">
        <v>848</v>
      </c>
      <c r="B909" s="1832">
        <f>'Expenditures 15-22'!F55</f>
        <v>10120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10120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7524</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154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7678</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16716</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16716</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41586</v>
      </c>
      <c r="C929" s="2" t="s">
        <v>569</v>
      </c>
      <c r="D929" s="2" t="str">
        <f t="shared" si="13"/>
        <v>Error?</v>
      </c>
    </row>
    <row r="930" spans="1:4" x14ac:dyDescent="0.2">
      <c r="A930" s="5">
        <v>869</v>
      </c>
      <c r="B930" s="1832">
        <f>'Expenditures 15-22'!F75</f>
        <v>3497</v>
      </c>
      <c r="D930" s="2" t="str">
        <f t="shared" si="13"/>
        <v>Error?</v>
      </c>
    </row>
    <row r="931" spans="1:4" x14ac:dyDescent="0.2">
      <c r="A931" s="5">
        <v>870</v>
      </c>
      <c r="B931" s="1832">
        <f>'Expenditures 15-22'!F114</f>
        <v>69040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114964</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114964</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8524</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8524</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8524</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123488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3528</v>
      </c>
      <c r="D1022" s="2" t="str">
        <f t="shared" si="14"/>
        <v>Error?</v>
      </c>
    </row>
    <row r="1023" spans="1:4" x14ac:dyDescent="0.2">
      <c r="A1023" s="5">
        <v>962</v>
      </c>
      <c r="B1023" s="1832">
        <f>'Expenditures 15-22'!H50</f>
        <v>1032</v>
      </c>
      <c r="D1023" s="2" t="str">
        <f t="shared" ref="D1023:D1086" si="15">IF(ISBLANK(B1023),"OK",IF(A1023-B1023=0,"OK","Error?"))</f>
        <v>Error?</v>
      </c>
    </row>
    <row r="1024" spans="1:4" x14ac:dyDescent="0.2">
      <c r="A1024" s="5">
        <v>963</v>
      </c>
      <c r="B1024" s="1832">
        <f>'Expenditures 15-22'!H53</f>
        <v>4560</v>
      </c>
      <c r="C1024" s="2" t="s">
        <v>569</v>
      </c>
      <c r="D1024" s="2" t="str">
        <f t="shared" si="15"/>
        <v>Error?</v>
      </c>
    </row>
    <row r="1025" spans="1:4" x14ac:dyDescent="0.2">
      <c r="A1025" s="5">
        <v>964</v>
      </c>
      <c r="B1025" s="1832">
        <f>'Expenditures 15-22'!H55</f>
        <v>397</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397</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200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200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800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800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5957</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151295</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157252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2034414</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32565</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2553938</v>
      </c>
      <c r="C1108" s="2" t="s">
        <v>569</v>
      </c>
      <c r="D1108" s="2" t="str">
        <f t="shared" si="16"/>
        <v>Error?</v>
      </c>
    </row>
    <row r="1109" spans="1:4" x14ac:dyDescent="0.2">
      <c r="A1109" s="5">
        <v>1048</v>
      </c>
      <c r="B1109" s="1832">
        <f>'Expenditures 15-22'!K36</f>
        <v>47846</v>
      </c>
      <c r="C1109" s="2" t="s">
        <v>569</v>
      </c>
      <c r="D1109" s="2" t="str">
        <f t="shared" si="16"/>
        <v>Error?</v>
      </c>
    </row>
    <row r="1110" spans="1:4" x14ac:dyDescent="0.2">
      <c r="A1110" s="5">
        <v>1049</v>
      </c>
      <c r="B1110" s="1832">
        <f>'Expenditures 15-22'!K37</f>
        <v>87</v>
      </c>
      <c r="C1110" s="2" t="s">
        <v>569</v>
      </c>
      <c r="D1110" s="2" t="str">
        <f t="shared" si="16"/>
        <v>Error?</v>
      </c>
    </row>
    <row r="1111" spans="1:4" x14ac:dyDescent="0.2">
      <c r="A1111" s="5">
        <v>1050</v>
      </c>
      <c r="B1111" s="1832">
        <f>'Expenditures 15-22'!K38</f>
        <v>21799</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116201</v>
      </c>
      <c r="C1113" s="2" t="s">
        <v>569</v>
      </c>
      <c r="D1113" s="2" t="str">
        <f t="shared" si="16"/>
        <v>Error?</v>
      </c>
    </row>
    <row r="1114" spans="1:4" x14ac:dyDescent="0.2">
      <c r="A1114" s="5">
        <v>1053</v>
      </c>
      <c r="B1114" s="1832">
        <f>'Expenditures 15-22'!K41</f>
        <v>2608</v>
      </c>
      <c r="C1114" s="2" t="s">
        <v>569</v>
      </c>
      <c r="D1114" s="2" t="str">
        <f t="shared" si="16"/>
        <v>Error?</v>
      </c>
    </row>
    <row r="1115" spans="1:4" x14ac:dyDescent="0.2">
      <c r="A1115" s="5">
        <v>1054</v>
      </c>
      <c r="B1115" s="1832">
        <f>'Expenditures 15-22'!K42</f>
        <v>188541</v>
      </c>
      <c r="C1115" s="2" t="s">
        <v>569</v>
      </c>
      <c r="D1115" s="2" t="str">
        <f t="shared" si="16"/>
        <v>Error?</v>
      </c>
    </row>
    <row r="1116" spans="1:4" x14ac:dyDescent="0.2">
      <c r="A1116" s="5">
        <v>1055</v>
      </c>
      <c r="B1116" s="1832">
        <f>'Expenditures 15-22'!K44</f>
        <v>31990</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31990</v>
      </c>
      <c r="C1119" s="2" t="s">
        <v>569</v>
      </c>
      <c r="D1119" s="2" t="str">
        <f t="shared" si="16"/>
        <v>Error?</v>
      </c>
    </row>
    <row r="1120" spans="1:4" x14ac:dyDescent="0.2">
      <c r="A1120" s="5">
        <v>1059</v>
      </c>
      <c r="B1120" s="1832">
        <f>'Expenditures 15-22'!K49</f>
        <v>21489</v>
      </c>
      <c r="C1120" s="2" t="s">
        <v>569</v>
      </c>
      <c r="D1120" s="2" t="str">
        <f t="shared" si="16"/>
        <v>Error?</v>
      </c>
    </row>
    <row r="1121" spans="1:4" x14ac:dyDescent="0.2">
      <c r="A1121" s="5">
        <v>1060</v>
      </c>
      <c r="B1121" s="1832">
        <f>'Expenditures 15-22'!K50</f>
        <v>121891</v>
      </c>
      <c r="C1121" s="2" t="s">
        <v>569</v>
      </c>
      <c r="D1121" s="2" t="str">
        <f t="shared" si="16"/>
        <v>Error?</v>
      </c>
    </row>
    <row r="1122" spans="1:4" x14ac:dyDescent="0.2">
      <c r="A1122" s="5">
        <v>1061</v>
      </c>
      <c r="B1122" s="1832">
        <f>'Expenditures 15-22'!K53</f>
        <v>143380</v>
      </c>
      <c r="C1122" s="2" t="s">
        <v>569</v>
      </c>
      <c r="D1122" s="2" t="str">
        <f t="shared" si="16"/>
        <v>Error?</v>
      </c>
    </row>
    <row r="1123" spans="1:4" x14ac:dyDescent="0.2">
      <c r="A1123" s="5">
        <v>1062</v>
      </c>
      <c r="B1123" s="1832">
        <f>'Expenditures 15-22'!K55</f>
        <v>151431</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151431</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102930</v>
      </c>
      <c r="C1127" s="2" t="s">
        <v>569</v>
      </c>
      <c r="D1127" s="2" t="str">
        <f t="shared" si="16"/>
        <v>Error?</v>
      </c>
    </row>
    <row r="1128" spans="1:4" x14ac:dyDescent="0.2">
      <c r="A1128" s="5">
        <v>1067</v>
      </c>
      <c r="B1128" s="1832">
        <f>'Expenditures 15-22'!K61</f>
        <v>183192</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32435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318557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117348</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117348</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951247</v>
      </c>
      <c r="C1143" s="2" t="s">
        <v>569</v>
      </c>
      <c r="D1143" s="2" t="str">
        <f t="shared" si="16"/>
        <v>Error?</v>
      </c>
    </row>
    <row r="1144" spans="1:4" x14ac:dyDescent="0.2">
      <c r="A1144" s="5">
        <v>1083</v>
      </c>
      <c r="B1144" s="1832">
        <f>'Expenditures 15-22'!K75</f>
        <v>18405</v>
      </c>
      <c r="C1144" s="2" t="s">
        <v>569</v>
      </c>
      <c r="D1144" s="2" t="str">
        <f t="shared" si="16"/>
        <v>Error?</v>
      </c>
    </row>
    <row r="1145" spans="1:4" x14ac:dyDescent="0.2">
      <c r="A1145" s="5">
        <v>1084</v>
      </c>
      <c r="B1145" s="1832">
        <f>'Expenditures 15-22'!K102</f>
        <v>187057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3710647</v>
      </c>
      <c r="C1152" s="2" t="s">
        <v>569</v>
      </c>
      <c r="D1152" s="2" t="str">
        <f t="shared" si="17"/>
        <v>Error?</v>
      </c>
    </row>
    <row r="1153" spans="1:4" x14ac:dyDescent="0.2">
      <c r="A1153" s="5">
        <v>1092</v>
      </c>
      <c r="B1153" s="1832">
        <f>'Expenditures 15-22'!K115</f>
        <v>-25412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50800</v>
      </c>
      <c r="D1237" s="2" t="str">
        <f t="shared" si="18"/>
        <v>Error?</v>
      </c>
    </row>
    <row r="1238" spans="1:4" x14ac:dyDescent="0.2">
      <c r="A1238" s="10">
        <v>1177</v>
      </c>
      <c r="B1238" s="1832"/>
      <c r="D1238" s="2" t="str">
        <f t="shared" si="18"/>
        <v>OK</v>
      </c>
    </row>
    <row r="1239" spans="1:4" x14ac:dyDescent="0.2">
      <c r="A1239" s="5">
        <v>1178</v>
      </c>
      <c r="B1239" s="1832">
        <f>'Expenditures 15-22'!E127</f>
        <v>50800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50800</v>
      </c>
      <c r="C1241" s="2" t="s">
        <v>569</v>
      </c>
      <c r="D1241" s="2" t="str">
        <f t="shared" si="18"/>
        <v>Error?</v>
      </c>
    </row>
    <row r="1242" spans="1:4" x14ac:dyDescent="0.2">
      <c r="A1242" s="5">
        <v>1181</v>
      </c>
      <c r="B1242" s="1832">
        <f>'Expenditures 15-22'!E151</f>
        <v>50800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91904</v>
      </c>
      <c r="D1245" s="2" t="str">
        <f t="shared" si="18"/>
        <v>Error?</v>
      </c>
    </row>
    <row r="1246" spans="1:4" x14ac:dyDescent="0.2">
      <c r="A1246" s="10">
        <v>1185</v>
      </c>
      <c r="B1246" s="1832"/>
      <c r="D1246" s="2" t="str">
        <f t="shared" si="18"/>
        <v>OK</v>
      </c>
    </row>
    <row r="1247" spans="1:4" x14ac:dyDescent="0.2">
      <c r="A1247" s="5">
        <v>1186</v>
      </c>
      <c r="B1247" s="1832">
        <f>'Expenditures 15-22'!F127</f>
        <v>91904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91904</v>
      </c>
      <c r="C1249" s="2" t="s">
        <v>569</v>
      </c>
      <c r="D1249" s="2" t="str">
        <f t="shared" si="18"/>
        <v>Error?</v>
      </c>
    </row>
    <row r="1250" spans="1:4" x14ac:dyDescent="0.2">
      <c r="A1250" s="5">
        <v>1189</v>
      </c>
      <c r="B1250" s="1832">
        <f>'Expenditures 15-22'!F151</f>
        <v>91904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41560</v>
      </c>
      <c r="D1252" s="2" t="str">
        <f t="shared" si="18"/>
        <v>Error?</v>
      </c>
    </row>
    <row r="1253" spans="1:4" x14ac:dyDescent="0.2">
      <c r="A1253" s="5">
        <v>1192</v>
      </c>
      <c r="B1253" s="1832">
        <f>'Expenditures 15-22'!G124</f>
        <v>21060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62620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62620</v>
      </c>
      <c r="C1258" s="2" t="s">
        <v>569</v>
      </c>
      <c r="D1258" s="2" t="str">
        <f t="shared" si="18"/>
        <v>Error?</v>
      </c>
    </row>
    <row r="1259" spans="1:4" x14ac:dyDescent="0.2">
      <c r="A1259" s="5">
        <v>1198</v>
      </c>
      <c r="B1259" s="1832">
        <f>'Expenditures 15-22'!G151</f>
        <v>62620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41560</v>
      </c>
      <c r="C1275" s="2" t="s">
        <v>569</v>
      </c>
      <c r="D1275" s="2" t="str">
        <f t="shared" si="18"/>
        <v>Error?</v>
      </c>
    </row>
    <row r="1276" spans="1:4" x14ac:dyDescent="0.2">
      <c r="A1276" s="5">
        <v>1215</v>
      </c>
      <c r="B1276" s="1832">
        <f>'Expenditures 15-22'!K124</f>
        <v>163764</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205324</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205324</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205324</v>
      </c>
      <c r="C1288" s="2" t="s">
        <v>569</v>
      </c>
      <c r="D1288" s="2" t="str">
        <f t="shared" si="19"/>
        <v>Error?</v>
      </c>
    </row>
    <row r="1289" spans="1:4" x14ac:dyDescent="0.2">
      <c r="A1289" s="5">
        <v>1228</v>
      </c>
      <c r="B1289" s="1832">
        <f>'Expenditures 15-22'!K152</f>
        <v>139044</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7440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155000</v>
      </c>
      <c r="D1315" s="2" t="str">
        <f t="shared" si="19"/>
        <v>Error?</v>
      </c>
    </row>
    <row r="1316" spans="1:4" x14ac:dyDescent="0.2">
      <c r="A1316" s="5">
        <v>1255</v>
      </c>
      <c r="B1316" s="1832">
        <f>'Expenditures 15-22'!H171</f>
        <v>18308</v>
      </c>
      <c r="D1316" s="2" t="str">
        <f t="shared" si="19"/>
        <v>Error?</v>
      </c>
    </row>
    <row r="1317" spans="1:4" x14ac:dyDescent="0.2">
      <c r="A1317" s="5">
        <v>1256</v>
      </c>
      <c r="B1317" s="1832">
        <f>'Expenditures 15-22'!H172</f>
        <v>180748</v>
      </c>
      <c r="C1317" s="2" t="s">
        <v>569</v>
      </c>
      <c r="D1317" s="2" t="str">
        <f t="shared" si="19"/>
        <v>Error?</v>
      </c>
    </row>
    <row r="1318" spans="1:4" x14ac:dyDescent="0.2">
      <c r="A1318" s="5">
        <v>1257</v>
      </c>
      <c r="B1318" s="1832">
        <f>'Expenditures 15-22'!H174</f>
        <v>180748</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7440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155000</v>
      </c>
      <c r="C1329" s="2" t="s">
        <v>569</v>
      </c>
      <c r="D1329" s="2" t="str">
        <f t="shared" si="19"/>
        <v>Error?</v>
      </c>
    </row>
    <row r="1330" spans="1:4" x14ac:dyDescent="0.2">
      <c r="A1330" s="5">
        <v>1269</v>
      </c>
      <c r="B1330" s="1832">
        <f>'Expenditures 15-22'!K171</f>
        <v>18308</v>
      </c>
      <c r="C1330" s="2" t="s">
        <v>569</v>
      </c>
      <c r="D1330" s="2" t="str">
        <f t="shared" si="19"/>
        <v>Error?</v>
      </c>
    </row>
    <row r="1331" spans="1:4" x14ac:dyDescent="0.2">
      <c r="A1331" s="5">
        <v>1270</v>
      </c>
      <c r="B1331" s="1832">
        <f>'Expenditures 15-22'!K172</f>
        <v>180748</v>
      </c>
      <c r="C1331" s="2" t="s">
        <v>569</v>
      </c>
      <c r="D1331" s="2" t="str">
        <f t="shared" si="19"/>
        <v>Error?</v>
      </c>
    </row>
    <row r="1332" spans="1:4" x14ac:dyDescent="0.2">
      <c r="A1332" s="5">
        <v>1271</v>
      </c>
      <c r="B1332" s="1832">
        <f>'Expenditures 15-22'!K174</f>
        <v>180748</v>
      </c>
      <c r="C1332" s="2" t="s">
        <v>569</v>
      </c>
      <c r="D1332" s="2" t="str">
        <f t="shared" si="19"/>
        <v>Error?</v>
      </c>
    </row>
    <row r="1333" spans="1:4" x14ac:dyDescent="0.2">
      <c r="A1333" s="5">
        <v>1272</v>
      </c>
      <c r="B1333" s="1832">
        <f>'Expenditures 15-22'!K175</f>
        <v>-18697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57435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57435</v>
      </c>
      <c r="C1339" s="2" t="s">
        <v>569</v>
      </c>
      <c r="D1339" s="2" t="str">
        <f t="shared" si="19"/>
        <v>Error?</v>
      </c>
    </row>
    <row r="1340" spans="1:4" x14ac:dyDescent="0.2">
      <c r="A1340" s="5">
        <v>1279</v>
      </c>
      <c r="B1340" s="1832">
        <f>'Expenditures 15-22'!C210</f>
        <v>57435</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49296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49296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49296</v>
      </c>
      <c r="C1353" s="2" t="s">
        <v>569</v>
      </c>
      <c r="D1353" s="2" t="str">
        <f t="shared" si="20"/>
        <v>Error?</v>
      </c>
    </row>
    <row r="1354" spans="1:4" x14ac:dyDescent="0.2">
      <c r="A1354" s="5">
        <v>1293</v>
      </c>
      <c r="B1354" s="1832">
        <f>'Expenditures 15-22'!F182</f>
        <v>19094</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19094</v>
      </c>
      <c r="C1358" s="2" t="s">
        <v>569</v>
      </c>
      <c r="D1358" s="2" t="str">
        <f t="shared" si="20"/>
        <v>Error?</v>
      </c>
    </row>
    <row r="1359" spans="1:4" x14ac:dyDescent="0.2">
      <c r="A1359" s="5">
        <v>1298</v>
      </c>
      <c r="B1359" s="1832">
        <f>'Expenditures 15-22'!F210</f>
        <v>19094</v>
      </c>
      <c r="C1359" s="2" t="s">
        <v>569</v>
      </c>
      <c r="D1359" s="2" t="str">
        <f t="shared" si="20"/>
        <v>Error?</v>
      </c>
    </row>
    <row r="1360" spans="1:4" x14ac:dyDescent="0.2">
      <c r="A1360" s="5">
        <v>1299</v>
      </c>
      <c r="B1360" s="1832">
        <f>'Expenditures 15-22'!G182</f>
        <v>1113</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1113</v>
      </c>
      <c r="C1364" s="2" t="s">
        <v>569</v>
      </c>
      <c r="D1364" s="2" t="str">
        <f t="shared" si="20"/>
        <v>Error?</v>
      </c>
    </row>
    <row r="1365" spans="1:4" x14ac:dyDescent="0.2">
      <c r="A1365" s="5">
        <v>1304</v>
      </c>
      <c r="B1365" s="1832">
        <f>'Expenditures 15-22'!G210</f>
        <v>1113</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126938</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126938</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126938</v>
      </c>
      <c r="C1388" s="2" t="s">
        <v>569</v>
      </c>
      <c r="D1388" s="2" t="str">
        <f t="shared" si="20"/>
        <v>Error?</v>
      </c>
    </row>
    <row r="1389" spans="1:4" x14ac:dyDescent="0.2">
      <c r="A1389" s="5">
        <v>1328</v>
      </c>
      <c r="B1389" s="1832">
        <f>'Expenditures 15-22'!K211</f>
        <v>48711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1330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46356</v>
      </c>
      <c r="C1410" s="2" t="s">
        <v>569</v>
      </c>
      <c r="D1410" s="2" t="str">
        <f t="shared" si="21"/>
        <v>Error?</v>
      </c>
    </row>
    <row r="1411" spans="1:4" x14ac:dyDescent="0.2">
      <c r="A1411" s="5">
        <v>1350</v>
      </c>
      <c r="B1411" s="1832">
        <f>'Expenditures 15-22'!D232</f>
        <v>532</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384</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618</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1534</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201</v>
      </c>
      <c r="D1422" s="2" t="str">
        <f t="shared" si="21"/>
        <v>Error?</v>
      </c>
    </row>
    <row r="1423" spans="1:4" x14ac:dyDescent="0.2">
      <c r="A1423" s="5">
        <v>1362</v>
      </c>
      <c r="B1423" s="1832">
        <f>'Expenditures 15-22'!D246</f>
        <v>1392</v>
      </c>
      <c r="D1423" s="2" t="str">
        <f t="shared" si="21"/>
        <v>Error?</v>
      </c>
    </row>
    <row r="1424" spans="1:4" x14ac:dyDescent="0.2">
      <c r="A1424" s="5">
        <v>1363</v>
      </c>
      <c r="B1424" s="1832">
        <f>'Expenditures 15-22'!D257</f>
        <v>21117</v>
      </c>
      <c r="C1424" s="2" t="s">
        <v>569</v>
      </c>
      <c r="D1424" s="2" t="str">
        <f t="shared" si="21"/>
        <v>Error?</v>
      </c>
    </row>
    <row r="1425" spans="1:4" x14ac:dyDescent="0.2">
      <c r="A1425" s="5">
        <v>1364</v>
      </c>
      <c r="B1425" s="1832">
        <f>'Expenditures 15-22'!D259</f>
        <v>9239</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9239</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11848</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24434</v>
      </c>
      <c r="D1431" s="2" t="str">
        <f t="shared" si="21"/>
        <v>Error?</v>
      </c>
    </row>
    <row r="1432" spans="1:4" x14ac:dyDescent="0.2">
      <c r="A1432" s="5">
        <v>1371</v>
      </c>
      <c r="B1432" s="1832">
        <f>'Expenditures 15-22'!D267</f>
        <v>8505</v>
      </c>
      <c r="D1432" s="2" t="str">
        <f t="shared" si="21"/>
        <v>Error?</v>
      </c>
    </row>
    <row r="1433" spans="1:4" x14ac:dyDescent="0.2">
      <c r="A1433" s="5">
        <v>1372</v>
      </c>
      <c r="B1433" s="1832">
        <f>'Expenditures 15-22'!D268</f>
        <v>3332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48119</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10332</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10332</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90341</v>
      </c>
      <c r="C1446" s="2" t="s">
        <v>569</v>
      </c>
      <c r="D1446" s="2" t="str">
        <f t="shared" si="21"/>
        <v>Error?</v>
      </c>
    </row>
    <row r="1447" spans="1:4" x14ac:dyDescent="0.2">
      <c r="A1447" s="5">
        <v>1386</v>
      </c>
      <c r="B1447" s="1832">
        <f>'Expenditures 15-22'!D280</f>
        <v>1192</v>
      </c>
      <c r="D1447" s="2" t="str">
        <f t="shared" si="21"/>
        <v>Error?</v>
      </c>
    </row>
    <row r="1448" spans="1:4" x14ac:dyDescent="0.2">
      <c r="A1448" s="5">
        <v>1387</v>
      </c>
      <c r="B1448" s="1832">
        <f>'Expenditures 15-22'!D295</f>
        <v>137889</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1330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46356</v>
      </c>
      <c r="C1474" s="2" t="s">
        <v>569</v>
      </c>
      <c r="D1474" s="2" t="str">
        <f t="shared" si="22"/>
        <v>Error?</v>
      </c>
    </row>
    <row r="1475" spans="1:4" x14ac:dyDescent="0.2">
      <c r="A1475" s="5">
        <v>1414</v>
      </c>
      <c r="B1475" s="1832">
        <f>'Expenditures 15-22'!K232</f>
        <v>532</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384</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618</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1534</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201</v>
      </c>
      <c r="C1486" s="2" t="s">
        <v>569</v>
      </c>
      <c r="D1486" s="2" t="str">
        <f t="shared" si="22"/>
        <v>Error?</v>
      </c>
    </row>
    <row r="1487" spans="1:4" x14ac:dyDescent="0.2">
      <c r="A1487" s="5">
        <v>1426</v>
      </c>
      <c r="B1487" s="1832">
        <f>'Expenditures 15-22'!K246</f>
        <v>1392</v>
      </c>
      <c r="C1487" s="2" t="s">
        <v>569</v>
      </c>
      <c r="D1487" s="2" t="str">
        <f t="shared" si="22"/>
        <v>Error?</v>
      </c>
    </row>
    <row r="1488" spans="1:4" x14ac:dyDescent="0.2">
      <c r="A1488" s="5">
        <v>1427</v>
      </c>
      <c r="B1488" s="1832">
        <f>'Expenditures 15-22'!K257</f>
        <v>21117</v>
      </c>
      <c r="C1488" s="2" t="s">
        <v>569</v>
      </c>
      <c r="D1488" s="2" t="str">
        <f t="shared" si="22"/>
        <v>Error?</v>
      </c>
    </row>
    <row r="1489" spans="1:4" x14ac:dyDescent="0.2">
      <c r="A1489" s="5">
        <v>1428</v>
      </c>
      <c r="B1489" s="1832">
        <f>'Expenditures 15-22'!K259</f>
        <v>9239</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9239</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11848</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24434</v>
      </c>
      <c r="C1495" s="2" t="s">
        <v>569</v>
      </c>
      <c r="D1495" s="2" t="str">
        <f t="shared" si="22"/>
        <v>Error?</v>
      </c>
    </row>
    <row r="1496" spans="1:4" x14ac:dyDescent="0.2">
      <c r="A1496" s="5">
        <v>1435</v>
      </c>
      <c r="B1496" s="1832">
        <f>'Expenditures 15-22'!K267</f>
        <v>8505</v>
      </c>
      <c r="C1496" s="2" t="s">
        <v>569</v>
      </c>
      <c r="D1496" s="2" t="str">
        <f t="shared" si="22"/>
        <v>Error?</v>
      </c>
    </row>
    <row r="1497" spans="1:4" x14ac:dyDescent="0.2">
      <c r="A1497" s="5">
        <v>1436</v>
      </c>
      <c r="B1497" s="1832">
        <f>'Expenditures 15-22'!K268</f>
        <v>3332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48119</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10332</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10332</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90341</v>
      </c>
      <c r="C1510" s="2" t="s">
        <v>569</v>
      </c>
      <c r="D1510" s="2" t="str">
        <f t="shared" si="22"/>
        <v>Error?</v>
      </c>
    </row>
    <row r="1511" spans="1:4" x14ac:dyDescent="0.2">
      <c r="A1511" s="5">
        <v>1450</v>
      </c>
      <c r="B1511" s="1832">
        <f>'Expenditures 15-22'!K280</f>
        <v>1192</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137889</v>
      </c>
      <c r="C1517" s="2" t="s">
        <v>569</v>
      </c>
      <c r="D1517" s="2" t="str">
        <f t="shared" si="22"/>
        <v>Error?</v>
      </c>
    </row>
    <row r="1518" spans="1:4" x14ac:dyDescent="0.2">
      <c r="A1518" s="5">
        <v>1457</v>
      </c>
      <c r="B1518" s="1832">
        <f>'Expenditures 15-22'!K296</f>
        <v>45605</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377851</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377851</v>
      </c>
      <c r="C1535" s="2" t="s">
        <v>569</v>
      </c>
      <c r="D1535" s="2" t="str">
        <f t="shared" ref="D1535:D1598" si="23">IF(ISBLANK(B1535),"OK",IF(A1535-B1535=0,"OK","Error?"))</f>
        <v>Error?</v>
      </c>
    </row>
    <row r="1536" spans="1:4" x14ac:dyDescent="0.2">
      <c r="A1536" s="5">
        <v>1475</v>
      </c>
      <c r="B1536" s="1832">
        <f>'Expenditures 15-22'!E312</f>
        <v>377851</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494685</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494685</v>
      </c>
      <c r="C1547" s="2" t="s">
        <v>569</v>
      </c>
      <c r="D1547" s="2" t="str">
        <f t="shared" si="23"/>
        <v>Error?</v>
      </c>
    </row>
    <row r="1548" spans="1:4" x14ac:dyDescent="0.2">
      <c r="A1548" s="5">
        <v>1487</v>
      </c>
      <c r="B1548" s="1832">
        <f>'Expenditures 15-22'!G312</f>
        <v>494685</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872536</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872536</v>
      </c>
      <c r="C1559" s="2" t="s">
        <v>569</v>
      </c>
      <c r="D1559" s="2" t="str">
        <f t="shared" si="23"/>
        <v>Error?</v>
      </c>
    </row>
    <row r="1560" spans="1:4" x14ac:dyDescent="0.2">
      <c r="A1560" s="5">
        <v>1499</v>
      </c>
      <c r="B1560" s="1832">
        <f>'Expenditures 15-22'!K312</f>
        <v>872536</v>
      </c>
      <c r="C1560" s="2" t="s">
        <v>569</v>
      </c>
      <c r="D1560" s="2" t="str">
        <f t="shared" si="23"/>
        <v>Error?</v>
      </c>
    </row>
    <row r="1561" spans="1:4" x14ac:dyDescent="0.2">
      <c r="A1561" s="5">
        <v>1500</v>
      </c>
      <c r="B1561" s="1832">
        <f>'Expenditures 15-22'!K313</f>
        <v>-861628</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1430105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1450214</v>
      </c>
      <c r="C1630" s="2" t="s">
        <v>569</v>
      </c>
      <c r="D1630" s="2" t="str">
        <f t="shared" si="24"/>
        <v>Error?</v>
      </c>
    </row>
    <row r="1631" spans="1:4" x14ac:dyDescent="0.2">
      <c r="A1631" s="5">
        <v>1570</v>
      </c>
      <c r="B1631" s="1832">
        <f>'Acct Summary 7-8'!D79</f>
        <v>1218980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858024</v>
      </c>
      <c r="C1644" s="2" t="s">
        <v>569</v>
      </c>
      <c r="D1644" s="2" t="str">
        <f t="shared" si="24"/>
        <v>Error?</v>
      </c>
    </row>
    <row r="1645" spans="1:4" x14ac:dyDescent="0.2">
      <c r="A1645" s="5">
        <v>1584</v>
      </c>
      <c r="B1645" s="1832">
        <f>'Acct Summary 7-8'!E79</f>
        <v>71708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130554</v>
      </c>
      <c r="C1658" s="2" t="s">
        <v>569</v>
      </c>
      <c r="D1658" s="2" t="str">
        <f t="shared" si="24"/>
        <v>Error?</v>
      </c>
    </row>
    <row r="1659" spans="1:4" x14ac:dyDescent="0.2">
      <c r="A1659" s="5">
        <v>1598</v>
      </c>
      <c r="B1659" s="1832">
        <f>'Acct Summary 7-8'!F79</f>
        <v>617994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666705</v>
      </c>
      <c r="C1672" s="2" t="s">
        <v>569</v>
      </c>
      <c r="D1672" s="2" t="str">
        <f t="shared" si="25"/>
        <v>Error?</v>
      </c>
    </row>
    <row r="1673" spans="1:4" x14ac:dyDescent="0.2">
      <c r="A1673" s="5">
        <v>1612</v>
      </c>
      <c r="B1673" s="1832">
        <f>'Acct Summary 7-8'!G79</f>
        <v>359931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405536</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5360066</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2002390</v>
      </c>
      <c r="C1744" s="2" t="s">
        <v>569</v>
      </c>
      <c r="D1744" s="2" t="str">
        <f t="shared" si="26"/>
        <v>Error?</v>
      </c>
    </row>
    <row r="1745" spans="1:5" x14ac:dyDescent="0.2">
      <c r="A1745" s="5">
        <v>1684</v>
      </c>
      <c r="B1745" s="1832">
        <f>'Tax Sched 23'!B5</f>
        <v>250120</v>
      </c>
      <c r="C1745" s="2" t="s">
        <v>569</v>
      </c>
      <c r="D1745" s="2" t="str">
        <f t="shared" si="26"/>
        <v>Error?</v>
      </c>
    </row>
    <row r="1746" spans="1:5" x14ac:dyDescent="0.2">
      <c r="A1746" s="5">
        <v>1685</v>
      </c>
      <c r="B1746" s="1832">
        <f>'Tax Sched 23'!B6</f>
        <v>161878</v>
      </c>
      <c r="C1746" s="2" t="s">
        <v>569</v>
      </c>
      <c r="D1746" s="2" t="str">
        <f t="shared" si="26"/>
        <v>Error?</v>
      </c>
    </row>
    <row r="1747" spans="1:5" x14ac:dyDescent="0.2">
      <c r="A1747" s="5">
        <v>1686</v>
      </c>
      <c r="B1747" s="1832">
        <f>'Tax Sched 23'!B7</f>
        <v>120056</v>
      </c>
      <c r="C1747" s="2" t="s">
        <v>569</v>
      </c>
      <c r="D1747" s="2" t="str">
        <f t="shared" si="26"/>
        <v>Error?</v>
      </c>
    </row>
    <row r="1748" spans="1:5" x14ac:dyDescent="0.2">
      <c r="A1748" s="5">
        <v>1687</v>
      </c>
      <c r="B1748" s="1832">
        <f>'Tax Sched 23'!B8</f>
        <v>79737</v>
      </c>
      <c r="C1748" s="2" t="s">
        <v>569</v>
      </c>
      <c r="D1748" s="2" t="str">
        <f t="shared" si="26"/>
        <v>Error?</v>
      </c>
    </row>
    <row r="1749" spans="1:5" x14ac:dyDescent="0.2">
      <c r="A1749" s="5">
        <v>1688</v>
      </c>
      <c r="B1749" s="1832">
        <f>'Tax Sched 23'!B10</f>
        <v>50025</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392287</v>
      </c>
      <c r="C1752" s="2" t="s">
        <v>569</v>
      </c>
      <c r="D1752" s="2" t="str">
        <f t="shared" si="26"/>
        <v>Error?</v>
      </c>
    </row>
    <row r="1753" spans="1:5" x14ac:dyDescent="0.2">
      <c r="A1753" s="5">
        <v>1692</v>
      </c>
      <c r="B1753" s="1832">
        <f>'Tax Sched 23'!B12</f>
        <v>50025</v>
      </c>
      <c r="C1753" s="2" t="s">
        <v>569</v>
      </c>
      <c r="D1753" s="2" t="str">
        <f t="shared" si="26"/>
        <v>Error?</v>
      </c>
    </row>
    <row r="1754" spans="1:5" x14ac:dyDescent="0.2">
      <c r="A1754" s="5">
        <v>1693</v>
      </c>
      <c r="B1754" s="1832">
        <f>'Tax Sched 23'!B14</f>
        <v>20009</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3276200</v>
      </c>
      <c r="C1759" s="2" t="s">
        <v>569</v>
      </c>
      <c r="D1759" s="2" t="str">
        <f t="shared" si="26"/>
        <v>Error?</v>
      </c>
    </row>
    <row r="1760" spans="1:5" x14ac:dyDescent="0.2">
      <c r="A1760" s="5">
        <v>1699</v>
      </c>
      <c r="B1760" s="1832">
        <f>'Tax Sched 23'!D4</f>
        <v>2002390</v>
      </c>
      <c r="C1760" s="2" t="s">
        <v>569</v>
      </c>
      <c r="D1760" s="2" t="str">
        <f t="shared" si="26"/>
        <v>Error?</v>
      </c>
    </row>
    <row r="1761" spans="1:7" x14ac:dyDescent="0.2">
      <c r="A1761" s="5">
        <v>1700</v>
      </c>
      <c r="B1761" s="1832">
        <f>'Tax Sched 23'!D5</f>
        <v>250120</v>
      </c>
      <c r="C1761" s="2" t="s">
        <v>569</v>
      </c>
      <c r="D1761" s="2" t="str">
        <f t="shared" si="26"/>
        <v>Error?</v>
      </c>
    </row>
    <row r="1762" spans="1:7" s="8" customFormat="1" x14ac:dyDescent="0.2">
      <c r="A1762" s="5">
        <v>1701</v>
      </c>
      <c r="B1762" s="1832">
        <f>'Tax Sched 23'!D6</f>
        <v>161878</v>
      </c>
      <c r="C1762" s="2" t="s">
        <v>569</v>
      </c>
      <c r="D1762" s="2" t="str">
        <f t="shared" si="26"/>
        <v>Error?</v>
      </c>
      <c r="E1762" s="9"/>
      <c r="G1762"/>
    </row>
    <row r="1763" spans="1:7" x14ac:dyDescent="0.2">
      <c r="A1763" s="5">
        <v>1702</v>
      </c>
      <c r="B1763" s="1832">
        <f>'Tax Sched 23'!D7</f>
        <v>120056</v>
      </c>
      <c r="C1763" s="2" t="s">
        <v>569</v>
      </c>
      <c r="D1763" s="2" t="str">
        <f t="shared" si="26"/>
        <v>Error?</v>
      </c>
    </row>
    <row r="1764" spans="1:7" x14ac:dyDescent="0.2">
      <c r="A1764" s="5">
        <v>1703</v>
      </c>
      <c r="B1764" s="1832">
        <f>'Tax Sched 23'!D8</f>
        <v>79737</v>
      </c>
      <c r="C1764" s="2" t="s">
        <v>569</v>
      </c>
      <c r="D1764" s="2" t="str">
        <f t="shared" si="26"/>
        <v>Error?</v>
      </c>
    </row>
    <row r="1765" spans="1:7" x14ac:dyDescent="0.2">
      <c r="A1765" s="5">
        <v>1704</v>
      </c>
      <c r="B1765" s="1832">
        <f>'Tax Sched 23'!D10</f>
        <v>50025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392287</v>
      </c>
      <c r="C1768" s="2" t="s">
        <v>569</v>
      </c>
      <c r="D1768" s="2" t="str">
        <f t="shared" si="26"/>
        <v>Error?</v>
      </c>
    </row>
    <row r="1769" spans="1:7" x14ac:dyDescent="0.2">
      <c r="A1769" s="5">
        <v>1708</v>
      </c>
      <c r="B1769" s="1832">
        <f>'Tax Sched 23'!D12</f>
        <v>50025</v>
      </c>
      <c r="C1769" s="2" t="s">
        <v>569</v>
      </c>
      <c r="D1769" s="2" t="str">
        <f t="shared" si="26"/>
        <v>Error?</v>
      </c>
    </row>
    <row r="1770" spans="1:7" x14ac:dyDescent="0.2">
      <c r="A1770" s="5">
        <v>1709</v>
      </c>
      <c r="B1770" s="1832">
        <f>'Tax Sched 23'!D14</f>
        <v>20009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3276200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2110874</v>
      </c>
      <c r="C1792" s="2" t="s">
        <v>569</v>
      </c>
      <c r="D1792" s="2" t="str">
        <f t="shared" si="27"/>
        <v>Error?</v>
      </c>
    </row>
    <row r="1793" spans="1:4" x14ac:dyDescent="0.2">
      <c r="A1793" s="5">
        <v>1732</v>
      </c>
      <c r="B1793" s="1832">
        <f>'Tax Sched 23'!F5</f>
        <v>263899</v>
      </c>
      <c r="C1793" s="2" t="s">
        <v>569</v>
      </c>
      <c r="D1793" s="2" t="str">
        <f t="shared" si="27"/>
        <v>Error?</v>
      </c>
    </row>
    <row r="1794" spans="1:4" x14ac:dyDescent="0.2">
      <c r="A1794" s="5">
        <v>1733</v>
      </c>
      <c r="B1794" s="1832">
        <f>'Tax Sched 23'!F6</f>
        <v>347780</v>
      </c>
      <c r="C1794" s="2" t="s">
        <v>569</v>
      </c>
      <c r="D1794" s="2" t="str">
        <f t="shared" si="27"/>
        <v>Error?</v>
      </c>
    </row>
    <row r="1795" spans="1:4" x14ac:dyDescent="0.2">
      <c r="A1795" s="5">
        <v>1734</v>
      </c>
      <c r="B1795" s="1832">
        <f>'Tax Sched 23'!F7</f>
        <v>126727</v>
      </c>
      <c r="C1795" s="2" t="s">
        <v>569</v>
      </c>
      <c r="D1795" s="2" t="str">
        <f t="shared" si="27"/>
        <v>Error?</v>
      </c>
    </row>
    <row r="1796" spans="1:4" x14ac:dyDescent="0.2">
      <c r="A1796" s="5">
        <v>1735</v>
      </c>
      <c r="B1796" s="1832">
        <f>'Tax Sched 23'!F8</f>
        <v>60006</v>
      </c>
      <c r="C1796" s="2" t="s">
        <v>569</v>
      </c>
      <c r="D1796" s="2" t="str">
        <f t="shared" si="27"/>
        <v>Error?</v>
      </c>
    </row>
    <row r="1797" spans="1:4" x14ac:dyDescent="0.2">
      <c r="A1797" s="5">
        <v>1736</v>
      </c>
      <c r="B1797" s="1832">
        <f>'Tax Sched 23'!F10</f>
        <v>52865</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443811</v>
      </c>
      <c r="C1800" s="2" t="s">
        <v>569</v>
      </c>
      <c r="D1800" s="2" t="str">
        <f t="shared" si="27"/>
        <v>Error?</v>
      </c>
    </row>
    <row r="1801" spans="1:4" x14ac:dyDescent="0.2">
      <c r="A1801" s="5">
        <v>1740</v>
      </c>
      <c r="B1801" s="1832">
        <f>'Tax Sched 23'!F12</f>
        <v>52865</v>
      </c>
      <c r="C1801" s="2" t="s">
        <v>569</v>
      </c>
      <c r="D1801" s="2" t="str">
        <f t="shared" si="27"/>
        <v>Error?</v>
      </c>
    </row>
    <row r="1802" spans="1:4" x14ac:dyDescent="0.2">
      <c r="A1802" s="5">
        <v>1741</v>
      </c>
      <c r="B1802" s="1832">
        <f>'Tax Sched 23'!F14</f>
        <v>21210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3627974</v>
      </c>
      <c r="C1807" s="2" t="s">
        <v>569</v>
      </c>
      <c r="D1807" s="2" t="str">
        <f t="shared" si="27"/>
        <v>Error?</v>
      </c>
    </row>
    <row r="1808" spans="1:4" x14ac:dyDescent="0.2">
      <c r="A1808" s="5">
        <v>1747</v>
      </c>
      <c r="B1808" s="1832">
        <f>'Tax Sched 23'!E4</f>
        <v>2110874</v>
      </c>
      <c r="D1808" s="2" t="str">
        <f t="shared" si="27"/>
        <v>Error?</v>
      </c>
    </row>
    <row r="1809" spans="1:4" x14ac:dyDescent="0.2">
      <c r="A1809" s="5">
        <v>1748</v>
      </c>
      <c r="B1809" s="1832">
        <f>'Tax Sched 23'!E5</f>
        <v>263899</v>
      </c>
      <c r="D1809" s="2" t="str">
        <f t="shared" si="27"/>
        <v>Error?</v>
      </c>
    </row>
    <row r="1810" spans="1:4" x14ac:dyDescent="0.2">
      <c r="A1810" s="5">
        <v>1749</v>
      </c>
      <c r="B1810" s="1832">
        <f>'Tax Sched 23'!E6</f>
        <v>347780</v>
      </c>
      <c r="D1810" s="2" t="str">
        <f t="shared" si="27"/>
        <v>Error?</v>
      </c>
    </row>
    <row r="1811" spans="1:4" x14ac:dyDescent="0.2">
      <c r="A1811" s="5">
        <v>1750</v>
      </c>
      <c r="B1811" s="1832">
        <f>'Tax Sched 23'!E7</f>
        <v>126727</v>
      </c>
      <c r="D1811" s="2" t="str">
        <f t="shared" si="27"/>
        <v>Error?</v>
      </c>
    </row>
    <row r="1812" spans="1:4" x14ac:dyDescent="0.2">
      <c r="A1812" s="5">
        <v>1751</v>
      </c>
      <c r="B1812" s="1832">
        <f>'Tax Sched 23'!E8</f>
        <v>60006</v>
      </c>
      <c r="D1812" s="2" t="str">
        <f t="shared" si="27"/>
        <v>Error?</v>
      </c>
    </row>
    <row r="1813" spans="1:4" x14ac:dyDescent="0.2">
      <c r="A1813" s="5">
        <v>1752</v>
      </c>
      <c r="B1813" s="1832">
        <f>'Tax Sched 23'!E10</f>
        <v>52865</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443811</v>
      </c>
      <c r="D1816" s="2" t="str">
        <f t="shared" si="27"/>
        <v>Error?</v>
      </c>
    </row>
    <row r="1817" spans="1:4" x14ac:dyDescent="0.2">
      <c r="A1817" s="5">
        <v>1756</v>
      </c>
      <c r="B1817" s="1832">
        <f>'Tax Sched 23'!E12</f>
        <v>52865</v>
      </c>
      <c r="D1817" s="2" t="str">
        <f t="shared" si="27"/>
        <v>Error?</v>
      </c>
    </row>
    <row r="1818" spans="1:4" x14ac:dyDescent="0.2">
      <c r="A1818" s="5">
        <v>1757</v>
      </c>
      <c r="B1818" s="1832">
        <f>'Tax Sched 23'!E14</f>
        <v>21210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3627974</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270000</v>
      </c>
      <c r="C1939" s="2" t="s">
        <v>569</v>
      </c>
      <c r="D1939" s="2" t="str">
        <f t="shared" si="29"/>
        <v>Error?</v>
      </c>
    </row>
    <row r="1940" spans="1:5" x14ac:dyDescent="0.2">
      <c r="A1940" s="5">
        <v>1879</v>
      </c>
      <c r="B1940" s="1832">
        <f>'Short-Term Long-Term Debt 24'!F49</f>
        <v>5000000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20009</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20009</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2009</v>
      </c>
      <c r="C1982" s="2" t="s">
        <v>569</v>
      </c>
      <c r="D1982" s="2" t="str">
        <f t="shared" si="29"/>
        <v>Error?</v>
      </c>
    </row>
    <row r="1983" spans="1:5" x14ac:dyDescent="0.2">
      <c r="A1983" s="5">
        <v>1922</v>
      </c>
      <c r="B1983" s="1832">
        <f>'Rest Tax Levies-Tort Im 25'!H24</f>
        <v>18000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688913</v>
      </c>
      <c r="D2008" s="2" t="str">
        <f t="shared" si="30"/>
        <v>Error?</v>
      </c>
    </row>
    <row r="2009" spans="1:4" x14ac:dyDescent="0.2">
      <c r="A2009" s="5">
        <v>1948</v>
      </c>
      <c r="B2009" s="1832">
        <f>'Cap Outlay Deprec 26'!C8</f>
        <v>5508794</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335692</v>
      </c>
      <c r="D2011" s="2" t="str">
        <f t="shared" si="30"/>
        <v>Error?</v>
      </c>
    </row>
    <row r="2012" spans="1:4" x14ac:dyDescent="0.2">
      <c r="A2012" s="5">
        <v>1951</v>
      </c>
      <c r="B2012" s="1832">
        <f>'Cap Outlay Deprec 26'!C13</f>
        <v>1257615</v>
      </c>
      <c r="D2012" s="2" t="str">
        <f t="shared" si="30"/>
        <v>Error?</v>
      </c>
    </row>
    <row r="2013" spans="1:4" x14ac:dyDescent="0.2">
      <c r="A2013" s="5">
        <v>1952</v>
      </c>
      <c r="B2013" s="1832">
        <f>'Cap Outlay Deprec 26'!C16</f>
        <v>7791014</v>
      </c>
      <c r="C2013" s="2" t="s">
        <v>569</v>
      </c>
      <c r="D2013" s="2" t="str">
        <f t="shared" si="30"/>
        <v>Error?</v>
      </c>
    </row>
    <row r="2014" spans="1:4" x14ac:dyDescent="0.2">
      <c r="A2014" s="5">
        <v>1953</v>
      </c>
      <c r="B2014" s="1832">
        <f>'Cap Outlay Deprec 26'!D5</f>
        <v>30000</v>
      </c>
      <c r="D2014" s="2" t="str">
        <f t="shared" si="30"/>
        <v>Error?</v>
      </c>
    </row>
    <row r="2015" spans="1:4" x14ac:dyDescent="0.2">
      <c r="A2015" s="5">
        <v>1954</v>
      </c>
      <c r="B2015" s="1832">
        <f>'Cap Outlay Deprec 26'!D8</f>
        <v>208599</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72995</v>
      </c>
      <c r="D2017" s="2" t="str">
        <f t="shared" si="30"/>
        <v>Error?</v>
      </c>
    </row>
    <row r="2018" spans="1:4" x14ac:dyDescent="0.2">
      <c r="A2018" s="5">
        <v>1957</v>
      </c>
      <c r="B2018" s="1832">
        <f>'Cap Outlay Deprec 26'!D13</f>
        <v>116860</v>
      </c>
      <c r="D2018" s="2" t="str">
        <f t="shared" si="30"/>
        <v>Error?</v>
      </c>
    </row>
    <row r="2019" spans="1:4" x14ac:dyDescent="0.2">
      <c r="A2019" s="5">
        <v>1958</v>
      </c>
      <c r="B2019" s="1832">
        <f>'Cap Outlay Deprec 26'!D16</f>
        <v>428454</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718913</v>
      </c>
      <c r="C2026" s="2" t="s">
        <v>569</v>
      </c>
      <c r="D2026" s="2" t="str">
        <f t="shared" si="30"/>
        <v>Error?</v>
      </c>
    </row>
    <row r="2027" spans="1:4" x14ac:dyDescent="0.2">
      <c r="A2027" s="5">
        <v>1966</v>
      </c>
      <c r="B2027" s="1832">
        <f>'Cap Outlay Deprec 26'!F8</f>
        <v>5717393</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408687</v>
      </c>
      <c r="C2029" s="2" t="s">
        <v>569</v>
      </c>
      <c r="D2029" s="2" t="str">
        <f t="shared" si="30"/>
        <v>Error?</v>
      </c>
    </row>
    <row r="2030" spans="1:4" x14ac:dyDescent="0.2">
      <c r="A2030" s="5">
        <v>1969</v>
      </c>
      <c r="B2030" s="1832">
        <f>'Cap Outlay Deprec 26'!F13</f>
        <v>1374475</v>
      </c>
      <c r="C2030" s="2" t="s">
        <v>569</v>
      </c>
      <c r="D2030" s="2" t="str">
        <f t="shared" si="30"/>
        <v>Error?</v>
      </c>
    </row>
    <row r="2031" spans="1:4" x14ac:dyDescent="0.2">
      <c r="A2031" s="5">
        <v>1970</v>
      </c>
      <c r="B2031" s="1832">
        <f>'Cap Outlay Deprec 26'!F16</f>
        <v>8219468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2527106</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325332</v>
      </c>
      <c r="D2035" s="2" t="str">
        <f t="shared" si="30"/>
        <v>Error?</v>
      </c>
    </row>
    <row r="2036" spans="1:4" x14ac:dyDescent="0.2">
      <c r="A2036" s="5">
        <v>1975</v>
      </c>
      <c r="B2036" s="1832">
        <f>'Cap Outlay Deprec 26'!H13</f>
        <v>1199240</v>
      </c>
      <c r="D2036" s="2" t="str">
        <f t="shared" si="30"/>
        <v>Error?</v>
      </c>
    </row>
    <row r="2037" spans="1:4" x14ac:dyDescent="0.2">
      <c r="A2037" s="5">
        <v>1976</v>
      </c>
      <c r="B2037" s="1832">
        <f>'Cap Outlay Deprec 26'!H16</f>
        <v>4051678</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167226</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13898</v>
      </c>
      <c r="D2041" s="2" t="str">
        <f t="shared" si="30"/>
        <v>Error?</v>
      </c>
    </row>
    <row r="2042" spans="1:4" x14ac:dyDescent="0.2">
      <c r="A2042" s="5">
        <v>1981</v>
      </c>
      <c r="B2042" s="1832">
        <f>'Cap Outlay Deprec 26'!I13</f>
        <v>53678</v>
      </c>
      <c r="D2042" s="2" t="str">
        <f t="shared" si="30"/>
        <v>Error?</v>
      </c>
    </row>
    <row r="2043" spans="1:4" x14ac:dyDescent="0.2">
      <c r="A2043" s="5">
        <v>1982</v>
      </c>
      <c r="B2043" s="1832">
        <f>'Cap Outlay Deprec 26'!I16</f>
        <v>234802</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2694332</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339230</v>
      </c>
      <c r="C2053" s="2" t="s">
        <v>569</v>
      </c>
      <c r="D2053" s="2" t="str">
        <f t="shared" si="31"/>
        <v>Error?</v>
      </c>
    </row>
    <row r="2054" spans="1:4" x14ac:dyDescent="0.2">
      <c r="A2054" s="5">
        <v>1993</v>
      </c>
      <c r="B2054" s="1832">
        <f>'Cap Outlay Deprec 26'!K13</f>
        <v>1252918</v>
      </c>
      <c r="C2054" s="2" t="s">
        <v>569</v>
      </c>
      <c r="D2054" s="2" t="str">
        <f t="shared" si="31"/>
        <v>Error?</v>
      </c>
    </row>
    <row r="2055" spans="1:4" x14ac:dyDescent="0.2">
      <c r="A2055" s="5">
        <v>1994</v>
      </c>
      <c r="B2055" s="1832">
        <f>'Cap Outlay Deprec 26'!K16</f>
        <v>4286480</v>
      </c>
      <c r="C2055" s="2" t="s">
        <v>569</v>
      </c>
      <c r="D2055" s="2" t="str">
        <f t="shared" si="31"/>
        <v>Error?</v>
      </c>
    </row>
    <row r="2056" spans="1:4" x14ac:dyDescent="0.2">
      <c r="A2056" s="5">
        <v>1995</v>
      </c>
      <c r="B2056" s="1832">
        <f>'Cap Outlay Deprec 26'!L5</f>
        <v>718913</v>
      </c>
      <c r="C2056" s="2" t="s">
        <v>569</v>
      </c>
      <c r="D2056" s="2" t="str">
        <f t="shared" si="31"/>
        <v>Error?</v>
      </c>
    </row>
    <row r="2057" spans="1:4" x14ac:dyDescent="0.2">
      <c r="A2057" s="5">
        <v>1996</v>
      </c>
      <c r="B2057" s="1832">
        <f>'Cap Outlay Deprec 26'!L8</f>
        <v>3023061</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69457</v>
      </c>
      <c r="C2059" s="2" t="s">
        <v>569</v>
      </c>
      <c r="D2059" s="2" t="str">
        <f t="shared" si="31"/>
        <v>Error?</v>
      </c>
    </row>
    <row r="2060" spans="1:4" x14ac:dyDescent="0.2">
      <c r="A2060" s="5">
        <v>1999</v>
      </c>
      <c r="B2060" s="1832">
        <f>'Cap Outlay Deprec 26'!L13</f>
        <v>121557</v>
      </c>
      <c r="C2060" s="2" t="s">
        <v>569</v>
      </c>
      <c r="D2060" s="2" t="str">
        <f t="shared" si="31"/>
        <v>Error?</v>
      </c>
    </row>
    <row r="2061" spans="1:4" x14ac:dyDescent="0.2">
      <c r="A2061" s="5">
        <v>2000</v>
      </c>
      <c r="B2061" s="1832">
        <f>'Cap Outlay Deprec 26'!L16</f>
        <v>3932988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35762</v>
      </c>
      <c r="C2088" s="2" t="s">
        <v>569</v>
      </c>
      <c r="D2088" s="2" t="str">
        <f t="shared" si="31"/>
        <v>Error?</v>
      </c>
    </row>
    <row r="2089" spans="1:4" x14ac:dyDescent="0.2">
      <c r="A2089" s="5">
        <v>2028</v>
      </c>
      <c r="B2089" s="1832">
        <f>'Expenditures 15-22'!K92</f>
        <v>151295</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666705</v>
      </c>
      <c r="D2475" s="2" t="str">
        <f t="shared" si="37"/>
        <v>Error?</v>
      </c>
    </row>
    <row r="2476" spans="1:4" x14ac:dyDescent="0.2">
      <c r="A2476" s="10">
        <v>2415</v>
      </c>
      <c r="B2476" s="1832"/>
      <c r="D2476" s="2" t="str">
        <f t="shared" si="37"/>
        <v>OK</v>
      </c>
    </row>
    <row r="2477" spans="1:4" x14ac:dyDescent="0.2">
      <c r="A2477" s="5">
        <v>2416</v>
      </c>
      <c r="B2477" s="1832">
        <f>'Assets-Liab 5-6'!G38</f>
        <v>405536</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130554</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5360066</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2213141</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1223864</v>
      </c>
      <c r="C2553" s="2" t="s">
        <v>569</v>
      </c>
      <c r="D2553" s="2" t="str">
        <f t="shared" si="38"/>
        <v>Error?</v>
      </c>
    </row>
    <row r="2554" spans="1:4" x14ac:dyDescent="0.2">
      <c r="A2554" s="5">
        <v>2493</v>
      </c>
      <c r="B2554" s="1832">
        <f>'Acct Summary 7-8'!C7</f>
        <v>248230</v>
      </c>
      <c r="C2554" s="2" t="s">
        <v>569</v>
      </c>
      <c r="D2554" s="2" t="str">
        <f t="shared" si="38"/>
        <v>Error?</v>
      </c>
    </row>
    <row r="2555" spans="1:4" x14ac:dyDescent="0.2">
      <c r="A2555" s="5">
        <v>2494</v>
      </c>
      <c r="B2555" s="1832">
        <f>'Acct Summary 7-8'!C8</f>
        <v>3685235</v>
      </c>
      <c r="C2555" s="2" t="s">
        <v>569</v>
      </c>
      <c r="D2555" s="2" t="str">
        <f t="shared" si="38"/>
        <v>Error?</v>
      </c>
    </row>
    <row r="2556" spans="1:4" x14ac:dyDescent="0.2">
      <c r="A2556" s="5">
        <v>2495</v>
      </c>
      <c r="B2556" s="1832">
        <f>'Acct Summary 7-8'!C12</f>
        <v>2553938</v>
      </c>
      <c r="C2556" s="2" t="s">
        <v>569</v>
      </c>
      <c r="D2556" s="2" t="str">
        <f t="shared" si="38"/>
        <v>Error?</v>
      </c>
    </row>
    <row r="2557" spans="1:4" x14ac:dyDescent="0.2">
      <c r="A2557" s="5">
        <v>2496</v>
      </c>
      <c r="B2557" s="1832">
        <f>'Acct Summary 7-8'!C13</f>
        <v>951247</v>
      </c>
      <c r="C2557" s="2" t="s">
        <v>569</v>
      </c>
      <c r="D2557" s="2" t="str">
        <f t="shared" si="38"/>
        <v>Error?</v>
      </c>
    </row>
    <row r="2558" spans="1:4" x14ac:dyDescent="0.2">
      <c r="A2558" s="5">
        <v>2497</v>
      </c>
      <c r="B2558" s="1832">
        <f>'Acct Summary 7-8'!C14</f>
        <v>18405</v>
      </c>
      <c r="C2558" s="2" t="s">
        <v>569</v>
      </c>
      <c r="D2558" s="2" t="str">
        <f t="shared" si="38"/>
        <v>Error?</v>
      </c>
    </row>
    <row r="2559" spans="1:4" x14ac:dyDescent="0.2">
      <c r="A2559" s="5">
        <v>2498</v>
      </c>
      <c r="B2559" s="1832">
        <f>'Acct Summary 7-8'!C15</f>
        <v>187057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3710647</v>
      </c>
      <c r="C2561" s="2" t="s">
        <v>569</v>
      </c>
      <c r="D2561" s="2" t="str">
        <f t="shared" si="39"/>
        <v>Error?</v>
      </c>
    </row>
    <row r="2562" spans="1:4" x14ac:dyDescent="0.2">
      <c r="A2562" s="5">
        <v>2501</v>
      </c>
      <c r="B2562" s="1832">
        <f>'Acct Summary 7-8'!C20</f>
        <v>-25412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294368</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344368</v>
      </c>
      <c r="C2568" s="2" t="s">
        <v>569</v>
      </c>
      <c r="D2568" s="2" t="str">
        <f t="shared" si="39"/>
        <v>Error?</v>
      </c>
    </row>
    <row r="2569" spans="1:4" x14ac:dyDescent="0.2">
      <c r="A2569" s="5">
        <v>2508</v>
      </c>
      <c r="B2569" s="1832">
        <f>'Acct Summary 7-8'!D13</f>
        <v>205324</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205324</v>
      </c>
      <c r="C2573" s="2" t="s">
        <v>569</v>
      </c>
      <c r="D2573" s="2" t="str">
        <f t="shared" si="39"/>
        <v>Error?</v>
      </c>
    </row>
    <row r="2574" spans="1:4" x14ac:dyDescent="0.2">
      <c r="A2574" s="5">
        <v>2513</v>
      </c>
      <c r="B2574" s="1832">
        <f>'Acct Summary 7-8'!D20</f>
        <v>139044</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124606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51043</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175649</v>
      </c>
      <c r="C2595" s="2" t="s">
        <v>569</v>
      </c>
      <c r="D2595" s="2" t="str">
        <f t="shared" si="39"/>
        <v>Error?</v>
      </c>
    </row>
    <row r="2596" spans="1:4" x14ac:dyDescent="0.2">
      <c r="A2596" s="5">
        <v>2535</v>
      </c>
      <c r="B2596" s="1832">
        <f>'Acct Summary 7-8'!F13</f>
        <v>126938</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126938</v>
      </c>
      <c r="C2600" s="2" t="s">
        <v>569</v>
      </c>
      <c r="D2600" s="2" t="str">
        <f t="shared" si="39"/>
        <v>Error?</v>
      </c>
    </row>
    <row r="2601" spans="1:4" x14ac:dyDescent="0.2">
      <c r="A2601" s="5">
        <v>2540</v>
      </c>
      <c r="B2601" s="1832">
        <f>'Acct Summary 7-8'!F20</f>
        <v>48711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183494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183494</v>
      </c>
      <c r="C2606" s="2" t="s">
        <v>569</v>
      </c>
      <c r="D2606" s="2" t="str">
        <f t="shared" si="39"/>
        <v>Error?</v>
      </c>
    </row>
    <row r="2607" spans="1:4" x14ac:dyDescent="0.2">
      <c r="A2607" s="5">
        <v>2546</v>
      </c>
      <c r="B2607" s="1832">
        <f>'Acct Summary 7-8'!G12</f>
        <v>46356</v>
      </c>
      <c r="C2607" s="2" t="s">
        <v>569</v>
      </c>
      <c r="D2607" s="2" t="str">
        <f t="shared" si="39"/>
        <v>Error?</v>
      </c>
    </row>
    <row r="2608" spans="1:4" x14ac:dyDescent="0.2">
      <c r="A2608" s="5">
        <v>2547</v>
      </c>
      <c r="B2608" s="1832">
        <f>'Acct Summary 7-8'!G13</f>
        <v>90341</v>
      </c>
      <c r="C2608" s="2" t="s">
        <v>569</v>
      </c>
      <c r="D2608" s="2" t="str">
        <f t="shared" si="39"/>
        <v>Error?</v>
      </c>
    </row>
    <row r="2609" spans="1:4" x14ac:dyDescent="0.2">
      <c r="A2609" s="5">
        <v>2548</v>
      </c>
      <c r="B2609" s="1832">
        <f>'Acct Summary 7-8'!G14</f>
        <v>1192</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137889</v>
      </c>
      <c r="C2612" s="2" t="s">
        <v>569</v>
      </c>
      <c r="D2612" s="2" t="str">
        <f t="shared" si="39"/>
        <v>Error?</v>
      </c>
    </row>
    <row r="2613" spans="1:4" x14ac:dyDescent="0.2">
      <c r="A2613" s="5">
        <v>2552</v>
      </c>
      <c r="B2613" s="1832">
        <f>'Acct Summary 7-8'!G20</f>
        <v>45605</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162051</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162051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180748</v>
      </c>
      <c r="C2634" s="2" t="s">
        <v>569</v>
      </c>
      <c r="D2634" s="2" t="str">
        <f t="shared" si="40"/>
        <v>Error?</v>
      </c>
    </row>
    <row r="2635" spans="1:4" x14ac:dyDescent="0.2">
      <c r="A2635" s="5">
        <v>2574</v>
      </c>
      <c r="B2635" s="1832">
        <f>'Acct Summary 7-8'!E17</f>
        <v>180748</v>
      </c>
      <c r="C2635" s="2" t="s">
        <v>569</v>
      </c>
      <c r="D2635" s="2" t="str">
        <f t="shared" si="40"/>
        <v>Error?</v>
      </c>
    </row>
    <row r="2636" spans="1:4" x14ac:dyDescent="0.2">
      <c r="A2636" s="5">
        <v>2575</v>
      </c>
      <c r="B2636" s="1832">
        <f>'Acct Summary 7-8'!E20</f>
        <v>-18697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10908</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10908</v>
      </c>
      <c r="C2658" s="2" t="s">
        <v>569</v>
      </c>
      <c r="D2658" s="2" t="str">
        <f t="shared" si="40"/>
        <v>Error?</v>
      </c>
    </row>
    <row r="2659" spans="1:4" x14ac:dyDescent="0.2">
      <c r="A2659" s="5">
        <v>2598</v>
      </c>
      <c r="B2659" s="1832">
        <f>'Acct Summary 7-8'!H13</f>
        <v>872536</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872536</v>
      </c>
      <c r="C2661" s="2" t="s">
        <v>569</v>
      </c>
      <c r="D2661" s="2" t="str">
        <f t="shared" si="40"/>
        <v>Error?</v>
      </c>
    </row>
    <row r="2662" spans="1:4" x14ac:dyDescent="0.2">
      <c r="A2662" s="5">
        <v>2601</v>
      </c>
      <c r="B2662" s="1832">
        <f>'Acct Summary 7-8'!H20</f>
        <v>-861628</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35762</v>
      </c>
      <c r="C2789" s="2" t="s">
        <v>569</v>
      </c>
      <c r="D2789" s="2" t="str">
        <f t="shared" si="42"/>
        <v>Error?</v>
      </c>
    </row>
    <row r="2790" spans="1:4" x14ac:dyDescent="0.2">
      <c r="A2790" s="5">
        <v>2729</v>
      </c>
      <c r="B2790" s="1832">
        <f>'Expenditures 15-22'!E102</f>
        <v>35762</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102930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371390</v>
      </c>
      <c r="D2862" s="2" t="str">
        <f t="shared" si="43"/>
        <v>Error?</v>
      </c>
    </row>
    <row r="2863" spans="1:4" x14ac:dyDescent="0.2">
      <c r="A2863" s="10">
        <v>2802</v>
      </c>
      <c r="B2863" s="1832"/>
      <c r="D2863" s="2" t="str">
        <f t="shared" si="43"/>
        <v>OK</v>
      </c>
    </row>
    <row r="2864" spans="1:4" x14ac:dyDescent="0.2">
      <c r="A2864" s="5">
        <v>2803</v>
      </c>
      <c r="B2864" s="1832">
        <f>'Assets-Liab 5-6'!M20</f>
        <v>561044</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560582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95366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560582</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560582</v>
      </c>
      <c r="C2913" s="2" t="s">
        <v>569</v>
      </c>
      <c r="D2913" s="2" t="str">
        <f t="shared" si="44"/>
        <v>Error?</v>
      </c>
    </row>
    <row r="2914" spans="1:4" x14ac:dyDescent="0.2">
      <c r="A2914" s="5">
        <v>2853</v>
      </c>
      <c r="B2914" s="1832">
        <f>'Assets-Liab 5-6'!L33</f>
        <v>95366</v>
      </c>
      <c r="D2914" s="2" t="str">
        <f t="shared" si="44"/>
        <v>Error?</v>
      </c>
    </row>
    <row r="2915" spans="1:4" x14ac:dyDescent="0.2">
      <c r="A2915" s="10">
        <v>2854</v>
      </c>
      <c r="B2915" s="1832"/>
      <c r="D2915" s="2" t="str">
        <f t="shared" si="44"/>
        <v>OK</v>
      </c>
    </row>
    <row r="2916" spans="1:4" x14ac:dyDescent="0.2">
      <c r="A2916" s="5">
        <v>2855</v>
      </c>
      <c r="B2916" s="1832">
        <f>'Assets-Liab 5-6'!L34</f>
        <v>95366</v>
      </c>
      <c r="C2916" s="2" t="s">
        <v>569</v>
      </c>
      <c r="D2916" s="2" t="str">
        <f t="shared" si="44"/>
        <v>Error?</v>
      </c>
    </row>
    <row r="2917" spans="1:4" x14ac:dyDescent="0.2">
      <c r="A2917" s="5">
        <v>2856</v>
      </c>
      <c r="B2917" s="1832">
        <f>'Assets-Liab 5-6'!L41</f>
        <v>95366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35762</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35762</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158558</v>
      </c>
      <c r="D3055" s="2" t="str">
        <f t="shared" si="46"/>
        <v>Error?</v>
      </c>
    </row>
    <row r="3056" spans="1:4" x14ac:dyDescent="0.2">
      <c r="A3056" s="5">
        <v>2995</v>
      </c>
      <c r="B3056" s="1832">
        <f>'Expenditures 15-22'!D10</f>
        <v>20779</v>
      </c>
      <c r="D3056" s="2" t="str">
        <f t="shared" si="46"/>
        <v>Error?</v>
      </c>
    </row>
    <row r="3057" spans="1:4" x14ac:dyDescent="0.2">
      <c r="A3057" s="5">
        <v>2996</v>
      </c>
      <c r="B3057" s="1832">
        <f>'Expenditures 15-22'!E10</f>
        <v>320</v>
      </c>
      <c r="D3057" s="2" t="str">
        <f t="shared" si="46"/>
        <v>Error?</v>
      </c>
    </row>
    <row r="3058" spans="1:4" x14ac:dyDescent="0.2">
      <c r="A3058" s="5">
        <v>2997</v>
      </c>
      <c r="B3058" s="1832">
        <f>'Expenditures 15-22'!F10</f>
        <v>3333</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182990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3977</v>
      </c>
      <c r="D3064" s="2" t="str">
        <f t="shared" si="46"/>
        <v>Error?</v>
      </c>
    </row>
    <row r="3065" spans="1:4" x14ac:dyDescent="0.2">
      <c r="A3065" s="5">
        <v>3004</v>
      </c>
      <c r="B3065" s="1832">
        <f>'Expenditures 15-22'!K219</f>
        <v>3977</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57211</v>
      </c>
      <c r="C3225" s="2" t="s">
        <v>569</v>
      </c>
      <c r="D3225" s="2" t="str">
        <f t="shared" si="49"/>
        <v>Error?</v>
      </c>
    </row>
    <row r="3226" spans="1:4" x14ac:dyDescent="0.2">
      <c r="A3226" s="5">
        <v>3165</v>
      </c>
      <c r="B3226" s="1832">
        <f>'Acct Summary 7-8'!I8</f>
        <v>57211</v>
      </c>
      <c r="C3226" s="2" t="s">
        <v>569</v>
      </c>
      <c r="D3226" s="2" t="str">
        <f t="shared" si="49"/>
        <v>Error?</v>
      </c>
    </row>
    <row r="3227" spans="1:4" x14ac:dyDescent="0.2">
      <c r="A3227" s="5">
        <v>3166</v>
      </c>
      <c r="B3227" s="1832">
        <f>'Acct Summary 7-8'!I20</f>
        <v>57211</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107305</v>
      </c>
      <c r="C3229" s="2" t="s">
        <v>569</v>
      </c>
      <c r="D3229" s="2" t="str">
        <f t="shared" si="49"/>
        <v>Error?</v>
      </c>
    </row>
    <row r="3230" spans="1:4" x14ac:dyDescent="0.2">
      <c r="A3230" s="5">
        <v>3169</v>
      </c>
      <c r="B3230" s="1832">
        <f>'Acct Summary 7-8'!C75</f>
        <v>43447</v>
      </c>
      <c r="D3230" s="2" t="str">
        <f t="shared" si="49"/>
        <v>Error?</v>
      </c>
    </row>
    <row r="3231" spans="1:4" x14ac:dyDescent="0.2">
      <c r="A3231" s="5">
        <v>3170</v>
      </c>
      <c r="B3231" s="1832">
        <f>'Acct Summary 7-8'!C76</f>
        <v>61784</v>
      </c>
      <c r="C3231" s="2" t="s">
        <v>569</v>
      </c>
      <c r="D3231" s="2" t="str">
        <f t="shared" si="49"/>
        <v>Error?</v>
      </c>
    </row>
    <row r="3232" spans="1:4" x14ac:dyDescent="0.2">
      <c r="A3232" s="5">
        <v>3171</v>
      </c>
      <c r="B3232" s="1832">
        <f>'Acct Summary 7-8'!C77</f>
        <v>45521</v>
      </c>
      <c r="C3232" s="2" t="s">
        <v>569</v>
      </c>
      <c r="D3232" s="2" t="str">
        <f t="shared" si="49"/>
        <v>Error?</v>
      </c>
    </row>
    <row r="3233" spans="1:4" x14ac:dyDescent="0.2">
      <c r="A3233" s="5">
        <v>3172</v>
      </c>
      <c r="B3233" s="1832">
        <f>'Acct Summary 7-8'!C78</f>
        <v>20109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500000</v>
      </c>
      <c r="C3237" s="2" t="s">
        <v>569</v>
      </c>
      <c r="D3237" s="2" t="str">
        <f t="shared" si="49"/>
        <v>Error?</v>
      </c>
    </row>
    <row r="3238" spans="1:4" x14ac:dyDescent="0.2">
      <c r="A3238" s="5">
        <v>3177</v>
      </c>
      <c r="B3238" s="1832">
        <f>'Acct Summary 7-8'!D77</f>
        <v>-500000</v>
      </c>
      <c r="C3238" s="2" t="s">
        <v>569</v>
      </c>
      <c r="D3238" s="2" t="str">
        <f t="shared" si="49"/>
        <v>Error?</v>
      </c>
    </row>
    <row r="3239" spans="1:4" x14ac:dyDescent="0.2">
      <c r="A3239" s="5">
        <v>3178</v>
      </c>
      <c r="B3239" s="1832">
        <f>'Acct Summary 7-8'!D78</f>
        <v>-360956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48711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45605</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18337</v>
      </c>
      <c r="D3273" s="2" t="str">
        <f t="shared" si="50"/>
        <v>Error?</v>
      </c>
    </row>
    <row r="3274" spans="1:4" x14ac:dyDescent="0.2">
      <c r="A3274" s="5">
        <v>3213</v>
      </c>
      <c r="B3274" s="1832">
        <f>'Acct Summary 7-8'!E44</f>
        <v>77543</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77543</v>
      </c>
      <c r="C3277" s="2" t="s">
        <v>569</v>
      </c>
      <c r="D3277" s="2" t="str">
        <f t="shared" si="50"/>
        <v>Error?</v>
      </c>
    </row>
    <row r="3278" spans="1:4" x14ac:dyDescent="0.2">
      <c r="A3278" s="5">
        <v>3217</v>
      </c>
      <c r="B3278" s="1832">
        <f>'Acct Summary 7-8'!E78</f>
        <v>58846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6313514</v>
      </c>
      <c r="C3296" s="2" t="s">
        <v>569</v>
      </c>
      <c r="D3296" s="2" t="str">
        <f t="shared" si="50"/>
        <v>Error?</v>
      </c>
    </row>
    <row r="3297" spans="1:4" x14ac:dyDescent="0.2">
      <c r="A3297" s="5">
        <v>3236</v>
      </c>
      <c r="B3297" s="1832">
        <f>'Acct Summary 7-8'!H75</f>
        <v>91820</v>
      </c>
      <c r="D3297" s="2" t="str">
        <f t="shared" si="50"/>
        <v>Error?</v>
      </c>
    </row>
    <row r="3298" spans="1:4" x14ac:dyDescent="0.2">
      <c r="A3298" s="5">
        <v>3237</v>
      </c>
      <c r="B3298" s="1832">
        <f>'Acct Summary 7-8'!H76</f>
        <v>91820</v>
      </c>
      <c r="C3298" s="2" t="s">
        <v>569</v>
      </c>
      <c r="D3298" s="2" t="str">
        <f t="shared" si="50"/>
        <v>Error?</v>
      </c>
    </row>
    <row r="3299" spans="1:4" x14ac:dyDescent="0.2">
      <c r="A3299" s="5">
        <v>3238</v>
      </c>
      <c r="B3299" s="1832">
        <f>'Acct Summary 7-8'!H77</f>
        <v>6221694</v>
      </c>
      <c r="C3299" s="2" t="s">
        <v>569</v>
      </c>
      <c r="D3299" s="2" t="str">
        <f t="shared" si="50"/>
        <v>Error?</v>
      </c>
    </row>
    <row r="3300" spans="1:4" x14ac:dyDescent="0.2">
      <c r="A3300" s="5">
        <v>3239</v>
      </c>
      <c r="B3300" s="1832">
        <f>'Acct Summary 7-8'!H78</f>
        <v>5360066</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57211</v>
      </c>
      <c r="C3320" s="2" t="s">
        <v>569</v>
      </c>
      <c r="D3320" s="2" t="str">
        <f t="shared" si="50"/>
        <v>Error?</v>
      </c>
    </row>
    <row r="3321" spans="1:4" x14ac:dyDescent="0.2">
      <c r="A3321" s="5">
        <v>3260</v>
      </c>
      <c r="B3321" s="1832">
        <f>'Acct Summary 7-8'!I79</f>
        <v>503371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560582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269523</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33906</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40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500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303969</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21929</v>
      </c>
      <c r="D3387" s="2" t="str">
        <f t="shared" si="51"/>
        <v>Error?</v>
      </c>
    </row>
    <row r="3388" spans="1:4" x14ac:dyDescent="0.2">
      <c r="A3388" s="5">
        <v>3327</v>
      </c>
      <c r="B3388" s="1832">
        <f>'Expenditures 15-22'!D217</f>
        <v>19120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21929</v>
      </c>
      <c r="C3390" s="2" t="s">
        <v>569</v>
      </c>
      <c r="D3390" s="2" t="str">
        <f t="shared" si="51"/>
        <v>Error?</v>
      </c>
    </row>
    <row r="3391" spans="1:4" x14ac:dyDescent="0.2">
      <c r="A3391" s="5">
        <v>3330</v>
      </c>
      <c r="B3391" s="1832">
        <f>'Expenditures 15-22'!K217</f>
        <v>19120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876581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858024</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130554</v>
      </c>
      <c r="D3417" s="2" t="str">
        <f t="shared" si="52"/>
        <v>Error?</v>
      </c>
    </row>
    <row r="3418" spans="1:4" x14ac:dyDescent="0.2">
      <c r="A3418" s="10">
        <v>3357</v>
      </c>
      <c r="B3418" s="1832"/>
      <c r="D3418" s="2" t="str">
        <f t="shared" si="52"/>
        <v>OK</v>
      </c>
    </row>
    <row r="3419" spans="1:4" x14ac:dyDescent="0.2">
      <c r="A3419" s="5">
        <v>3358</v>
      </c>
      <c r="B3419" s="1832">
        <f>'Assets-Liab 5-6'!F4</f>
        <v>666705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105536</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5360066</v>
      </c>
      <c r="D3425" s="2" t="str">
        <f t="shared" si="52"/>
        <v>Error?</v>
      </c>
    </row>
    <row r="3426" spans="1:4" x14ac:dyDescent="0.2">
      <c r="A3426" s="10">
        <v>3365</v>
      </c>
      <c r="B3426" s="1832"/>
      <c r="D3426" s="2" t="str">
        <f t="shared" si="52"/>
        <v>OK</v>
      </c>
    </row>
    <row r="3427" spans="1:4" x14ac:dyDescent="0.2">
      <c r="A3427" s="5">
        <v>3366</v>
      </c>
      <c r="B3427" s="1832">
        <f>'Assets-Liab 5-6'!I4</f>
        <v>560582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95366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99648</v>
      </c>
      <c r="C3446" s="2" t="s">
        <v>569</v>
      </c>
      <c r="D3446" s="2" t="str">
        <f t="shared" si="52"/>
        <v>Error?</v>
      </c>
    </row>
    <row r="3447" spans="1:4" x14ac:dyDescent="0.2">
      <c r="A3447" s="5">
        <v>3386</v>
      </c>
      <c r="B3447" s="1832">
        <f>'Tax Sched 23'!D16</f>
        <v>99648</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95072</v>
      </c>
      <c r="C3449" s="2" t="s">
        <v>569</v>
      </c>
      <c r="D3449" s="2" t="str">
        <f t="shared" si="52"/>
        <v>Error?</v>
      </c>
    </row>
    <row r="3450" spans="1:4" x14ac:dyDescent="0.2">
      <c r="A3450" s="5">
        <v>3389</v>
      </c>
      <c r="B3450" s="1832">
        <f>'Tax Sched 23'!E16</f>
        <v>95072</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194481</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200000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394481</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394481</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394481</v>
      </c>
      <c r="C3568" s="2" t="s">
        <v>569</v>
      </c>
      <c r="D3568" s="2" t="str">
        <f t="shared" si="54"/>
        <v>Error?</v>
      </c>
    </row>
    <row r="3569" spans="1:4" x14ac:dyDescent="0.2">
      <c r="A3569" s="5">
        <v>3508</v>
      </c>
      <c r="B3569" s="1832">
        <f>'Acct Summary 7-8'!K4</f>
        <v>50079</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50079</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50079</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50079</v>
      </c>
      <c r="C3588" s="2" t="s">
        <v>569</v>
      </c>
      <c r="D3588" s="2" t="str">
        <f t="shared" si="55"/>
        <v>Error?</v>
      </c>
    </row>
    <row r="3589" spans="1:4" x14ac:dyDescent="0.2">
      <c r="A3589" s="5">
        <v>3528</v>
      </c>
      <c r="B3589" s="1832">
        <f>'Acct Summary 7-8'!K79</f>
        <v>344402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394481</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50079</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50025</v>
      </c>
      <c r="C3725" s="2" t="s">
        <v>569</v>
      </c>
      <c r="D3725" s="2" t="str">
        <f t="shared" si="57"/>
        <v>Error?</v>
      </c>
    </row>
    <row r="3726" spans="1:4" x14ac:dyDescent="0.2">
      <c r="A3726" s="5">
        <v>3665</v>
      </c>
      <c r="B3726" s="1832">
        <f>'Tax Sched 23'!D13</f>
        <v>50025</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52865</v>
      </c>
      <c r="C3728" s="2" t="s">
        <v>569</v>
      </c>
      <c r="D3728" s="2" t="str">
        <f t="shared" si="57"/>
        <v>Error?</v>
      </c>
    </row>
    <row r="3729" spans="1:4" x14ac:dyDescent="0.2">
      <c r="A3729" s="5">
        <v>3668</v>
      </c>
      <c r="B3729" s="1832">
        <f>'Tax Sched 23'!E13</f>
        <v>52865</v>
      </c>
      <c r="D3729" s="2" t="str">
        <f t="shared" si="57"/>
        <v>Error?</v>
      </c>
    </row>
    <row r="3730" spans="1:4" x14ac:dyDescent="0.2">
      <c r="A3730" s="5">
        <v>3669</v>
      </c>
      <c r="B3730" s="1832">
        <f>'ICR Computation 30'!E10</f>
        <v>32435</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2068692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5753927</v>
      </c>
      <c r="C4122" s="2" t="s">
        <v>569</v>
      </c>
      <c r="D4122" s="2" t="str">
        <f t="shared" si="63"/>
        <v>Error?</v>
      </c>
    </row>
    <row r="4123" spans="1:4" x14ac:dyDescent="0.2">
      <c r="A4123" s="5">
        <v>4062</v>
      </c>
      <c r="B4123" s="1832">
        <f>'Acct Summary 7-8'!D10</f>
        <v>344368</v>
      </c>
      <c r="C4123" s="2" t="s">
        <v>569</v>
      </c>
      <c r="D4123" s="2" t="str">
        <f t="shared" si="63"/>
        <v>Error?</v>
      </c>
    </row>
    <row r="4124" spans="1:4" x14ac:dyDescent="0.2">
      <c r="A4124" s="5">
        <v>4063</v>
      </c>
      <c r="B4124" s="1832">
        <f>'Acct Summary 7-8'!E10</f>
        <v>162051</v>
      </c>
      <c r="C4124" s="2" t="s">
        <v>569</v>
      </c>
      <c r="D4124" s="2" t="str">
        <f t="shared" si="63"/>
        <v>Error?</v>
      </c>
    </row>
    <row r="4125" spans="1:4" x14ac:dyDescent="0.2">
      <c r="A4125" s="5">
        <v>4064</v>
      </c>
      <c r="B4125" s="1832">
        <f>'Acct Summary 7-8'!F10</f>
        <v>175649</v>
      </c>
      <c r="C4125" s="2" t="s">
        <v>569</v>
      </c>
      <c r="D4125" s="2" t="str">
        <f t="shared" si="63"/>
        <v>Error?</v>
      </c>
    </row>
    <row r="4126" spans="1:4" x14ac:dyDescent="0.2">
      <c r="A4126" s="5">
        <v>4065</v>
      </c>
      <c r="B4126" s="1832">
        <f>'Acct Summary 7-8'!G10</f>
        <v>183494</v>
      </c>
      <c r="C4126" s="2" t="s">
        <v>569</v>
      </c>
      <c r="D4126" s="2" t="str">
        <f t="shared" si="63"/>
        <v>Error?</v>
      </c>
    </row>
    <row r="4127" spans="1:4" x14ac:dyDescent="0.2">
      <c r="A4127" s="5">
        <v>4066</v>
      </c>
      <c r="B4127" s="1832">
        <f>'Acct Summary 7-8'!H10</f>
        <v>10908</v>
      </c>
      <c r="C4127" s="2" t="s">
        <v>569</v>
      </c>
      <c r="D4127" s="2" t="str">
        <f t="shared" si="63"/>
        <v>Error?</v>
      </c>
    </row>
    <row r="4128" spans="1:4" x14ac:dyDescent="0.2">
      <c r="A4128" s="5">
        <v>4067</v>
      </c>
      <c r="B4128" s="1832">
        <f>'Acct Summary 7-8'!I10</f>
        <v>57211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50079</v>
      </c>
      <c r="C4130" s="2" t="s">
        <v>569</v>
      </c>
      <c r="D4130" s="2" t="str">
        <f t="shared" si="63"/>
        <v>Error?</v>
      </c>
    </row>
    <row r="4131" spans="1:4" x14ac:dyDescent="0.2">
      <c r="A4131" s="5">
        <v>4070</v>
      </c>
      <c r="B4131" s="1832">
        <f>'Acct Summary 7-8'!C18</f>
        <v>2068692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5779339</v>
      </c>
      <c r="C4136" s="2" t="s">
        <v>569</v>
      </c>
      <c r="D4136" s="2" t="str">
        <f t="shared" si="63"/>
        <v>Error?</v>
      </c>
    </row>
    <row r="4137" spans="1:4" x14ac:dyDescent="0.2">
      <c r="A4137" s="5">
        <v>4076</v>
      </c>
      <c r="B4137" s="1832">
        <f>'Acct Summary 7-8'!D19</f>
        <v>205324</v>
      </c>
      <c r="C4137" s="2" t="s">
        <v>569</v>
      </c>
      <c r="D4137" s="2" t="str">
        <f t="shared" si="63"/>
        <v>Error?</v>
      </c>
    </row>
    <row r="4138" spans="1:4" x14ac:dyDescent="0.2">
      <c r="A4138" s="5">
        <v>4077</v>
      </c>
      <c r="B4138" s="1832">
        <f>'Acct Summary 7-8'!E19</f>
        <v>180748</v>
      </c>
      <c r="C4138" s="2" t="s">
        <v>569</v>
      </c>
      <c r="D4138" s="2" t="str">
        <f t="shared" si="63"/>
        <v>Error?</v>
      </c>
    </row>
    <row r="4139" spans="1:4" x14ac:dyDescent="0.2">
      <c r="A4139" s="5">
        <v>4078</v>
      </c>
      <c r="B4139" s="1832">
        <f>'Acct Summary 7-8'!F19</f>
        <v>126938</v>
      </c>
      <c r="C4139" s="2" t="s">
        <v>569</v>
      </c>
      <c r="D4139" s="2" t="str">
        <f t="shared" si="63"/>
        <v>Error?</v>
      </c>
    </row>
    <row r="4140" spans="1:4" x14ac:dyDescent="0.2">
      <c r="A4140" s="5">
        <v>4079</v>
      </c>
      <c r="B4140" s="1832">
        <f>'Acct Summary 7-8'!G19</f>
        <v>137889</v>
      </c>
      <c r="C4140" s="2" t="s">
        <v>569</v>
      </c>
      <c r="D4140" s="2" t="str">
        <f t="shared" si="63"/>
        <v>Error?</v>
      </c>
    </row>
    <row r="4141" spans="1:4" x14ac:dyDescent="0.2">
      <c r="A4141" s="5">
        <v>4080</v>
      </c>
      <c r="B4141" s="1832">
        <f>'Acct Summary 7-8'!H19</f>
        <v>872536</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5115000</v>
      </c>
      <c r="C4171" s="2" t="s">
        <v>569</v>
      </c>
      <c r="D4171" s="2" t="str">
        <f t="shared" si="64"/>
        <v>Error?</v>
      </c>
    </row>
    <row r="4172" spans="1:4" x14ac:dyDescent="0.2">
      <c r="A4172" s="5">
        <v>4111</v>
      </c>
      <c r="B4172" s="1832">
        <f>'Short-Term Long-Term Debt 24'!J49</f>
        <v>4984446</v>
      </c>
      <c r="C4172" s="2" t="s">
        <v>569</v>
      </c>
      <c r="D4172" s="2" t="str">
        <f t="shared" si="64"/>
        <v>Error?</v>
      </c>
    </row>
    <row r="4173" spans="1:4" x14ac:dyDescent="0.2">
      <c r="A4173" s="5">
        <v>4112</v>
      </c>
      <c r="B4173" s="1832">
        <f>'Short-Term Long-Term Debt 24'!H49</f>
        <v>155000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1980.5</v>
      </c>
      <c r="C4265" s="2" t="s">
        <v>569</v>
      </c>
      <c r="D4265" s="2" t="str">
        <f t="shared" si="65"/>
        <v>Error?</v>
      </c>
      <c r="E4265" s="125"/>
    </row>
    <row r="4266" spans="1:5" x14ac:dyDescent="0.2">
      <c r="A4266" s="12">
        <v>4205</v>
      </c>
      <c r="B4266" s="1832">
        <f>('FP Info 3'!F10)*100000</f>
        <v>247.6</v>
      </c>
      <c r="C4266" s="2" t="s">
        <v>569</v>
      </c>
      <c r="D4266" s="2" t="str">
        <f t="shared" si="65"/>
        <v>Error?</v>
      </c>
      <c r="E4266" s="125"/>
    </row>
    <row r="4267" spans="1:5" x14ac:dyDescent="0.2">
      <c r="A4267" s="12">
        <v>4206</v>
      </c>
      <c r="B4267" s="1832">
        <f>('FP Info 3'!H10)*100000</f>
        <v>118.89999999999999</v>
      </c>
      <c r="C4267" s="2" t="s">
        <v>569</v>
      </c>
      <c r="D4267" s="2" t="str">
        <f t="shared" si="65"/>
        <v>Error?</v>
      </c>
      <c r="E4267" s="125"/>
    </row>
    <row r="4268" spans="1:5" x14ac:dyDescent="0.2">
      <c r="A4268" s="12">
        <v>4207</v>
      </c>
      <c r="B4268" s="1832">
        <f>('FP Info 3'!J10)*100000</f>
        <v>2347</v>
      </c>
      <c r="C4268" s="2" t="s">
        <v>569</v>
      </c>
      <c r="D4268" s="2" t="str">
        <f t="shared" si="65"/>
        <v>Error?</v>
      </c>
    </row>
    <row r="4269" spans="1:5" x14ac:dyDescent="0.2">
      <c r="A4269" s="12">
        <v>4208</v>
      </c>
      <c r="B4269" s="1832">
        <f>'FP Info 3'!J16</f>
        <v>3535525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3850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3947</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16617</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7341</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49.6</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106582858</v>
      </c>
      <c r="D4995" s="2" t="str">
        <f t="shared" si="77"/>
        <v>Error?</v>
      </c>
    </row>
    <row r="4996" spans="1:4" x14ac:dyDescent="0.2">
      <c r="A4996" s="12">
        <v>4935</v>
      </c>
      <c r="B4996" s="1832">
        <f>'FP Info 3'!H31</f>
        <v>7354217.2020000005</v>
      </c>
      <c r="D4996" s="2" t="str">
        <f t="shared" si="77"/>
        <v>Error?</v>
      </c>
    </row>
    <row r="4997" spans="1:4" x14ac:dyDescent="0.2">
      <c r="A4997" s="12">
        <v>4936</v>
      </c>
      <c r="B4997" s="1832">
        <f>'FP Info 3'!H37</f>
        <v>5115000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36097</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2002390</v>
      </c>
      <c r="D5061" s="2" t="str">
        <f t="shared" si="78"/>
        <v>Error?</v>
      </c>
    </row>
    <row r="5062" spans="1:4" x14ac:dyDescent="0.2">
      <c r="A5062" s="10">
        <v>5001</v>
      </c>
      <c r="B5062" s="1832"/>
      <c r="D5062" s="2" t="str">
        <f t="shared" si="78"/>
        <v>OK</v>
      </c>
    </row>
    <row r="5063" spans="1:4" x14ac:dyDescent="0.2">
      <c r="A5063" s="5">
        <v>5002</v>
      </c>
      <c r="B5063" s="1832">
        <f>'Revenues 9-14'!C7</f>
        <v>20009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2058496</v>
      </c>
      <c r="C5066" s="2" t="s">
        <v>569</v>
      </c>
      <c r="D5066" s="2" t="str">
        <f t="shared" si="78"/>
        <v>Error?</v>
      </c>
    </row>
    <row r="5067" spans="1:4" x14ac:dyDescent="0.2">
      <c r="A5067" s="5">
        <v>5006</v>
      </c>
      <c r="B5067" s="1832">
        <f>'Revenues 9-14'!C14</f>
        <v>2210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2210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20394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20394</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14590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31974</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31974</v>
      </c>
      <c r="C5102" s="2" t="s">
        <v>569</v>
      </c>
      <c r="D5102" s="2" t="str">
        <f t="shared" si="78"/>
        <v>Error?</v>
      </c>
    </row>
    <row r="5103" spans="1:4" x14ac:dyDescent="0.2">
      <c r="A5103" s="5">
        <v>5042</v>
      </c>
      <c r="B5103" s="1832">
        <f>'Revenues 9-14'!C84</f>
        <v>49649</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49649</v>
      </c>
      <c r="C5112" s="2" t="s">
        <v>569</v>
      </c>
      <c r="D5112" s="2" t="str">
        <f t="shared" si="78"/>
        <v>Error?</v>
      </c>
    </row>
    <row r="5113" spans="1:4" x14ac:dyDescent="0.2">
      <c r="A5113" s="5">
        <v>5052</v>
      </c>
      <c r="B5113" s="1832">
        <f>'Revenues 9-14'!C95</f>
        <v>8428</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27400</v>
      </c>
      <c r="D5119" s="2" t="str">
        <f t="shared" ref="D5119:D5182" si="79">IF(ISBLANK(B5119),"OK",IF(A5119-B5119=0,"OK","Error?"))</f>
        <v>Error?</v>
      </c>
    </row>
    <row r="5120" spans="1:4" x14ac:dyDescent="0.2">
      <c r="A5120" s="5">
        <v>5059</v>
      </c>
      <c r="B5120" s="1832">
        <f>'Revenues 9-14'!C108</f>
        <v>35828</v>
      </c>
      <c r="C5120" s="2" t="s">
        <v>569</v>
      </c>
      <c r="D5120" s="2" t="str">
        <f t="shared" si="79"/>
        <v>Error?</v>
      </c>
    </row>
    <row r="5121" spans="1:4" x14ac:dyDescent="0.2">
      <c r="A5121" s="5">
        <v>5060</v>
      </c>
      <c r="B5121" s="1832">
        <f>'Revenues 9-14'!C109</f>
        <v>2213141</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1223613</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1223613</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251</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251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1223864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26202</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423</v>
      </c>
      <c r="D5241" s="2" t="str">
        <f t="shared" si="80"/>
        <v>Error?</v>
      </c>
    </row>
    <row r="5242" spans="1:4" x14ac:dyDescent="0.2">
      <c r="A5242" s="5">
        <v>5181</v>
      </c>
      <c r="B5242" s="1832">
        <f>'Revenues 9-14'!C194</f>
        <v>10570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37195</v>
      </c>
      <c r="C5246" s="2" t="s">
        <v>569</v>
      </c>
      <c r="D5246" s="2" t="str">
        <f t="shared" si="80"/>
        <v>Error?</v>
      </c>
    </row>
    <row r="5247" spans="1:4" x14ac:dyDescent="0.2">
      <c r="A5247" s="5">
        <v>5186</v>
      </c>
      <c r="B5247" s="1832">
        <f>'Revenues 9-14'!C200</f>
        <v>57542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16617</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57542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3609</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112680</v>
      </c>
      <c r="D5278" s="2" t="str">
        <f t="shared" si="81"/>
        <v>Error?</v>
      </c>
    </row>
    <row r="5279" spans="1:4" x14ac:dyDescent="0.2">
      <c r="A5279" s="5">
        <v>5218</v>
      </c>
      <c r="B5279" s="1832">
        <f>'Revenues 9-14'!C214</f>
        <v>5449</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121738</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248230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248230</v>
      </c>
      <c r="C5326" s="2" t="s">
        <v>569</v>
      </c>
      <c r="D5326" s="2" t="str">
        <f t="shared" si="82"/>
        <v>Error?</v>
      </c>
    </row>
    <row r="5327" spans="1:5" x14ac:dyDescent="0.2">
      <c r="A5327" s="5">
        <v>5266</v>
      </c>
      <c r="B5327" s="1832">
        <f>'Revenues 9-14'!C268</f>
        <v>3685235</v>
      </c>
      <c r="C5327" s="2" t="s">
        <v>569</v>
      </c>
      <c r="D5327" s="2" t="str">
        <f t="shared" si="82"/>
        <v>Error?</v>
      </c>
    </row>
    <row r="5328" spans="1:5" x14ac:dyDescent="0.2">
      <c r="A5328" s="5">
        <v>5267</v>
      </c>
      <c r="B5328" s="1832">
        <f>'Revenues 9-14'!D5</f>
        <v>250120</v>
      </c>
      <c r="D5328" s="2" t="str">
        <f t="shared" si="82"/>
        <v>Error?</v>
      </c>
    </row>
    <row r="5329" spans="1:4" x14ac:dyDescent="0.2">
      <c r="A5329" s="10">
        <v>5268</v>
      </c>
      <c r="B5329" s="1832"/>
      <c r="D5329" s="2" t="str">
        <f t="shared" si="82"/>
        <v>OK</v>
      </c>
    </row>
    <row r="5330" spans="1:4" x14ac:dyDescent="0.2">
      <c r="A5330" s="5">
        <v>5269</v>
      </c>
      <c r="B5330" s="1832">
        <f>'Revenues 9-14'!D6</f>
        <v>13928</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264048</v>
      </c>
      <c r="C5334" s="2" t="s">
        <v>569</v>
      </c>
      <c r="D5334" s="2" t="str">
        <f t="shared" si="82"/>
        <v>Error?</v>
      </c>
    </row>
    <row r="5335" spans="1:4" x14ac:dyDescent="0.2">
      <c r="A5335" s="5">
        <v>5274</v>
      </c>
      <c r="B5335" s="1832">
        <f>'Revenues 9-14'!D14</f>
        <v>267</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15671</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15938</v>
      </c>
      <c r="C5339" s="2" t="s">
        <v>569</v>
      </c>
      <c r="D5339" s="2" t="str">
        <f t="shared" si="82"/>
        <v>Error?</v>
      </c>
    </row>
    <row r="5340" spans="1:4" x14ac:dyDescent="0.2">
      <c r="A5340" s="5">
        <v>5279</v>
      </c>
      <c r="B5340" s="1832">
        <f>'Revenues 9-14'!D65</f>
        <v>10173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10173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4209</v>
      </c>
      <c r="D5354" s="2" t="str">
        <f t="shared" si="82"/>
        <v>Error?</v>
      </c>
    </row>
    <row r="5355" spans="1:4" x14ac:dyDescent="0.2">
      <c r="A5355" s="5">
        <v>5294</v>
      </c>
      <c r="B5355" s="1832">
        <f>'Revenues 9-14'!D108</f>
        <v>4209</v>
      </c>
      <c r="C5355" s="2" t="s">
        <v>569</v>
      </c>
      <c r="D5355" s="2" t="str">
        <f t="shared" si="82"/>
        <v>Error?</v>
      </c>
    </row>
    <row r="5356" spans="1:4" x14ac:dyDescent="0.2">
      <c r="A5356" s="5">
        <v>5295</v>
      </c>
      <c r="B5356" s="1832">
        <f>'Revenues 9-14'!D109</f>
        <v>294368</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344368</v>
      </c>
      <c r="C5508" s="2" t="s">
        <v>569</v>
      </c>
      <c r="D5508" s="2" t="str">
        <f t="shared" si="85"/>
        <v>Error?</v>
      </c>
    </row>
    <row r="5509" spans="1:4" x14ac:dyDescent="0.2">
      <c r="A5509" s="5">
        <v>5448</v>
      </c>
      <c r="B5509" s="1832">
        <f>'Revenues 9-14'!E5</f>
        <v>161878</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161878</v>
      </c>
      <c r="C5513" s="2" t="s">
        <v>569</v>
      </c>
      <c r="D5513" s="2" t="str">
        <f t="shared" si="85"/>
        <v>Error?</v>
      </c>
    </row>
    <row r="5514" spans="1:4" x14ac:dyDescent="0.2">
      <c r="A5514" s="5">
        <v>5453</v>
      </c>
      <c r="B5514" s="1832">
        <f>'Revenues 9-14'!E14</f>
        <v>173</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173</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162051</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162051</v>
      </c>
      <c r="C5552" s="2" t="s">
        <v>569</v>
      </c>
      <c r="D5552" s="2" t="str">
        <f t="shared" si="85"/>
        <v>Error?</v>
      </c>
    </row>
    <row r="5553" spans="1:4" x14ac:dyDescent="0.2">
      <c r="A5553" s="5">
        <v>5492</v>
      </c>
      <c r="B5553" s="1832">
        <f>'Revenues 9-14'!F5</f>
        <v>120056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120056</v>
      </c>
      <c r="C5557" s="2" t="s">
        <v>569</v>
      </c>
      <c r="D5557" s="2" t="str">
        <f t="shared" si="85"/>
        <v>Error?</v>
      </c>
    </row>
    <row r="5558" spans="1:4" x14ac:dyDescent="0.2">
      <c r="A5558" s="5">
        <v>5497</v>
      </c>
      <c r="B5558" s="1832">
        <f>'Revenues 9-14'!F14</f>
        <v>128</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128</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4422</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4422</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124606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26023</v>
      </c>
      <c r="D5615" s="2" t="str">
        <f t="shared" si="86"/>
        <v>Error?</v>
      </c>
    </row>
    <row r="5616" spans="1:4" x14ac:dyDescent="0.2">
      <c r="A5616" s="10">
        <v>5555</v>
      </c>
      <c r="B5616" s="1832"/>
      <c r="D5616" s="2" t="str">
        <f t="shared" si="86"/>
        <v>OK</v>
      </c>
    </row>
    <row r="5617" spans="1:5" x14ac:dyDescent="0.2">
      <c r="A5617" s="5">
        <v>5556</v>
      </c>
      <c r="B5617" s="1832">
        <f>'Revenues 9-14'!F153</f>
        <v>25020</v>
      </c>
      <c r="D5617" s="2" t="str">
        <f t="shared" si="86"/>
        <v>Error?</v>
      </c>
    </row>
    <row r="5618" spans="1:5" x14ac:dyDescent="0.2">
      <c r="A5618" s="5">
        <v>5557</v>
      </c>
      <c r="B5618" s="1832">
        <f>'Revenues 9-14'!F155</f>
        <v>51043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51043</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51043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175649</v>
      </c>
      <c r="C5720" s="2" t="s">
        <v>569</v>
      </c>
      <c r="D5720" s="2" t="str">
        <f t="shared" si="88"/>
        <v>Error?</v>
      </c>
    </row>
    <row r="5721" spans="1:4" x14ac:dyDescent="0.2">
      <c r="A5721" s="5">
        <v>5660</v>
      </c>
      <c r="B5721" s="1832">
        <f>'Revenues 9-14'!G5</f>
        <v>79737</v>
      </c>
      <c r="D5721" s="2" t="str">
        <f t="shared" si="88"/>
        <v>Error?</v>
      </c>
    </row>
    <row r="5722" spans="1:4" x14ac:dyDescent="0.2">
      <c r="A5722" s="5">
        <v>5661</v>
      </c>
      <c r="B5722" s="1832">
        <f>'Revenues 9-14'!G7</f>
        <v>0</v>
      </c>
      <c r="D5722" s="2" t="str">
        <f t="shared" si="88"/>
        <v>Error?</v>
      </c>
    </row>
    <row r="5723" spans="1:4" x14ac:dyDescent="0.2">
      <c r="A5723" s="5">
        <v>5662</v>
      </c>
      <c r="B5723" s="1832">
        <f>'Revenues 9-14'!G8</f>
        <v>99648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179385</v>
      </c>
      <c r="C5725" s="2" t="s">
        <v>569</v>
      </c>
      <c r="D5725" s="2" t="str">
        <f t="shared" si="88"/>
        <v>Error?</v>
      </c>
    </row>
    <row r="5726" spans="1:4" x14ac:dyDescent="0.2">
      <c r="A5726" s="5">
        <v>5665</v>
      </c>
      <c r="B5726" s="1832">
        <f>'Revenues 9-14'!G14</f>
        <v>191</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3918</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4109</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183494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10908</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10908</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10908</v>
      </c>
      <c r="C5915" s="2" t="s">
        <v>569</v>
      </c>
      <c r="D5915" s="2" t="str">
        <f t="shared" si="91"/>
        <v>Error?</v>
      </c>
    </row>
    <row r="5916" spans="1:4" x14ac:dyDescent="0.2">
      <c r="A5916" s="5">
        <v>5855</v>
      </c>
      <c r="B5916" s="1832">
        <f>'Revenues 9-14'!I5</f>
        <v>50025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50025</v>
      </c>
      <c r="C5918" s="2" t="s">
        <v>569</v>
      </c>
      <c r="D5918" s="2" t="str">
        <f t="shared" si="91"/>
        <v>Error?</v>
      </c>
    </row>
    <row r="5919" spans="1:4" x14ac:dyDescent="0.2">
      <c r="A5919" s="5">
        <v>5858</v>
      </c>
      <c r="B5919" s="1832">
        <f>'Revenues 9-14'!I14</f>
        <v>53</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53</v>
      </c>
      <c r="C5923" s="2" t="s">
        <v>569</v>
      </c>
      <c r="D5923" s="2" t="str">
        <f t="shared" si="91"/>
        <v>Error?</v>
      </c>
    </row>
    <row r="5924" spans="1:4" x14ac:dyDescent="0.2">
      <c r="A5924" s="5">
        <v>5863</v>
      </c>
      <c r="B5924" s="1832">
        <f>'Revenues 9-14'!I65</f>
        <v>7133</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7133</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57211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50025</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50025</v>
      </c>
      <c r="C5987" s="2" t="s">
        <v>569</v>
      </c>
      <c r="D5987" s="2" t="str">
        <f t="shared" si="92"/>
        <v>Error?</v>
      </c>
    </row>
    <row r="5988" spans="1:4" x14ac:dyDescent="0.2">
      <c r="A5988" s="5">
        <v>5927</v>
      </c>
      <c r="B5988" s="1832">
        <f>'Revenues 9-14'!K14</f>
        <v>54</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54</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50079</v>
      </c>
      <c r="C6023" s="2" t="s">
        <v>569</v>
      </c>
      <c r="D6023" s="2" t="str">
        <f t="shared" si="93"/>
        <v>Error?</v>
      </c>
    </row>
    <row r="6024" spans="1:5" x14ac:dyDescent="0.2">
      <c r="A6024" s="5">
        <v>5963</v>
      </c>
      <c r="B6024" s="1832">
        <f>'Revenues 9-14'!G109</f>
        <v>183494</v>
      </c>
      <c r="C6024" s="2" t="s">
        <v>569</v>
      </c>
      <c r="D6024" s="2" t="str">
        <f t="shared" si="93"/>
        <v>Error?</v>
      </c>
    </row>
    <row r="6025" spans="1:5" x14ac:dyDescent="0.2">
      <c r="A6025" s="5">
        <v>5964</v>
      </c>
      <c r="B6025" s="1832">
        <f>'Revenues 9-14'!H109</f>
        <v>10908</v>
      </c>
      <c r="C6025" s="2" t="s">
        <v>569</v>
      </c>
      <c r="D6025" s="2" t="str">
        <f t="shared" si="93"/>
        <v>Error?</v>
      </c>
    </row>
    <row r="6026" spans="1:5" x14ac:dyDescent="0.2">
      <c r="A6026" s="5">
        <v>5965</v>
      </c>
      <c r="B6026" s="1832">
        <f>'Revenues 9-14'!I109</f>
        <v>57211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50079</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14590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14008</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534.29999999999995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167606</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167606</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167606</v>
      </c>
      <c r="D6216" s="2" t="str">
        <f t="shared" si="96"/>
        <v>Error?</v>
      </c>
      <c r="E6216" s="2" t="s">
        <v>189</v>
      </c>
    </row>
    <row r="6217" spans="1:5" x14ac:dyDescent="0.2">
      <c r="A6217">
        <v>6156</v>
      </c>
      <c r="B6217" s="1832">
        <f>'Assets-Liab 5-6'!J4</f>
        <v>167606</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399861</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399861</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399861</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398269</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398269</v>
      </c>
      <c r="D6229" s="2" t="str">
        <f t="shared" si="96"/>
        <v>Error?</v>
      </c>
      <c r="E6229" s="2" t="s">
        <v>189</v>
      </c>
    </row>
    <row r="6230" spans="1:5" x14ac:dyDescent="0.2">
      <c r="A6230">
        <v>6169</v>
      </c>
      <c r="B6230" s="1832">
        <f>'Acct Summary 7-8'!J20</f>
        <v>1592</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500000</v>
      </c>
      <c r="D6251" s="2" t="str">
        <f t="shared" si="96"/>
        <v>Error?</v>
      </c>
      <c r="E6251" s="2" t="s">
        <v>189</v>
      </c>
    </row>
    <row r="6252" spans="1:5" x14ac:dyDescent="0.2">
      <c r="A6252">
        <v>6191</v>
      </c>
      <c r="B6252" s="1832">
        <f>'Acct Summary 7-8'!C74</f>
        <v>18337</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1592</v>
      </c>
      <c r="D6263" s="2" t="str">
        <f t="shared" si="96"/>
        <v>Error?</v>
      </c>
      <c r="E6263" s="2" t="s">
        <v>189</v>
      </c>
    </row>
    <row r="6264" spans="1:5" x14ac:dyDescent="0.2">
      <c r="A6264">
        <v>6203</v>
      </c>
      <c r="B6264" s="1832">
        <f>'Acct Summary 7-8'!J79</f>
        <v>166014</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167606</v>
      </c>
      <c r="D6266" s="2" t="str">
        <f t="shared" si="96"/>
        <v>Error?</v>
      </c>
      <c r="E6266" s="2" t="s">
        <v>189</v>
      </c>
    </row>
    <row r="6267" spans="1:5" x14ac:dyDescent="0.2">
      <c r="A6267">
        <v>6206</v>
      </c>
      <c r="B6267" s="1832">
        <f>'Acct Summary 7-8'!C82</f>
        <v>20109</v>
      </c>
      <c r="D6267" s="2" t="str">
        <f t="shared" si="96"/>
        <v>Error?</v>
      </c>
      <c r="E6267" s="2" t="s">
        <v>189</v>
      </c>
    </row>
    <row r="6268" spans="1:5" x14ac:dyDescent="0.2">
      <c r="A6268">
        <v>6207</v>
      </c>
      <c r="B6268" s="1832">
        <f>'Acct Summary 7-8'!D82</f>
        <v>-360956</v>
      </c>
      <c r="D6268" s="2" t="str">
        <f t="shared" si="96"/>
        <v>Error?</v>
      </c>
      <c r="E6268" s="2" t="s">
        <v>189</v>
      </c>
    </row>
    <row r="6269" spans="1:5" x14ac:dyDescent="0.2">
      <c r="A6269">
        <v>6208</v>
      </c>
      <c r="B6269" s="1832">
        <f>'Acct Summary 7-8'!E82</f>
        <v>58846</v>
      </c>
      <c r="D6269" s="2" t="str">
        <f t="shared" si="96"/>
        <v>Error?</v>
      </c>
      <c r="E6269" s="2" t="s">
        <v>189</v>
      </c>
    </row>
    <row r="6270" spans="1:5" x14ac:dyDescent="0.2">
      <c r="A6270">
        <v>6209</v>
      </c>
      <c r="B6270" s="1832">
        <f>'Acct Summary 7-8'!F82</f>
        <v>48711</v>
      </c>
      <c r="D6270" s="2" t="str">
        <f t="shared" si="96"/>
        <v>Error?</v>
      </c>
      <c r="E6270" s="2" t="s">
        <v>189</v>
      </c>
    </row>
    <row r="6271" spans="1:5" x14ac:dyDescent="0.2">
      <c r="A6271">
        <v>6210</v>
      </c>
      <c r="B6271" s="1832">
        <f>'Acct Summary 7-8'!G82</f>
        <v>45605</v>
      </c>
      <c r="D6271" s="2" t="str">
        <f t="shared" ref="D6271:D6334" si="97">IF(ISBLANK(B6271),"OK",IF(A6271-B6271=0,"OK","Error?"))</f>
        <v>Error?</v>
      </c>
      <c r="E6271" s="2" t="s">
        <v>189</v>
      </c>
    </row>
    <row r="6272" spans="1:5" x14ac:dyDescent="0.2">
      <c r="A6272">
        <v>6211</v>
      </c>
      <c r="B6272" s="1832">
        <f>'Acct Summary 7-8'!H82</f>
        <v>5360066</v>
      </c>
      <c r="D6272" s="2" t="str">
        <f t="shared" si="97"/>
        <v>Error?</v>
      </c>
      <c r="E6272" s="2" t="s">
        <v>189</v>
      </c>
    </row>
    <row r="6273" spans="1:5" x14ac:dyDescent="0.2">
      <c r="A6273">
        <v>6212</v>
      </c>
      <c r="B6273" s="1832">
        <f>'Acct Summary 7-8'!I82</f>
        <v>57211</v>
      </c>
      <c r="D6273" s="2" t="str">
        <f t="shared" si="97"/>
        <v>Error?</v>
      </c>
      <c r="E6273" s="2" t="s">
        <v>189</v>
      </c>
    </row>
    <row r="6274" spans="1:5" x14ac:dyDescent="0.2">
      <c r="A6274">
        <v>6213</v>
      </c>
      <c r="B6274" s="1832">
        <f>'Acct Summary 7-8'!J82</f>
        <v>1592</v>
      </c>
      <c r="D6274" s="2" t="str">
        <f t="shared" si="97"/>
        <v>Error?</v>
      </c>
      <c r="E6274" s="2" t="s">
        <v>189</v>
      </c>
    </row>
    <row r="6275" spans="1:5" x14ac:dyDescent="0.2">
      <c r="A6275">
        <v>6214</v>
      </c>
      <c r="B6275" s="1832">
        <f>'Acct Summary 7-8'!K82</f>
        <v>50079</v>
      </c>
      <c r="D6275" s="2" t="str">
        <f t="shared" si="97"/>
        <v>Error?</v>
      </c>
      <c r="E6275" s="2" t="s">
        <v>189</v>
      </c>
    </row>
    <row r="6276" spans="1:5" x14ac:dyDescent="0.2">
      <c r="A6276">
        <v>6215</v>
      </c>
      <c r="B6276" s="1832">
        <f>'Acct Summary 7-8'!C83</f>
        <v>1.3866229397868177E-2</v>
      </c>
      <c r="D6276" s="2" t="str">
        <f t="shared" si="97"/>
        <v>Error?</v>
      </c>
      <c r="E6276" s="2" t="s">
        <v>189</v>
      </c>
    </row>
    <row r="6277" spans="1:5" x14ac:dyDescent="0.2">
      <c r="A6277">
        <v>6216</v>
      </c>
      <c r="B6277" s="1832">
        <f>'Acct Summary 7-8'!D83</f>
        <v>-0.42068287134159416</v>
      </c>
      <c r="D6277" s="2" t="str">
        <f t="shared" si="97"/>
        <v>Error?</v>
      </c>
      <c r="E6277" s="2" t="s">
        <v>189</v>
      </c>
    </row>
    <row r="6278" spans="1:5" x14ac:dyDescent="0.2">
      <c r="A6278">
        <v>6217</v>
      </c>
      <c r="B6278" s="1832">
        <f>'Acct Summary 7-8'!E83</f>
        <v>0.45074068967630254</v>
      </c>
      <c r="D6278" s="2" t="str">
        <f t="shared" si="97"/>
        <v>Error?</v>
      </c>
      <c r="E6278" s="2" t="s">
        <v>189</v>
      </c>
    </row>
    <row r="6279" spans="1:5" x14ac:dyDescent="0.2">
      <c r="A6279">
        <v>6218</v>
      </c>
      <c r="B6279" s="1832">
        <f>'Acct Summary 7-8'!F83</f>
        <v>7.3062298917812227E-2</v>
      </c>
      <c r="D6279" s="2" t="str">
        <f t="shared" si="97"/>
        <v>Error?</v>
      </c>
      <c r="E6279" s="2" t="s">
        <v>189</v>
      </c>
    </row>
    <row r="6280" spans="1:5" x14ac:dyDescent="0.2">
      <c r="A6280">
        <v>6219</v>
      </c>
      <c r="B6280" s="1832">
        <f>'Acct Summary 7-8'!G83</f>
        <v>0.1124561074725795</v>
      </c>
      <c r="D6280" s="2" t="str">
        <f t="shared" si="97"/>
        <v>Error?</v>
      </c>
      <c r="E6280" s="2" t="s">
        <v>189</v>
      </c>
    </row>
    <row r="6281" spans="1:5" x14ac:dyDescent="0.2">
      <c r="A6281">
        <v>6220</v>
      </c>
      <c r="B6281" s="1832">
        <f>'Acct Summary 7-8'!H83</f>
        <v>1</v>
      </c>
      <c r="D6281" s="2" t="str">
        <f t="shared" si="97"/>
        <v>Error?</v>
      </c>
      <c r="E6281" s="2" t="s">
        <v>189</v>
      </c>
    </row>
    <row r="6282" spans="1:5" x14ac:dyDescent="0.2">
      <c r="A6282">
        <v>6221</v>
      </c>
      <c r="B6282" s="1832">
        <f>'Acct Summary 7-8'!I83</f>
        <v>0.10205643420587888</v>
      </c>
      <c r="D6282" s="2" t="str">
        <f t="shared" si="97"/>
        <v>Error?</v>
      </c>
      <c r="E6282" s="2" t="s">
        <v>189</v>
      </c>
    </row>
    <row r="6283" spans="1:5" x14ac:dyDescent="0.2">
      <c r="A6283">
        <v>6222</v>
      </c>
      <c r="B6283" s="1832">
        <f>'Acct Summary 7-8'!J83</f>
        <v>9.4984666420056558E-3</v>
      </c>
      <c r="D6283" s="2" t="str">
        <f t="shared" si="97"/>
        <v>Error?</v>
      </c>
      <c r="E6283" s="2" t="s">
        <v>189</v>
      </c>
    </row>
    <row r="6284" spans="1:5" x14ac:dyDescent="0.2">
      <c r="A6284">
        <v>6223</v>
      </c>
      <c r="B6284" s="1832">
        <f>'Acct Summary 7-8'!K83</f>
        <v>0.12694907993033885</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500000</v>
      </c>
      <c r="D6289" s="2" t="str">
        <f t="shared" si="97"/>
        <v>Error?</v>
      </c>
      <c r="E6289" s="2" t="s">
        <v>189</v>
      </c>
    </row>
    <row r="6290" spans="1:5" x14ac:dyDescent="0.2">
      <c r="A6290">
        <v>6229</v>
      </c>
      <c r="B6290" s="1832">
        <f>'Acct Summary 7-8'!C42</f>
        <v>107305</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392287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392287</v>
      </c>
      <c r="D6301" s="2" t="str">
        <f t="shared" si="97"/>
        <v>Error?</v>
      </c>
      <c r="E6301" s="2" t="s">
        <v>189</v>
      </c>
    </row>
    <row r="6302" spans="1:5" x14ac:dyDescent="0.2">
      <c r="A6302">
        <v>6241</v>
      </c>
      <c r="B6302" s="1832">
        <f>'Revenues 9-14'!J14</f>
        <v>419</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419</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7155</v>
      </c>
      <c r="D6350" s="2" t="str">
        <f t="shared" si="98"/>
        <v>Error?</v>
      </c>
      <c r="E6350" s="2" t="s">
        <v>189</v>
      </c>
    </row>
    <row r="6351" spans="1:5" x14ac:dyDescent="0.2">
      <c r="A6351">
        <v>6290</v>
      </c>
      <c r="B6351" s="1832">
        <f>'Revenues 9-14'!J108</f>
        <v>7155</v>
      </c>
      <c r="D6351" s="2" t="str">
        <f t="shared" si="98"/>
        <v>Error?</v>
      </c>
      <c r="E6351" s="2" t="s">
        <v>189</v>
      </c>
    </row>
    <row r="6352" spans="1:5" x14ac:dyDescent="0.2">
      <c r="A6352">
        <v>6291</v>
      </c>
      <c r="B6352" s="1832">
        <f>'Revenues 9-14'!J109</f>
        <v>399861</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151295</v>
      </c>
      <c r="D6983" s="2" t="str">
        <f t="shared" si="108"/>
        <v>Error?</v>
      </c>
    </row>
    <row r="6984" spans="1:4" x14ac:dyDescent="0.2">
      <c r="A6984">
        <v>6923</v>
      </c>
      <c r="B6984" s="1832">
        <f>'Expenditures 15-22'!K86</f>
        <v>151295</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151295</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398269</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399861</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19524</v>
      </c>
      <c r="D7093" s="2" t="str">
        <f t="shared" si="109"/>
        <v>Error?</v>
      </c>
    </row>
    <row r="7094" spans="1:4" x14ac:dyDescent="0.2">
      <c r="A7094">
        <v>7033</v>
      </c>
      <c r="B7094" s="1832">
        <f>'Expenditures 15-22'!K254</f>
        <v>19524</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24062</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24062</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18695</v>
      </c>
      <c r="D7156" s="2" t="str">
        <f t="shared" si="110"/>
        <v>Error?</v>
      </c>
    </row>
    <row r="7157" spans="1:4" x14ac:dyDescent="0.2">
      <c r="A7157">
        <v>7096</v>
      </c>
      <c r="B7157" s="1832">
        <f>'Expenditures 15-22'!F323</f>
        <v>752</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19447</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267757</v>
      </c>
      <c r="D7172" s="2" t="str">
        <f t="shared" si="111"/>
        <v>Error?</v>
      </c>
    </row>
    <row r="7173" spans="1:4" x14ac:dyDescent="0.2">
      <c r="A7173">
        <v>7112</v>
      </c>
      <c r="B7173" s="1832">
        <f>'Expenditures 15-22'!D325</f>
        <v>37395</v>
      </c>
      <c r="D7173" s="2" t="str">
        <f t="shared" si="111"/>
        <v>Error?</v>
      </c>
    </row>
    <row r="7174" spans="1:4" x14ac:dyDescent="0.2">
      <c r="A7174">
        <v>7113</v>
      </c>
      <c r="B7174" s="1832">
        <f>'Expenditures 15-22'!E325</f>
        <v>4684</v>
      </c>
      <c r="D7174" s="2" t="str">
        <f t="shared" si="111"/>
        <v>Error?</v>
      </c>
    </row>
    <row r="7175" spans="1:4" x14ac:dyDescent="0.2">
      <c r="A7175">
        <v>7114</v>
      </c>
      <c r="B7175" s="1832">
        <f>'Expenditures 15-22'!F325</f>
        <v>584</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310420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18458</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18458</v>
      </c>
      <c r="D7198" s="2" t="str">
        <f t="shared" si="111"/>
        <v>Error?</v>
      </c>
    </row>
    <row r="7199" spans="1:4" x14ac:dyDescent="0.2">
      <c r="A7199">
        <v>7138</v>
      </c>
      <c r="B7199" s="1832">
        <f>'Expenditures 15-22'!C330</f>
        <v>267757</v>
      </c>
      <c r="D7199" s="2" t="str">
        <f t="shared" si="111"/>
        <v>Error?</v>
      </c>
    </row>
    <row r="7200" spans="1:4" x14ac:dyDescent="0.2">
      <c r="A7200">
        <v>7139</v>
      </c>
      <c r="B7200" s="1832">
        <f>'Expenditures 15-22'!D330</f>
        <v>37395</v>
      </c>
      <c r="D7200" s="2" t="str">
        <f t="shared" si="111"/>
        <v>Error?</v>
      </c>
    </row>
    <row r="7201" spans="1:4" x14ac:dyDescent="0.2">
      <c r="A7201">
        <v>7140</v>
      </c>
      <c r="B7201" s="1832">
        <f>'Expenditures 15-22'!E330</f>
        <v>91781</v>
      </c>
      <c r="D7201" s="2" t="str">
        <f t="shared" si="111"/>
        <v>Error?</v>
      </c>
    </row>
    <row r="7202" spans="1:4" x14ac:dyDescent="0.2">
      <c r="A7202">
        <v>7141</v>
      </c>
      <c r="B7202" s="1832">
        <f>'Expenditures 15-22'!F330</f>
        <v>1336</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398269</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267757</v>
      </c>
      <c r="D7216" s="2" t="str">
        <f t="shared" si="111"/>
        <v>Error?</v>
      </c>
    </row>
    <row r="7217" spans="1:4" x14ac:dyDescent="0.2">
      <c r="A7217">
        <v>7156</v>
      </c>
      <c r="B7217" s="1832">
        <f>'Expenditures 15-22'!D342</f>
        <v>37395</v>
      </c>
      <c r="D7217" s="2" t="str">
        <f t="shared" si="111"/>
        <v>Error?</v>
      </c>
    </row>
    <row r="7218" spans="1:4" x14ac:dyDescent="0.2">
      <c r="A7218">
        <v>7157</v>
      </c>
      <c r="B7218" s="1832">
        <f>'Expenditures 15-22'!E342</f>
        <v>91781</v>
      </c>
      <c r="D7218" s="2" t="str">
        <f t="shared" si="111"/>
        <v>Error?</v>
      </c>
    </row>
    <row r="7219" spans="1:4" x14ac:dyDescent="0.2">
      <c r="A7219">
        <v>7158</v>
      </c>
      <c r="B7219" s="1832">
        <f>'Expenditures 15-22'!F342</f>
        <v>1336</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398269</v>
      </c>
      <c r="D7224" s="2" t="str">
        <f t="shared" si="111"/>
        <v>Error?</v>
      </c>
    </row>
    <row r="7225" spans="1:4" x14ac:dyDescent="0.2">
      <c r="A7225">
        <v>7164</v>
      </c>
      <c r="B7225" s="1832">
        <f>'Expenditures 15-22'!K343</f>
        <v>1592</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234802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25882</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25882</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2009</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18000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6345000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-6789</v>
      </c>
      <c r="D7820" s="2" t="str">
        <f t="shared" si="128"/>
        <v>Error?</v>
      </c>
    </row>
    <row r="7821" spans="1:5" x14ac:dyDescent="0.2">
      <c r="A7821">
        <v>7760</v>
      </c>
      <c r="B7821" s="1832">
        <f>'ICR Computation 30'!G40</f>
        <v>-6789</v>
      </c>
      <c r="D7821" s="2" t="str">
        <f t="shared" si="128"/>
        <v>Error?</v>
      </c>
    </row>
    <row r="7822" spans="1:5" x14ac:dyDescent="0.2">
      <c r="A7822" s="1">
        <v>7761</v>
      </c>
      <c r="B7822" s="1832">
        <f>'PCTC-OEPP 27-28'!F14</f>
        <v>4759815</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18405</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548875</v>
      </c>
      <c r="D7834" s="2" t="str">
        <f t="shared" si="129"/>
        <v>Error?</v>
      </c>
      <c r="E7834" s="4" t="s">
        <v>1998</v>
      </c>
    </row>
    <row r="7835" spans="1:5" x14ac:dyDescent="0.2">
      <c r="A7835">
        <v>7774</v>
      </c>
      <c r="B7835" s="1832">
        <f>'PCTC-OEPP 27-28'!F78</f>
        <v>4210940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7881.2277746584323</v>
      </c>
      <c r="D7837" s="2" t="str">
        <f t="shared" si="129"/>
        <v>Error?</v>
      </c>
      <c r="E7837" s="4" t="s">
        <v>1998</v>
      </c>
    </row>
    <row r="7838" spans="1:5" x14ac:dyDescent="0.2">
      <c r="A7838">
        <v>7777</v>
      </c>
      <c r="B7838" s="1832">
        <f>'PCTC-OEPP 27-28'!F96</f>
        <v>31974</v>
      </c>
      <c r="D7838" s="2" t="str">
        <f t="shared" si="129"/>
        <v>Error?</v>
      </c>
      <c r="E7838" s="4" t="s">
        <v>1998</v>
      </c>
    </row>
    <row r="7839" spans="1:5" x14ac:dyDescent="0.2">
      <c r="A7839">
        <v>7778</v>
      </c>
      <c r="B7839" s="1832">
        <f>'PCTC-OEPP 27-28'!F102</f>
        <v>8428</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51043</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37195</v>
      </c>
      <c r="D7858" s="2" t="str">
        <f t="shared" si="129"/>
        <v>Error?</v>
      </c>
      <c r="E7858" s="4" t="s">
        <v>1998</v>
      </c>
    </row>
    <row r="7859" spans="1:5" x14ac:dyDescent="0.2">
      <c r="A7859">
        <v>7798</v>
      </c>
      <c r="B7859" s="1832">
        <f>'PCTC-OEPP 27-28'!F127</f>
        <v>57542</v>
      </c>
      <c r="D7859" s="2" t="str">
        <f t="shared" si="129"/>
        <v>Error?</v>
      </c>
      <c r="E7859" s="4" t="s">
        <v>1998</v>
      </c>
    </row>
    <row r="7860" spans="1:5" x14ac:dyDescent="0.2">
      <c r="A7860">
        <v>7799</v>
      </c>
      <c r="B7860" s="1832">
        <f>'PCTC-OEPP 27-28'!F128</f>
        <v>16617</v>
      </c>
      <c r="D7860" s="2" t="str">
        <f t="shared" si="129"/>
        <v>Error?</v>
      </c>
      <c r="E7860" s="4" t="s">
        <v>1998</v>
      </c>
    </row>
    <row r="7861" spans="1:5" x14ac:dyDescent="0.2">
      <c r="A7861">
        <v>7800</v>
      </c>
      <c r="B7861" s="1832">
        <f>'PCTC-OEPP 27-28'!F129</f>
        <v>112680</v>
      </c>
      <c r="D7861" s="2" t="str">
        <f t="shared" si="129"/>
        <v>Error?</v>
      </c>
      <c r="E7861" s="4" t="s">
        <v>1998</v>
      </c>
    </row>
    <row r="7862" spans="1:5" x14ac:dyDescent="0.2">
      <c r="A7862">
        <v>7801</v>
      </c>
      <c r="B7862" s="1832">
        <f>'PCTC-OEPP 27-28'!F130</f>
        <v>5449</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7341</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3850</v>
      </c>
      <c r="D7874" s="2" t="str">
        <f t="shared" si="129"/>
        <v>Error?</v>
      </c>
      <c r="E7874" s="4" t="s">
        <v>1998</v>
      </c>
    </row>
    <row r="7875" spans="1:5" x14ac:dyDescent="0.2">
      <c r="A7875">
        <v>7814</v>
      </c>
      <c r="B7875" s="1832">
        <f>'PCTC-OEPP 27-28'!F170</f>
        <v>3947</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450556</v>
      </c>
      <c r="D7877" s="2" t="str">
        <f t="shared" si="129"/>
        <v>Error?</v>
      </c>
      <c r="E7877" s="4" t="s">
        <v>1998</v>
      </c>
    </row>
    <row r="7878" spans="1:5" x14ac:dyDescent="0.2">
      <c r="A7878">
        <v>7817</v>
      </c>
      <c r="B7878" s="1832">
        <f>'PCTC-OEPP 27-28'!F176</f>
        <v>3760384</v>
      </c>
      <c r="D7878" s="2" t="str">
        <f t="shared" si="129"/>
        <v>Error?</v>
      </c>
      <c r="E7878" s="4" t="s">
        <v>1998</v>
      </c>
    </row>
    <row r="7879" spans="1:5" x14ac:dyDescent="0.2">
      <c r="A7879">
        <v>7818</v>
      </c>
      <c r="B7879" s="1832">
        <f>'PCTC-OEPP 27-28'!F178</f>
        <v>3995186</v>
      </c>
      <c r="D7879" s="2" t="str">
        <f t="shared" si="129"/>
        <v>Error?</v>
      </c>
      <c r="E7879" s="4" t="s">
        <v>1998</v>
      </c>
    </row>
    <row r="7880" spans="1:5" x14ac:dyDescent="0.2">
      <c r="A7880">
        <v>7819</v>
      </c>
      <c r="B7880" s="1832">
        <f>'PCTC-OEPP 27-28'!F180</f>
        <v>7477.4209245742095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3" t="s">
        <v>1181</v>
      </c>
      <c r="B2" s="2513"/>
      <c r="C2" s="2513"/>
      <c r="D2" s="2513"/>
      <c r="E2" s="2513"/>
      <c r="F2" s="2513"/>
      <c r="G2" s="2513"/>
      <c r="H2" s="2513"/>
      <c r="I2" s="2513"/>
      <c r="J2" s="2513"/>
      <c r="K2" s="2513"/>
      <c r="L2" s="2513"/>
    </row>
    <row r="3" spans="1:29" ht="13.5" customHeight="1" x14ac:dyDescent="0.2">
      <c r="A3" s="2545" t="s">
        <v>1180</v>
      </c>
      <c r="B3" s="2545"/>
      <c r="C3" s="2545"/>
      <c r="D3" s="2545"/>
      <c r="E3" s="2545"/>
      <c r="F3" s="2545"/>
      <c r="G3" s="2545"/>
      <c r="H3" s="2545"/>
      <c r="I3" s="2545"/>
      <c r="J3" s="2545"/>
      <c r="K3" s="2545"/>
      <c r="L3" s="2545"/>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6" t="str">
        <f>COVER!A17</f>
        <v xml:space="preserve">  Smithton CCSD 130</v>
      </c>
      <c r="B7" s="2537"/>
      <c r="C7" s="2537"/>
      <c r="D7" s="2538"/>
      <c r="E7" s="2539">
        <f>COVER!A13</f>
        <v>50082130004</v>
      </c>
      <c r="F7" s="2540"/>
      <c r="G7" s="2546" t="str">
        <f>COVER!T23</f>
        <v>066-005025</v>
      </c>
      <c r="H7" s="2547"/>
      <c r="I7" s="2547"/>
      <c r="J7" s="2547"/>
      <c r="K7" s="2547"/>
      <c r="L7" s="254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9"/>
      <c r="B9" s="2550"/>
      <c r="C9" s="2550"/>
      <c r="D9" s="2550"/>
      <c r="E9" s="2550"/>
      <c r="F9" s="2551"/>
      <c r="G9" s="2519" t="str">
        <f>COVER!T13</f>
        <v>Fick, Eggemeyer &amp; Williamson</v>
      </c>
      <c r="H9" s="2552"/>
      <c r="I9" s="2552"/>
      <c r="J9" s="2552"/>
      <c r="K9" s="2552"/>
      <c r="L9" s="2553"/>
    </row>
    <row r="10" spans="1:29" ht="13.5" customHeight="1" x14ac:dyDescent="0.2">
      <c r="A10" s="2525">
        <f>COVER!A38</f>
        <v>0</v>
      </c>
      <c r="B10" s="2526"/>
      <c r="C10" s="2526"/>
      <c r="D10" s="2526"/>
      <c r="E10" s="2526"/>
      <c r="F10" s="2527"/>
      <c r="G10" s="2519" t="str">
        <f>COVER!T17</f>
        <v>205 S. Main</v>
      </c>
      <c r="H10" s="2520"/>
      <c r="I10" s="2520"/>
      <c r="J10" s="2520"/>
      <c r="K10" s="2520"/>
      <c r="L10" s="2521"/>
    </row>
    <row r="11" spans="1:29" ht="13.5" customHeight="1" x14ac:dyDescent="0.2">
      <c r="A11" s="963" t="s">
        <v>1502</v>
      </c>
      <c r="B11" s="964"/>
      <c r="C11" s="965"/>
      <c r="D11" s="970"/>
      <c r="E11" s="965"/>
      <c r="F11" s="969"/>
      <c r="G11" s="2519" t="str">
        <f>COVER!T19</f>
        <v>Columbia</v>
      </c>
      <c r="H11" s="2520"/>
      <c r="I11" s="2520"/>
      <c r="J11" s="2520"/>
      <c r="K11" s="2520"/>
      <c r="L11" s="2521"/>
    </row>
    <row r="12" spans="1:29" ht="13.5" customHeight="1" x14ac:dyDescent="0.2">
      <c r="A12" s="2528" t="s">
        <v>1501</v>
      </c>
      <c r="B12" s="2529"/>
      <c r="C12" s="2529"/>
      <c r="D12" s="2529"/>
      <c r="E12" s="2529"/>
      <c r="F12" s="2530"/>
      <c r="G12" s="2522"/>
      <c r="H12" s="2523"/>
      <c r="I12" s="2523"/>
      <c r="J12" s="2523"/>
      <c r="K12" s="2523"/>
      <c r="L12" s="2524"/>
    </row>
    <row r="13" spans="1:29" ht="13.5" customHeight="1" x14ac:dyDescent="0.2">
      <c r="A13" s="2519"/>
      <c r="B13" s="2520"/>
      <c r="C13" s="2520"/>
      <c r="D13" s="2520"/>
      <c r="E13" s="2520"/>
      <c r="F13" s="2521"/>
      <c r="G13" s="2514" t="s">
        <v>1503</v>
      </c>
      <c r="H13" s="2515"/>
      <c r="I13" s="2531" t="str">
        <f>COVER!T25</f>
        <v>keith@afewcpas.com</v>
      </c>
      <c r="J13" s="2532"/>
      <c r="K13" s="2532"/>
      <c r="L13" s="2533"/>
    </row>
    <row r="14" spans="1:29" ht="13.5" customHeight="1" x14ac:dyDescent="0.2">
      <c r="A14" s="2519" t="str">
        <f>COVER!A19</f>
        <v>316 Hickory Street/PO Box 395</v>
      </c>
      <c r="B14" s="2520"/>
      <c r="C14" s="2520"/>
      <c r="D14" s="2520"/>
      <c r="E14" s="2520"/>
      <c r="F14" s="2521"/>
      <c r="G14" s="974" t="s">
        <v>1175</v>
      </c>
      <c r="H14" s="972"/>
      <c r="I14" s="972"/>
      <c r="J14" s="972"/>
      <c r="K14" s="972"/>
      <c r="L14" s="973"/>
    </row>
    <row r="15" spans="1:29" ht="13.5" customHeight="1" x14ac:dyDescent="0.2">
      <c r="A15" s="2519" t="str">
        <f>COVER!A21</f>
        <v>Smithton</v>
      </c>
      <c r="B15" s="2520"/>
      <c r="C15" s="2520"/>
      <c r="D15" s="2520"/>
      <c r="E15" s="2520"/>
      <c r="F15" s="2521"/>
      <c r="G15" s="2516" t="str">
        <f>COVER!T15</f>
        <v>Keith Slusser</v>
      </c>
      <c r="H15" s="2517"/>
      <c r="I15" s="2517"/>
      <c r="J15" s="2517"/>
      <c r="K15" s="2517"/>
      <c r="L15" s="2518"/>
    </row>
    <row r="16" spans="1:29" ht="12.2" customHeight="1" x14ac:dyDescent="0.2">
      <c r="A16" s="2542">
        <f>COVER!A25</f>
        <v>62285</v>
      </c>
      <c r="B16" s="2543"/>
      <c r="C16" s="2543"/>
      <c r="D16" s="2543"/>
      <c r="E16" s="2543"/>
      <c r="F16" s="2544"/>
      <c r="G16" s="2554"/>
      <c r="H16" s="2555"/>
      <c r="I16" s="2555"/>
      <c r="J16" s="2555"/>
      <c r="K16" s="2555"/>
      <c r="L16" s="2556"/>
    </row>
    <row r="17" spans="1:13" ht="12.2" customHeight="1" x14ac:dyDescent="0.2">
      <c r="A17" s="2557"/>
      <c r="B17" s="2543"/>
      <c r="C17" s="2543"/>
      <c r="D17" s="2543"/>
      <c r="E17" s="2543"/>
      <c r="F17" s="2544"/>
      <c r="G17" s="974" t="s">
        <v>1174</v>
      </c>
      <c r="H17" s="972"/>
      <c r="I17" s="972"/>
      <c r="J17" s="972"/>
      <c r="K17" s="976" t="s">
        <v>1173</v>
      </c>
      <c r="L17" s="969"/>
      <c r="M17" s="962"/>
    </row>
    <row r="18" spans="1:13" ht="12.2" customHeight="1" x14ac:dyDescent="0.2">
      <c r="A18" s="2525"/>
      <c r="B18" s="2526"/>
      <c r="C18" s="2526"/>
      <c r="D18" s="2526"/>
      <c r="E18" s="2526"/>
      <c r="F18" s="2527"/>
      <c r="G18" s="2536" t="str">
        <f>COVER!T21</f>
        <v>314-845-7999</v>
      </c>
      <c r="H18" s="2537"/>
      <c r="I18" s="2537"/>
      <c r="J18" s="2537"/>
      <c r="K18" s="2536" t="str">
        <f>COVER!X21</f>
        <v>314-845-7770</v>
      </c>
      <c r="L18" s="254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Smithton CCSD 130</v>
      </c>
      <c r="B1" s="2559"/>
      <c r="C1" s="2559"/>
      <c r="D1" s="2559"/>
    </row>
    <row r="2" spans="1:11" s="991" customFormat="1" ht="12.75" x14ac:dyDescent="0.2">
      <c r="A2" s="2560">
        <f>'Single Audit Cover'!E7</f>
        <v>50082130004</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Smithton CCSD 130</v>
      </c>
      <c r="B1" s="2563"/>
      <c r="C1" s="2563"/>
      <c r="D1" s="2563"/>
      <c r="E1" s="2563"/>
    </row>
    <row r="2" spans="1:5" x14ac:dyDescent="0.2">
      <c r="A2" s="2564">
        <f>'Single Audit Cover'!E7</f>
        <v>50082130004</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248230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14008</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-3947</v>
      </c>
    </row>
    <row r="19" spans="1:4" ht="13.5" thickBot="1" x14ac:dyDescent="0.25">
      <c r="A19" s="1041" t="s">
        <v>1224</v>
      </c>
      <c r="D19" s="1042">
        <f>SUM(D10:D17)</f>
        <v>258291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258291</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258291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 xml:space="preserve">  Smithton CCSD 130</v>
      </c>
      <c r="C1" s="2567"/>
      <c r="D1" s="2567"/>
      <c r="E1" s="2567"/>
      <c r="F1" s="2567"/>
      <c r="G1" s="2567"/>
      <c r="H1" s="2567"/>
      <c r="I1" s="2567"/>
      <c r="J1" s="2567"/>
      <c r="K1" s="2567"/>
      <c r="L1" s="2567"/>
      <c r="M1" s="2567"/>
    </row>
    <row r="2" spans="2:14" ht="15" x14ac:dyDescent="0.2">
      <c r="B2" s="2568">
        <f>'Single Audit Cover'!E7</f>
        <v>50082130004</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 xml:space="preserve">  Smithton CCSD 130</v>
      </c>
      <c r="B1" s="2580"/>
      <c r="C1" s="2580"/>
      <c r="D1" s="2580"/>
      <c r="E1" s="2580"/>
      <c r="F1" s="2580"/>
    </row>
    <row r="2" spans="1:7" ht="13.5" customHeight="1" x14ac:dyDescent="0.2">
      <c r="A2" s="2568">
        <f>'Single Audit Cover'!E7</f>
        <v>50082130004</v>
      </c>
      <c r="B2" s="2568"/>
      <c r="C2" s="2568"/>
      <c r="D2" s="2568"/>
      <c r="E2" s="2568"/>
      <c r="F2" s="2568"/>
      <c r="G2" s="1051"/>
    </row>
    <row r="3" spans="1:7" ht="15.75" customHeight="1" x14ac:dyDescent="0.2">
      <c r="A3" s="2581" t="s">
        <v>1260</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1705</v>
      </c>
      <c r="C6" s="295"/>
      <c r="D6" s="295"/>
    </row>
    <row r="7" spans="1:7" ht="60.95" customHeight="1" x14ac:dyDescent="0.2">
      <c r="A7" s="2579" t="s">
        <v>1706</v>
      </c>
      <c r="B7" s="2579"/>
      <c r="C7" s="2579"/>
      <c r="D7" s="2579"/>
      <c r="E7" s="2579"/>
      <c r="F7" s="257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9" t="s">
        <v>1708</v>
      </c>
      <c r="B13" s="2579"/>
      <c r="C13" s="2579"/>
      <c r="D13" s="2579"/>
      <c r="E13" s="2579"/>
      <c r="F13" s="2579"/>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c r="C17" s="1061"/>
      <c r="D17" s="2572"/>
      <c r="E17" s="2572"/>
      <c r="F17" s="2572"/>
    </row>
    <row r="18" spans="1:6" ht="20.65" customHeight="1" x14ac:dyDescent="0.2">
      <c r="A18" s="1059"/>
      <c r="B18" s="1060"/>
      <c r="C18" s="1061"/>
      <c r="D18" s="2572"/>
      <c r="E18" s="2572"/>
      <c r="F18" s="2572"/>
    </row>
    <row r="19" spans="1:6" ht="20.65" customHeight="1" x14ac:dyDescent="0.2">
      <c r="A19" s="1059"/>
      <c r="B19" s="1060"/>
      <c r="C19" s="1061"/>
      <c r="D19" s="2572"/>
      <c r="E19" s="2572"/>
      <c r="F19" s="2572"/>
    </row>
    <row r="20" spans="1:6" ht="20.65" customHeight="1" x14ac:dyDescent="0.2">
      <c r="A20" s="1059"/>
      <c r="B20" s="1060"/>
      <c r="C20" s="1061"/>
      <c r="D20" s="2572"/>
      <c r="E20" s="2572"/>
      <c r="F20" s="2572"/>
    </row>
    <row r="21" spans="1:6" ht="20.65" customHeight="1" x14ac:dyDescent="0.2">
      <c r="A21" s="1059"/>
      <c r="B21" s="1060"/>
      <c r="C21" s="1061"/>
      <c r="D21" s="2572"/>
      <c r="E21" s="2572"/>
      <c r="F21" s="2572"/>
    </row>
    <row r="22" spans="1:6" ht="20.65" customHeight="1" x14ac:dyDescent="0.2">
      <c r="A22" s="1059"/>
      <c r="B22" s="1060"/>
      <c r="C22" s="1061"/>
      <c r="D22" s="2572"/>
      <c r="E22" s="2572"/>
      <c r="F22" s="2572"/>
    </row>
    <row r="23" spans="1:6" ht="20.65" customHeight="1" x14ac:dyDescent="0.2">
      <c r="A23" s="1059"/>
      <c r="B23" s="1060"/>
      <c r="C23" s="1061"/>
      <c r="D23" s="2572"/>
      <c r="E23" s="2572"/>
      <c r="F23" s="2572"/>
    </row>
    <row r="24" spans="1:6" ht="20.65" customHeight="1" x14ac:dyDescent="0.2">
      <c r="A24" s="1059"/>
      <c r="B24" s="1060"/>
      <c r="C24" s="1061"/>
      <c r="D24" s="2572"/>
      <c r="E24" s="2572"/>
      <c r="F24" s="2572"/>
    </row>
    <row r="25" spans="1:6" ht="20.65" customHeight="1" x14ac:dyDescent="0.2">
      <c r="A25" s="1059"/>
      <c r="B25" s="1060"/>
      <c r="C25" s="1061"/>
      <c r="D25" s="2572"/>
      <c r="E25" s="2572"/>
      <c r="F25" s="2572"/>
    </row>
    <row r="26" spans="1:6" ht="20.65" customHeight="1" x14ac:dyDescent="0.2">
      <c r="A26" s="1059"/>
      <c r="B26" s="1060"/>
      <c r="C26" s="1061"/>
      <c r="D26" s="2572"/>
      <c r="E26" s="2572"/>
      <c r="F26" s="2572"/>
    </row>
    <row r="27" spans="1:6" ht="20.65" customHeight="1" x14ac:dyDescent="0.2">
      <c r="A27" s="1059"/>
      <c r="B27" s="1060"/>
      <c r="C27" s="1061"/>
      <c r="D27" s="2572"/>
      <c r="E27" s="2572"/>
      <c r="F27" s="2572"/>
    </row>
    <row r="28" spans="1:6" ht="20.65" customHeight="1" x14ac:dyDescent="0.2">
      <c r="A28" s="1059"/>
      <c r="B28" s="1060"/>
      <c r="C28" s="1061"/>
      <c r="D28" s="2572"/>
      <c r="E28" s="2572"/>
      <c r="F28" s="2572"/>
    </row>
    <row r="29" spans="1:6" ht="20.65" customHeight="1" x14ac:dyDescent="0.2">
      <c r="A29" s="1059"/>
      <c r="B29" s="1060"/>
      <c r="C29" s="1061"/>
      <c r="D29" s="2572"/>
      <c r="E29" s="2572"/>
      <c r="F29" s="257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3" t="s">
        <v>1709</v>
      </c>
      <c r="B32" s="2573"/>
      <c r="C32" s="2573"/>
      <c r="D32" s="2573"/>
      <c r="E32" s="2573"/>
      <c r="F32" s="2573"/>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4">
        <f>+C33+C34</f>
        <v>0</v>
      </c>
      <c r="F34" s="2575"/>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6" t="s">
        <v>1573</v>
      </c>
      <c r="C49" s="2576"/>
      <c r="D49" s="2576"/>
      <c r="E49" s="1168"/>
    </row>
    <row r="50" spans="1:5" s="1076" customFormat="1" ht="3.75" customHeight="1" x14ac:dyDescent="0.2">
      <c r="A50" s="1075"/>
      <c r="B50" s="1475"/>
      <c r="C50" s="1475"/>
      <c r="D50" s="1475"/>
      <c r="E50" s="1168"/>
    </row>
    <row r="51" spans="1:5" s="1076" customFormat="1" ht="20.25" customHeight="1" x14ac:dyDescent="0.2">
      <c r="A51" s="1077">
        <v>6</v>
      </c>
      <c r="B51" s="2571" t="s">
        <v>1534</v>
      </c>
      <c r="C51" s="2571"/>
      <c r="D51" s="2571"/>
    </row>
    <row r="52" spans="1:5" ht="14.25" customHeight="1" x14ac:dyDescent="0.2">
      <c r="A52" s="1077"/>
      <c r="B52" s="2571"/>
      <c r="C52" s="2571"/>
      <c r="D52" s="257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D119" sqref="D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 xml:space="preserve">  Smithton CCSD 130</v>
      </c>
      <c r="C1" s="2595"/>
      <c r="D1" s="2595"/>
      <c r="E1" s="2595"/>
      <c r="F1" s="2595"/>
      <c r="G1" s="2595"/>
      <c r="H1" s="2595"/>
      <c r="I1" s="2595"/>
      <c r="J1" s="1178"/>
    </row>
    <row r="2" spans="2:10" s="295" customFormat="1" ht="12.75" customHeight="1" x14ac:dyDescent="0.2">
      <c r="B2" s="2596">
        <f>'Single Audit Cover'!E7</f>
        <v>50082130004</v>
      </c>
      <c r="C2" s="2597"/>
      <c r="D2" s="2597"/>
      <c r="E2" s="2597"/>
      <c r="F2" s="2597"/>
      <c r="G2" s="2597"/>
      <c r="H2" s="2597"/>
      <c r="I2" s="2597"/>
      <c r="J2" s="1178"/>
    </row>
    <row r="3" spans="2:10" s="295" customFormat="1" ht="12.75" customHeight="1" x14ac:dyDescent="0.2">
      <c r="B3" s="2598" t="s">
        <v>1274</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1273</v>
      </c>
      <c r="C7" s="2599"/>
      <c r="D7" s="2599"/>
      <c r="E7" s="2599"/>
      <c r="F7" s="2599"/>
      <c r="G7" s="2599"/>
      <c r="H7" s="2599"/>
      <c r="I7" s="259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0"/>
      <c r="D11" s="260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1"/>
      <c r="E29" s="2601"/>
      <c r="F29" s="2601"/>
      <c r="G29" s="2601"/>
      <c r="H29" s="2601"/>
      <c r="I29" s="2601"/>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2" t="s">
        <v>1728</v>
      </c>
      <c r="D37" s="2603"/>
      <c r="E37" s="2603"/>
      <c r="F37" s="2604"/>
      <c r="G37" s="2602" t="s">
        <v>1575</v>
      </c>
      <c r="H37" s="2603"/>
      <c r="I37" s="2604"/>
    </row>
    <row r="38" spans="2:9" ht="16.5" customHeight="1" x14ac:dyDescent="0.2">
      <c r="B38" s="1200"/>
      <c r="C38" s="2590"/>
      <c r="D38" s="2591"/>
      <c r="E38" s="2591"/>
      <c r="F38" s="2592"/>
      <c r="G38" s="2605"/>
      <c r="H38" s="2606"/>
      <c r="I38" s="2607"/>
    </row>
    <row r="39" spans="2:9" ht="16.5" customHeight="1" x14ac:dyDescent="0.2">
      <c r="B39" s="1200"/>
      <c r="C39" s="2590"/>
      <c r="D39" s="2591"/>
      <c r="E39" s="2591"/>
      <c r="F39" s="2592"/>
      <c r="G39" s="2593"/>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583" t="s">
        <v>1576</v>
      </c>
      <c r="D43" s="2584"/>
      <c r="E43" s="2584"/>
      <c r="F43" s="2585"/>
      <c r="G43" s="2586">
        <f>SUM(G38:I42)</f>
        <v>0</v>
      </c>
      <c r="H43" s="2586"/>
      <c r="I43" s="2586"/>
    </row>
    <row r="44" spans="2:9" ht="12.75" customHeight="1" x14ac:dyDescent="0.2"/>
    <row r="45" spans="2:9" ht="12.75" customHeight="1" x14ac:dyDescent="0.2">
      <c r="B45" s="1917" t="str">
        <f>"Total Federal Expenditures for 7/1/"&amp;MID('AFR20'!E2,3,2)-1&amp;"-6/30/"&amp;MID('AFR20'!E2,3,2)</f>
        <v>Total Federal Expenditures for 7/1/19-6/30/20</v>
      </c>
      <c r="C45" s="1918"/>
      <c r="D45" s="2587">
        <v>0</v>
      </c>
      <c r="E45" s="258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9"/>
      <c r="F49" s="2589"/>
      <c r="G49" s="258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 xml:space="preserve">  Smithton CCSD 130</v>
      </c>
      <c r="C1" s="2594"/>
      <c r="D1" s="2594"/>
      <c r="E1" s="2594"/>
      <c r="F1" s="2594"/>
      <c r="G1" s="2594"/>
      <c r="H1" s="2594"/>
      <c r="I1" s="2594"/>
      <c r="J1" s="2594"/>
      <c r="K1" s="2594"/>
      <c r="L1" s="1144"/>
      <c r="M1" s="1144"/>
    </row>
    <row r="2" spans="1:13" ht="12" customHeight="1" x14ac:dyDescent="0.2">
      <c r="B2" s="2596">
        <f>'Single Audit Cover'!E7</f>
        <v>50082130004</v>
      </c>
      <c r="C2" s="2596"/>
      <c r="D2" s="2596"/>
      <c r="E2" s="2596"/>
      <c r="F2" s="2596"/>
      <c r="G2" s="2596"/>
      <c r="H2" s="2596"/>
      <c r="I2" s="2596"/>
      <c r="J2" s="2596"/>
      <c r="K2" s="2596"/>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 xml:space="preserve">  Smithton CCSD 130</v>
      </c>
      <c r="C1" s="2617"/>
      <c r="D1" s="2617"/>
      <c r="E1" s="2617"/>
      <c r="F1" s="2617"/>
      <c r="G1" s="2617"/>
      <c r="H1" s="2617"/>
      <c r="I1" s="2617"/>
      <c r="J1" s="2617"/>
      <c r="K1" s="2617"/>
      <c r="L1" s="1221"/>
    </row>
    <row r="2" spans="1:12" ht="12.75" customHeight="1" x14ac:dyDescent="0.2">
      <c r="B2" s="2618">
        <f>'Single Audit Cover'!E7</f>
        <v>50082130004</v>
      </c>
      <c r="C2" s="2618"/>
      <c r="D2" s="2618"/>
      <c r="E2" s="2618"/>
      <c r="F2" s="2618"/>
      <c r="G2" s="2618"/>
      <c r="H2" s="2618"/>
      <c r="I2" s="2618"/>
      <c r="J2" s="2618"/>
      <c r="K2" s="2618"/>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9" t="s">
        <v>1297</v>
      </c>
      <c r="C6" s="2619"/>
      <c r="D6" s="2619"/>
      <c r="E6" s="2619"/>
      <c r="F6" s="2619"/>
      <c r="G6" s="2619"/>
      <c r="H6" s="2619"/>
      <c r="I6" s="2619"/>
      <c r="J6" s="2619"/>
      <c r="K6" s="2619"/>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4"/>
      <c r="E14" s="2614"/>
      <c r="F14" s="2614"/>
      <c r="H14" s="1230" t="s">
        <v>1292</v>
      </c>
      <c r="I14" s="2615"/>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5"/>
      <c r="E16" s="2615"/>
      <c r="F16" s="2615"/>
      <c r="G16" s="2615"/>
      <c r="H16" s="2615"/>
      <c r="I16" s="2615"/>
      <c r="J16" s="2615"/>
      <c r="K16" s="2615"/>
      <c r="L16" s="300"/>
    </row>
    <row r="17" spans="2:12" ht="13.5" customHeight="1" x14ac:dyDescent="0.2">
      <c r="B17" s="1156" t="s">
        <v>1290</v>
      </c>
      <c r="C17" s="1156"/>
      <c r="D17" s="2616"/>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 xml:space="preserve">  Smithton CCSD 130</v>
      </c>
      <c r="C1" s="2594"/>
      <c r="D1" s="2594"/>
      <c r="E1" s="1240"/>
    </row>
    <row r="2" spans="2:5" s="1058" customFormat="1" ht="12.75" customHeight="1" x14ac:dyDescent="0.2">
      <c r="B2" s="2596">
        <f>'Single Audit Cover'!E7</f>
        <v>50082130004</v>
      </c>
      <c r="C2" s="2596"/>
      <c r="D2" s="2596"/>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F18" sqref="F1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106582858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1.9805E-2</v>
      </c>
      <c r="E10" s="333" t="s">
        <v>998</v>
      </c>
      <c r="F10" s="332">
        <v>2.4759999999999999E-3</v>
      </c>
      <c r="G10" s="333" t="s">
        <v>998</v>
      </c>
      <c r="H10" s="332">
        <v>1.189E-3</v>
      </c>
      <c r="I10" s="333" t="s">
        <v>999</v>
      </c>
      <c r="J10" s="1424">
        <f>ROUND(D10+F10+H10,5)</f>
        <v>2.3470000000000001E-2</v>
      </c>
      <c r="K10" s="217"/>
      <c r="L10" s="332">
        <v>4.9600000000000002E-4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4262463</v>
      </c>
      <c r="E16" s="1547"/>
      <c r="F16" s="1546">
        <f>SUM('Acct Summary 7-8'!C17,'Acct Summary 7-8'!D17,'Acct Summary 7-8'!F17)</f>
        <v>4042909</v>
      </c>
      <c r="G16" s="1547"/>
      <c r="H16" s="1546">
        <f>SUM(D16-F16)</f>
        <v>219554</v>
      </c>
      <c r="I16" s="1548"/>
      <c r="J16" s="1546">
        <f>SUM('Acct Summary 7-8'!C81,'Acct Summary 7-8'!D81,'Acct Summary 7-8'!F81,'Acct Summary 7-8'!I81)</f>
        <v>3535525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7354217.2020000005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5115000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Smithton CCSD 130</v>
      </c>
      <c r="E7" s="368"/>
      <c r="G7" s="247"/>
      <c r="H7" s="364"/>
      <c r="I7" s="364"/>
      <c r="J7" s="364"/>
      <c r="K7" s="364"/>
      <c r="L7" s="307"/>
      <c r="M7" s="307"/>
      <c r="N7" s="307"/>
      <c r="O7" s="307"/>
      <c r="P7" s="307"/>
    </row>
    <row r="8" spans="1:18" ht="12.75" x14ac:dyDescent="0.2">
      <c r="A8" s="307"/>
      <c r="B8" s="307"/>
      <c r="C8" s="366" t="s">
        <v>1115</v>
      </c>
      <c r="D8" s="369">
        <f>COVER!A13</f>
        <v>50082130004</v>
      </c>
      <c r="E8" s="370"/>
      <c r="G8" s="307"/>
      <c r="H8" s="307"/>
      <c r="I8" s="307"/>
      <c r="J8" s="307"/>
      <c r="K8" s="307"/>
      <c r="L8" s="307"/>
      <c r="M8" s="307"/>
      <c r="N8" s="307"/>
      <c r="O8" s="307"/>
      <c r="P8" s="307"/>
    </row>
    <row r="9" spans="1:18" ht="12.75" x14ac:dyDescent="0.2">
      <c r="A9" s="307"/>
      <c r="B9" s="307"/>
      <c r="C9" s="366" t="s">
        <v>708</v>
      </c>
      <c r="D9" s="371" t="str">
        <f>COVER!A15</f>
        <v>St. Clair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3535525</v>
      </c>
      <c r="I12" s="380"/>
      <c r="J12" s="380"/>
      <c r="K12" s="1559">
        <f>TRUNC((H12/H13*100000),5)/100000</f>
        <v>0.94428579589999995</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3744126</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-518337</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4042909</v>
      </c>
      <c r="I17" s="380"/>
      <c r="J17" s="389"/>
      <c r="K17" s="1559">
        <f>TRUNC((H17/H18*100000),5)/100000</f>
        <v>1.0798004661</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3744126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-518337</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10.579960699999999</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3535525</v>
      </c>
      <c r="I24" s="394"/>
      <c r="J24" s="394"/>
      <c r="K24" s="1555">
        <f>TRUNC(((H24/H25*100000)/100000),2)</f>
        <v>314.82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11230.30278</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2126274.7256700001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5115000</v>
      </c>
      <c r="I32" s="392"/>
      <c r="J32" s="392"/>
      <c r="K32" s="1555">
        <f>TRUNC(100-((((H32/H33*100))*100)/100),2)</f>
        <v>30.44</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7354217.2020000005</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3.4499999999999997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24"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876581</v>
      </c>
      <c r="D4" s="1573">
        <v>858024</v>
      </c>
      <c r="E4" s="1573">
        <v>130554</v>
      </c>
      <c r="F4" s="1573">
        <v>666705</v>
      </c>
      <c r="G4" s="1573">
        <v>105536</v>
      </c>
      <c r="H4" s="1573">
        <v>5360066</v>
      </c>
      <c r="I4" s="1573">
        <v>560582</v>
      </c>
      <c r="J4" s="1574">
        <v>167606</v>
      </c>
      <c r="K4" s="1573">
        <v>194481</v>
      </c>
      <c r="L4" s="1573">
        <v>95366</v>
      </c>
      <c r="M4" s="1575"/>
      <c r="N4" s="1576"/>
    </row>
    <row r="5" spans="1:14" x14ac:dyDescent="0.2">
      <c r="A5" s="427" t="s">
        <v>985</v>
      </c>
      <c r="B5" s="429">
        <v>120</v>
      </c>
      <c r="C5" s="1572">
        <v>573633</v>
      </c>
      <c r="D5" s="1573"/>
      <c r="E5" s="1573"/>
      <c r="F5" s="1573"/>
      <c r="G5" s="1573">
        <v>300000</v>
      </c>
      <c r="H5" s="1573"/>
      <c r="I5" s="1573"/>
      <c r="J5" s="1574"/>
      <c r="K5" s="1577">
        <v>200000</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1450214</v>
      </c>
      <c r="D13" s="1587">
        <f t="shared" ref="D13:L13" si="0">SUM(D4:D12)</f>
        <v>858024</v>
      </c>
      <c r="E13" s="1587">
        <f t="shared" si="0"/>
        <v>130554</v>
      </c>
      <c r="F13" s="1587">
        <f t="shared" si="0"/>
        <v>666705</v>
      </c>
      <c r="G13" s="1587">
        <f t="shared" si="0"/>
        <v>405536</v>
      </c>
      <c r="H13" s="1587">
        <f t="shared" si="0"/>
        <v>5360066</v>
      </c>
      <c r="I13" s="1587">
        <f t="shared" si="0"/>
        <v>560582</v>
      </c>
      <c r="J13" s="1587">
        <f t="shared" si="0"/>
        <v>167606</v>
      </c>
      <c r="K13" s="1587">
        <f t="shared" si="0"/>
        <v>394481</v>
      </c>
      <c r="L13" s="1587">
        <f t="shared" si="0"/>
        <v>95366</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718913</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3023061</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191014</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561044</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130554</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4984446</v>
      </c>
    </row>
    <row r="23" spans="1:14" ht="13.5" customHeight="1" thickBot="1" x14ac:dyDescent="0.25">
      <c r="A23" s="1426" t="s">
        <v>638</v>
      </c>
      <c r="B23" s="1429"/>
      <c r="C23" s="1575"/>
      <c r="D23" s="1575"/>
      <c r="E23" s="1575"/>
      <c r="F23" s="1575"/>
      <c r="G23" s="1575"/>
      <c r="H23" s="1575"/>
      <c r="I23" s="1575"/>
      <c r="J23" s="1575"/>
      <c r="K23" s="1575"/>
      <c r="L23" s="1575"/>
      <c r="M23" s="1594">
        <f>SUM(M15:M22)</f>
        <v>4494032</v>
      </c>
      <c r="N23" s="1594">
        <f>SUM(N21:N22)</f>
        <v>5115000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95366</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95366</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5115000</v>
      </c>
    </row>
    <row r="37" spans="1:14" ht="13.5" thickBot="1" x14ac:dyDescent="0.25">
      <c r="A37" s="1426" t="s">
        <v>648</v>
      </c>
      <c r="B37" s="1429"/>
      <c r="C37" s="1582"/>
      <c r="D37" s="1582"/>
      <c r="E37" s="1582"/>
      <c r="F37" s="1582"/>
      <c r="G37" s="1582"/>
      <c r="H37" s="1582"/>
      <c r="I37" s="1582"/>
      <c r="J37" s="1582"/>
      <c r="K37" s="1582"/>
      <c r="L37" s="1585"/>
      <c r="M37" s="1575"/>
      <c r="N37" s="1594">
        <f>SUM(N36:N36)</f>
        <v>5115000</v>
      </c>
    </row>
    <row r="38" spans="1:14" s="307" customFormat="1" ht="13.5" customHeight="1" thickTop="1" x14ac:dyDescent="0.2">
      <c r="A38" s="438" t="s">
        <v>417</v>
      </c>
      <c r="B38" s="432">
        <v>714</v>
      </c>
      <c r="C38" s="1573"/>
      <c r="D38" s="1573"/>
      <c r="E38" s="1573">
        <v>130554</v>
      </c>
      <c r="F38" s="1573">
        <v>666705</v>
      </c>
      <c r="G38" s="1573">
        <v>405536</v>
      </c>
      <c r="H38" s="1573">
        <v>5360066</v>
      </c>
      <c r="I38" s="1573">
        <v>560582</v>
      </c>
      <c r="J38" s="1574">
        <v>167606</v>
      </c>
      <c r="K38" s="1573">
        <v>394481</v>
      </c>
      <c r="L38" s="1586"/>
      <c r="M38" s="1604"/>
      <c r="N38" s="1604"/>
    </row>
    <row r="39" spans="1:14" s="307" customFormat="1" ht="13.5" customHeight="1" x14ac:dyDescent="0.2">
      <c r="A39" s="438" t="s">
        <v>339</v>
      </c>
      <c r="B39" s="432">
        <v>730</v>
      </c>
      <c r="C39" s="1573">
        <v>1450214</v>
      </c>
      <c r="D39" s="1573">
        <v>858024</v>
      </c>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4494032</v>
      </c>
      <c r="N40" s="1604"/>
    </row>
    <row r="41" spans="1:14" ht="13.5" customHeight="1" thickBot="1" x14ac:dyDescent="0.25">
      <c r="A41" s="1426" t="s">
        <v>650</v>
      </c>
      <c r="B41" s="1405"/>
      <c r="C41" s="1594">
        <f>(SUM(C34,C37,C38,C39))</f>
        <v>1450214</v>
      </c>
      <c r="D41" s="1594">
        <f t="shared" ref="D41:L41" si="2">SUM(D34,D37,D38:D39)</f>
        <v>858024</v>
      </c>
      <c r="E41" s="1594">
        <f t="shared" si="2"/>
        <v>130554</v>
      </c>
      <c r="F41" s="1594">
        <f t="shared" si="2"/>
        <v>666705</v>
      </c>
      <c r="G41" s="1594">
        <f t="shared" si="2"/>
        <v>405536</v>
      </c>
      <c r="H41" s="1594">
        <f t="shared" si="2"/>
        <v>5360066</v>
      </c>
      <c r="I41" s="1594">
        <f t="shared" si="2"/>
        <v>560582</v>
      </c>
      <c r="J41" s="1594">
        <f t="shared" si="2"/>
        <v>167606</v>
      </c>
      <c r="K41" s="1594">
        <f t="shared" si="2"/>
        <v>394481</v>
      </c>
      <c r="L41" s="1594">
        <f t="shared" si="2"/>
        <v>95366</v>
      </c>
      <c r="M41" s="1594">
        <f>SUM(M40)</f>
        <v>4494032</v>
      </c>
      <c r="N41" s="1594">
        <f>SUM(N37)</f>
        <v>5115000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54" activePane="bottomLeft" state="frozen"/>
      <selection pane="bottomLeft" activeCell="K80" sqref="K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2213141</v>
      </c>
      <c r="D4" s="1606">
        <f>'Revenues 9-14'!D109</f>
        <v>294368</v>
      </c>
      <c r="E4" s="1606">
        <f>'Revenues 9-14'!E109</f>
        <v>162051</v>
      </c>
      <c r="F4" s="1606">
        <f>'Revenues 9-14'!F109</f>
        <v>124606</v>
      </c>
      <c r="G4" s="1606">
        <f>'Revenues 9-14'!G109</f>
        <v>183494</v>
      </c>
      <c r="H4" s="1606">
        <f>'Revenues 9-14'!H109</f>
        <v>10908</v>
      </c>
      <c r="I4" s="1606">
        <f>'Revenues 9-14'!I109</f>
        <v>57211</v>
      </c>
      <c r="J4" s="1606">
        <f>'Revenues 9-14'!J109</f>
        <v>399861</v>
      </c>
      <c r="K4" s="1606">
        <f>'Revenues 9-14'!K109</f>
        <v>50079</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1223864</v>
      </c>
      <c r="D6" s="1607">
        <f>'Revenues 9-14'!D170</f>
        <v>50000</v>
      </c>
      <c r="E6" s="1607">
        <f>'Revenues 9-14'!E170</f>
        <v>0</v>
      </c>
      <c r="F6" s="1607">
        <f>'Revenues 9-14'!F170</f>
        <v>51043</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248230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3685235</v>
      </c>
      <c r="D8" s="1594">
        <f t="shared" ref="D8:K8" si="0">SUM(D4:D7)</f>
        <v>344368</v>
      </c>
      <c r="E8" s="1594">
        <f t="shared" si="0"/>
        <v>162051</v>
      </c>
      <c r="F8" s="1594">
        <f t="shared" si="0"/>
        <v>175649</v>
      </c>
      <c r="G8" s="1594">
        <f t="shared" si="0"/>
        <v>183494</v>
      </c>
      <c r="H8" s="1594">
        <f t="shared" si="0"/>
        <v>10908</v>
      </c>
      <c r="I8" s="1594">
        <f t="shared" si="0"/>
        <v>57211</v>
      </c>
      <c r="J8" s="1594">
        <f t="shared" si="0"/>
        <v>399861</v>
      </c>
      <c r="K8" s="1594">
        <f t="shared" si="0"/>
        <v>50079</v>
      </c>
      <c r="L8" s="325"/>
    </row>
    <row r="9" spans="1:13" ht="15.75" thickTop="1" x14ac:dyDescent="0.2">
      <c r="A9" s="449" t="s">
        <v>1634</v>
      </c>
      <c r="B9" s="450">
        <v>3998</v>
      </c>
      <c r="C9" s="1586">
        <v>2068692</v>
      </c>
      <c r="D9" s="1613"/>
      <c r="E9" s="1586"/>
      <c r="F9" s="1586"/>
      <c r="G9" s="1614"/>
      <c r="H9" s="1586"/>
      <c r="I9" s="1609" t="s">
        <v>1159</v>
      </c>
      <c r="J9" s="1583"/>
      <c r="K9" s="1586"/>
      <c r="L9" s="325"/>
    </row>
    <row r="10" spans="1:13" s="452" customFormat="1" ht="13.5" thickBot="1" x14ac:dyDescent="0.25">
      <c r="A10" s="1426" t="s">
        <v>1163</v>
      </c>
      <c r="B10" s="1407"/>
      <c r="C10" s="1594">
        <f>SUM(C8:C9)</f>
        <v>5753927</v>
      </c>
      <c r="D10" s="1594">
        <f t="shared" ref="D10:K10" si="1">SUM(D8:D9)</f>
        <v>344368</v>
      </c>
      <c r="E10" s="1594">
        <f t="shared" si="1"/>
        <v>162051</v>
      </c>
      <c r="F10" s="1594">
        <f t="shared" si="1"/>
        <v>175649</v>
      </c>
      <c r="G10" s="1594">
        <f t="shared" si="1"/>
        <v>183494</v>
      </c>
      <c r="H10" s="1594">
        <f t="shared" si="1"/>
        <v>10908</v>
      </c>
      <c r="I10" s="1594">
        <f t="shared" si="1"/>
        <v>57211</v>
      </c>
      <c r="J10" s="1594">
        <f t="shared" si="1"/>
        <v>399861</v>
      </c>
      <c r="K10" s="1594">
        <f t="shared" si="1"/>
        <v>50079</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2553938</v>
      </c>
      <c r="D12" s="1616" t="s">
        <v>1159</v>
      </c>
      <c r="E12" s="1575" t="s">
        <v>1159</v>
      </c>
      <c r="F12" s="1575" t="s">
        <v>1159</v>
      </c>
      <c r="G12" s="1606">
        <f>'Expenditures 15-22'!K229</f>
        <v>46356</v>
      </c>
      <c r="H12" s="1617"/>
      <c r="I12" s="1575" t="s">
        <v>1159</v>
      </c>
      <c r="J12" s="1575" t="s">
        <v>1159</v>
      </c>
      <c r="K12" s="1617" t="s">
        <v>1159</v>
      </c>
      <c r="L12" s="325"/>
    </row>
    <row r="13" spans="1:13" ht="15.75" customHeight="1" x14ac:dyDescent="0.2">
      <c r="A13" s="1314" t="s">
        <v>454</v>
      </c>
      <c r="B13" s="1316">
        <v>2000</v>
      </c>
      <c r="C13" s="1607">
        <f>'Expenditures 15-22'!K74</f>
        <v>951247</v>
      </c>
      <c r="D13" s="1607">
        <f>'Expenditures 15-22'!K129</f>
        <v>205324</v>
      </c>
      <c r="E13" s="1576" t="s">
        <v>1159</v>
      </c>
      <c r="F13" s="1607">
        <f>'Expenditures 15-22'!K184</f>
        <v>126938</v>
      </c>
      <c r="G13" s="1607">
        <f>'Expenditures 15-22'!K279</f>
        <v>90341</v>
      </c>
      <c r="H13" s="1607">
        <f>'Expenditures 15-22'!K303</f>
        <v>872536</v>
      </c>
      <c r="I13" s="1575" t="s">
        <v>1159</v>
      </c>
      <c r="J13" s="1607">
        <f>'Expenditures 15-22'!K330</f>
        <v>398269</v>
      </c>
      <c r="K13" s="1618">
        <f>'Expenditures 15-22'!K352</f>
        <v>0</v>
      </c>
      <c r="L13" s="325"/>
    </row>
    <row r="14" spans="1:13" ht="15.75" customHeight="1" x14ac:dyDescent="0.2">
      <c r="A14" s="1314" t="s">
        <v>446</v>
      </c>
      <c r="B14" s="1316">
        <v>3000</v>
      </c>
      <c r="C14" s="1607">
        <f>'Expenditures 15-22'!K75</f>
        <v>18405</v>
      </c>
      <c r="D14" s="1607">
        <f>'Expenditures 15-22'!K130</f>
        <v>0</v>
      </c>
      <c r="E14" s="1616" t="s">
        <v>1159</v>
      </c>
      <c r="F14" s="1607">
        <f>'Expenditures 15-22'!K185</f>
        <v>0</v>
      </c>
      <c r="G14" s="1607">
        <f>'Expenditures 15-22'!K280</f>
        <v>1192</v>
      </c>
      <c r="H14" s="1612"/>
      <c r="I14" s="1575" t="s">
        <v>1159</v>
      </c>
      <c r="J14" s="1575" t="s">
        <v>1159</v>
      </c>
      <c r="K14" s="1612" t="s">
        <v>1159</v>
      </c>
      <c r="L14" s="325"/>
    </row>
    <row r="15" spans="1:13" ht="15.75" customHeight="1" x14ac:dyDescent="0.2">
      <c r="A15" s="1314" t="s">
        <v>107</v>
      </c>
      <c r="B15" s="1316">
        <v>4000</v>
      </c>
      <c r="C15" s="1607">
        <f>'Expenditures 15-22'!K102</f>
        <v>187057</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180748</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3710647</v>
      </c>
      <c r="D17" s="1594">
        <f t="shared" si="2"/>
        <v>205324</v>
      </c>
      <c r="E17" s="1594">
        <f t="shared" si="2"/>
        <v>180748</v>
      </c>
      <c r="F17" s="1594">
        <f t="shared" si="2"/>
        <v>126938</v>
      </c>
      <c r="G17" s="1594">
        <f t="shared" si="2"/>
        <v>137889</v>
      </c>
      <c r="H17" s="1594">
        <f t="shared" si="2"/>
        <v>872536</v>
      </c>
      <c r="I17" s="1575"/>
      <c r="J17" s="1594">
        <f>SUM(J12:J16)</f>
        <v>398269</v>
      </c>
      <c r="K17" s="1594">
        <f>SUM(K12:K16)</f>
        <v>0</v>
      </c>
      <c r="L17" s="325"/>
    </row>
    <row r="18" spans="1:12" ht="15" customHeight="1" thickTop="1" x14ac:dyDescent="0.2">
      <c r="A18" s="1430" t="s">
        <v>1635</v>
      </c>
      <c r="B18" s="1431">
        <v>4180</v>
      </c>
      <c r="C18" s="1606">
        <f t="shared" ref="C18:H18" si="3">C9</f>
        <v>2068692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5779339</v>
      </c>
      <c r="D19" s="1594">
        <f t="shared" si="4"/>
        <v>205324</v>
      </c>
      <c r="E19" s="1594">
        <f t="shared" si="4"/>
        <v>180748</v>
      </c>
      <c r="F19" s="1594">
        <f t="shared" si="4"/>
        <v>126938</v>
      </c>
      <c r="G19" s="1594">
        <f t="shared" si="4"/>
        <v>137889</v>
      </c>
      <c r="H19" s="1594">
        <f t="shared" si="4"/>
        <v>872536</v>
      </c>
      <c r="I19" s="1575"/>
      <c r="J19" s="1594">
        <f>SUM(J17:J18)</f>
        <v>398269</v>
      </c>
      <c r="K19" s="1594">
        <f>SUM(K17:K18)</f>
        <v>0</v>
      </c>
      <c r="L19" s="325"/>
    </row>
    <row r="20" spans="1:12" ht="16.5" thickTop="1" thickBot="1" x14ac:dyDescent="0.25">
      <c r="A20" s="2232" t="s">
        <v>1636</v>
      </c>
      <c r="B20" s="2233"/>
      <c r="C20" s="1622">
        <f>C8-C17</f>
        <v>-25412</v>
      </c>
      <c r="D20" s="1622">
        <f t="shared" ref="D20:K20" si="5">D8-D17</f>
        <v>139044</v>
      </c>
      <c r="E20" s="1622">
        <f t="shared" si="5"/>
        <v>-18697</v>
      </c>
      <c r="F20" s="1622">
        <f t="shared" si="5"/>
        <v>48711</v>
      </c>
      <c r="G20" s="1622">
        <f t="shared" si="5"/>
        <v>45605</v>
      </c>
      <c r="H20" s="1622">
        <f t="shared" si="5"/>
        <v>-861628</v>
      </c>
      <c r="I20" s="1622">
        <f t="shared" si="5"/>
        <v>57211</v>
      </c>
      <c r="J20" s="1622">
        <f t="shared" si="5"/>
        <v>1592</v>
      </c>
      <c r="K20" s="1622">
        <f t="shared" si="5"/>
        <v>50079</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v>5000000</v>
      </c>
      <c r="I33" s="1574"/>
      <c r="J33" s="1574"/>
      <c r="K33" s="1574"/>
      <c r="L33" s="453"/>
    </row>
    <row r="34" spans="1:12" s="433" customFormat="1" x14ac:dyDescent="0.2">
      <c r="A34" s="1260" t="s">
        <v>994</v>
      </c>
      <c r="B34" s="454">
        <v>7220</v>
      </c>
      <c r="C34" s="1574"/>
      <c r="D34" s="1574"/>
      <c r="E34" s="1574">
        <v>59206</v>
      </c>
      <c r="F34" s="1574"/>
      <c r="G34" s="1582"/>
      <c r="H34" s="1583">
        <v>813514</v>
      </c>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500000</v>
      </c>
      <c r="I41" s="1582"/>
      <c r="J41" s="1582"/>
      <c r="K41" s="1585"/>
      <c r="L41" s="453"/>
    </row>
    <row r="42" spans="1:12" s="433" customFormat="1" ht="13.5" customHeight="1" x14ac:dyDescent="0.2">
      <c r="A42" s="1260" t="s">
        <v>636</v>
      </c>
      <c r="B42" s="432">
        <v>7900</v>
      </c>
      <c r="C42" s="1574">
        <v>107305</v>
      </c>
      <c r="D42" s="1574"/>
      <c r="E42" s="1574"/>
      <c r="F42" s="1574"/>
      <c r="G42" s="1574"/>
      <c r="H42" s="1574"/>
      <c r="I42" s="1585"/>
      <c r="J42" s="1585"/>
      <c r="K42" s="1574"/>
      <c r="L42" s="453"/>
    </row>
    <row r="43" spans="1:12" s="433" customFormat="1" ht="13.5" customHeight="1" x14ac:dyDescent="0.2">
      <c r="A43" s="1260" t="s">
        <v>370</v>
      </c>
      <c r="B43" s="432">
        <v>7990</v>
      </c>
      <c r="C43" s="1574"/>
      <c r="D43" s="1574"/>
      <c r="E43" s="1574">
        <v>18337</v>
      </c>
      <c r="F43" s="1574"/>
      <c r="G43" s="1574"/>
      <c r="H43" s="1574"/>
      <c r="I43" s="1574"/>
      <c r="J43" s="1574"/>
      <c r="K43" s="1574"/>
      <c r="L43" s="453"/>
    </row>
    <row r="44" spans="1:12" s="433" customFormat="1" ht="13.5" customHeight="1" thickBot="1" x14ac:dyDescent="0.25">
      <c r="A44" s="2246" t="s">
        <v>371</v>
      </c>
      <c r="B44" s="2247"/>
      <c r="C44" s="1624">
        <f>SUM(C24:C43)</f>
        <v>107305</v>
      </c>
      <c r="D44" s="1624">
        <f t="shared" ref="D44:K44" si="6">SUM(D24:D43)</f>
        <v>0</v>
      </c>
      <c r="E44" s="1624">
        <f t="shared" si="6"/>
        <v>77543</v>
      </c>
      <c r="F44" s="1624">
        <f t="shared" si="6"/>
        <v>0</v>
      </c>
      <c r="G44" s="1624">
        <f t="shared" si="6"/>
        <v>0</v>
      </c>
      <c r="H44" s="1624">
        <f t="shared" si="6"/>
        <v>6313514</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v>500000</v>
      </c>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v>18337</v>
      </c>
      <c r="D74" s="1627"/>
      <c r="E74" s="1585"/>
      <c r="F74" s="1626"/>
      <c r="G74" s="1626"/>
      <c r="H74" s="1626"/>
      <c r="I74" s="1585"/>
      <c r="J74" s="1585"/>
      <c r="K74" s="1626"/>
      <c r="L74" s="453"/>
    </row>
    <row r="75" spans="1:12" s="433" customFormat="1" ht="14.25" thickTop="1" thickBot="1" x14ac:dyDescent="0.25">
      <c r="A75" s="1264" t="s">
        <v>436</v>
      </c>
      <c r="B75" s="432">
        <v>8990</v>
      </c>
      <c r="C75" s="1627">
        <v>43447</v>
      </c>
      <c r="D75" s="1627"/>
      <c r="E75" s="1626"/>
      <c r="F75" s="1628"/>
      <c r="G75" s="1628"/>
      <c r="H75" s="1628">
        <v>91820</v>
      </c>
      <c r="I75" s="1626"/>
      <c r="J75" s="1626"/>
      <c r="K75" s="1628"/>
      <c r="L75" s="453"/>
    </row>
    <row r="76" spans="1:12" s="433" customFormat="1" ht="14.25" thickTop="1" thickBot="1" x14ac:dyDescent="0.25">
      <c r="A76" s="2222" t="s">
        <v>437</v>
      </c>
      <c r="B76" s="2223"/>
      <c r="C76" s="1624">
        <f t="shared" ref="C76:K76" si="7">SUM(C47:C75)</f>
        <v>61784</v>
      </c>
      <c r="D76" s="1624">
        <f t="shared" si="7"/>
        <v>500000</v>
      </c>
      <c r="E76" s="1624">
        <f t="shared" si="7"/>
        <v>0</v>
      </c>
      <c r="F76" s="1624">
        <f t="shared" si="7"/>
        <v>0</v>
      </c>
      <c r="G76" s="1624">
        <f t="shared" si="7"/>
        <v>0</v>
      </c>
      <c r="H76" s="1624">
        <f t="shared" si="7"/>
        <v>91820</v>
      </c>
      <c r="I76" s="1624">
        <f t="shared" si="7"/>
        <v>0</v>
      </c>
      <c r="J76" s="1624">
        <f t="shared" si="7"/>
        <v>0</v>
      </c>
      <c r="K76" s="1624">
        <f t="shared" si="7"/>
        <v>0</v>
      </c>
      <c r="L76" s="453"/>
    </row>
    <row r="77" spans="1:12" ht="14.25" thickTop="1" thickBot="1" x14ac:dyDescent="0.25">
      <c r="A77" s="2224" t="s">
        <v>1167</v>
      </c>
      <c r="B77" s="2225"/>
      <c r="C77" s="1624">
        <f t="shared" ref="C77:K77" si="8">C44-C76</f>
        <v>45521</v>
      </c>
      <c r="D77" s="1624">
        <f t="shared" si="8"/>
        <v>-500000</v>
      </c>
      <c r="E77" s="1624">
        <f t="shared" si="8"/>
        <v>77543</v>
      </c>
      <c r="F77" s="1624">
        <f t="shared" si="8"/>
        <v>0</v>
      </c>
      <c r="G77" s="1624">
        <f t="shared" si="8"/>
        <v>0</v>
      </c>
      <c r="H77" s="1624">
        <f t="shared" si="8"/>
        <v>6221694</v>
      </c>
      <c r="I77" s="1624">
        <f t="shared" si="8"/>
        <v>0</v>
      </c>
      <c r="J77" s="1624">
        <f t="shared" si="8"/>
        <v>0</v>
      </c>
      <c r="K77" s="1624">
        <f t="shared" si="8"/>
        <v>0</v>
      </c>
      <c r="L77" s="325"/>
    </row>
    <row r="78" spans="1:12" ht="21.75" customHeight="1" thickTop="1" thickBot="1" x14ac:dyDescent="0.25">
      <c r="A78" s="2228" t="s">
        <v>593</v>
      </c>
      <c r="B78" s="2229"/>
      <c r="C78" s="1629">
        <f t="shared" ref="C78:K78" si="9">C20+C77</f>
        <v>20109</v>
      </c>
      <c r="D78" s="1629">
        <f t="shared" si="9"/>
        <v>-360956</v>
      </c>
      <c r="E78" s="1629">
        <f t="shared" si="9"/>
        <v>58846</v>
      </c>
      <c r="F78" s="1629">
        <f t="shared" si="9"/>
        <v>48711</v>
      </c>
      <c r="G78" s="1629">
        <f t="shared" si="9"/>
        <v>45605</v>
      </c>
      <c r="H78" s="1629">
        <f t="shared" si="9"/>
        <v>5360066</v>
      </c>
      <c r="I78" s="1629">
        <f t="shared" si="9"/>
        <v>57211</v>
      </c>
      <c r="J78" s="1629">
        <f t="shared" si="9"/>
        <v>1592</v>
      </c>
      <c r="K78" s="1629">
        <f t="shared" si="9"/>
        <v>50079</v>
      </c>
      <c r="L78" s="457"/>
    </row>
    <row r="79" spans="1:12" ht="13.5" thickTop="1" x14ac:dyDescent="0.2">
      <c r="A79" s="1844" t="str">
        <f>"Fund Balances - July 1, "&amp;'AFR20'!E2-1</f>
        <v>Fund Balances - July 1, 2019</v>
      </c>
      <c r="B79" s="458"/>
      <c r="C79" s="1583">
        <v>1430105</v>
      </c>
      <c r="D79" s="1630">
        <v>1218980</v>
      </c>
      <c r="E79" s="1630">
        <v>71708</v>
      </c>
      <c r="F79" s="1630">
        <v>617994</v>
      </c>
      <c r="G79" s="1630">
        <v>359931</v>
      </c>
      <c r="H79" s="1630">
        <v>0</v>
      </c>
      <c r="I79" s="1630">
        <v>503371</v>
      </c>
      <c r="J79" s="1630">
        <v>166014</v>
      </c>
      <c r="K79" s="1630">
        <v>344402</v>
      </c>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1450214</v>
      </c>
      <c r="D81" s="1594">
        <f>SUM(D78:D80)</f>
        <v>858024</v>
      </c>
      <c r="E81" s="1594">
        <f t="shared" ref="E81:K81" si="10">SUM(E78:E80)</f>
        <v>130554</v>
      </c>
      <c r="F81" s="1594">
        <f t="shared" si="10"/>
        <v>666705</v>
      </c>
      <c r="G81" s="1594">
        <f t="shared" si="10"/>
        <v>405536</v>
      </c>
      <c r="H81" s="1594">
        <f t="shared" si="10"/>
        <v>5360066</v>
      </c>
      <c r="I81" s="1594">
        <f t="shared" si="10"/>
        <v>560582</v>
      </c>
      <c r="J81" s="1594">
        <f t="shared" si="10"/>
        <v>167606</v>
      </c>
      <c r="K81" s="1594">
        <f t="shared" si="10"/>
        <v>394481</v>
      </c>
      <c r="L81" s="325"/>
    </row>
    <row r="82" spans="1:12" ht="0.75" customHeight="1" thickTop="1" thickBot="1" x14ac:dyDescent="0.25">
      <c r="A82" s="459" t="s">
        <v>340</v>
      </c>
      <c r="B82" s="460"/>
      <c r="C82" s="461">
        <f>(C81-C79)</f>
        <v>20109</v>
      </c>
      <c r="D82" s="461">
        <f t="shared" ref="D82:K82" si="11">(D81-D79)</f>
        <v>-360956</v>
      </c>
      <c r="E82" s="461">
        <f t="shared" si="11"/>
        <v>58846</v>
      </c>
      <c r="F82" s="461">
        <f t="shared" si="11"/>
        <v>48711</v>
      </c>
      <c r="G82" s="461">
        <f t="shared" si="11"/>
        <v>45605</v>
      </c>
      <c r="H82" s="461">
        <f t="shared" si="11"/>
        <v>5360066</v>
      </c>
      <c r="I82" s="461">
        <f t="shared" si="11"/>
        <v>57211</v>
      </c>
      <c r="J82" s="461">
        <f t="shared" si="11"/>
        <v>1592</v>
      </c>
      <c r="K82" s="461">
        <f t="shared" si="11"/>
        <v>50079</v>
      </c>
    </row>
    <row r="83" spans="1:12" ht="14.25" hidden="1" thickTop="1" thickBot="1" x14ac:dyDescent="0.25">
      <c r="A83" s="462" t="s">
        <v>341</v>
      </c>
      <c r="B83" s="428"/>
      <c r="C83" s="463">
        <f>C82/C81</f>
        <v>1.3866229397868177E-2</v>
      </c>
      <c r="D83" s="463">
        <f t="shared" ref="D83:K83" si="12">D82/D81</f>
        <v>-0.42068287134159416</v>
      </c>
      <c r="E83" s="463">
        <f t="shared" si="12"/>
        <v>0.45074068967630254</v>
      </c>
      <c r="F83" s="463">
        <f t="shared" si="12"/>
        <v>7.3062298917812227E-2</v>
      </c>
      <c r="G83" s="463">
        <f t="shared" si="12"/>
        <v>0.1124561074725795</v>
      </c>
      <c r="H83" s="463">
        <f t="shared" si="12"/>
        <v>1</v>
      </c>
      <c r="I83" s="463">
        <f t="shared" si="12"/>
        <v>0.10205643420587888</v>
      </c>
      <c r="J83" s="463">
        <f t="shared" si="12"/>
        <v>9.4984666420056558E-3</v>
      </c>
      <c r="K83" s="463">
        <f t="shared" si="12"/>
        <v>0.12694907993033885</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BreakPreview" colorId="8" zoomScale="75" zoomScaleNormal="110" zoomScaleSheetLayoutView="75" workbookViewId="0">
      <pane ySplit="2" topLeftCell="A107" activePane="bottomLeft" state="frozen"/>
      <selection pane="bottomLeft" activeCell="C117" sqref="C11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2002390</v>
      </c>
      <c r="D5" s="1586">
        <v>250120</v>
      </c>
      <c r="E5" s="1573">
        <v>161878</v>
      </c>
      <c r="F5" s="1631">
        <v>120056</v>
      </c>
      <c r="G5" s="1573">
        <v>79737</v>
      </c>
      <c r="H5" s="1573"/>
      <c r="I5" s="1573">
        <v>50025</v>
      </c>
      <c r="J5" s="1574">
        <v>392287</v>
      </c>
      <c r="K5" s="1573">
        <v>50025</v>
      </c>
    </row>
    <row r="6" spans="1:12" ht="15" x14ac:dyDescent="0.2">
      <c r="A6" s="427" t="s">
        <v>1643</v>
      </c>
      <c r="B6" s="429">
        <v>1130</v>
      </c>
      <c r="C6" s="1573">
        <v>36097</v>
      </c>
      <c r="D6" s="1573">
        <v>13928</v>
      </c>
      <c r="E6" s="1580"/>
      <c r="F6" s="1580"/>
      <c r="G6" s="1575"/>
      <c r="H6" s="1575"/>
      <c r="I6" s="1575"/>
      <c r="J6" s="1575"/>
      <c r="K6" s="1575"/>
    </row>
    <row r="7" spans="1:12" x14ac:dyDescent="0.2">
      <c r="A7" s="427" t="s">
        <v>110</v>
      </c>
      <c r="B7" s="471">
        <v>1140</v>
      </c>
      <c r="C7" s="1573">
        <v>20009</v>
      </c>
      <c r="D7" s="1573"/>
      <c r="E7" s="1575"/>
      <c r="F7" s="1574"/>
      <c r="G7" s="1574"/>
      <c r="H7" s="1574"/>
      <c r="I7" s="1575"/>
      <c r="J7" s="1575"/>
      <c r="K7" s="1575"/>
    </row>
    <row r="8" spans="1:12" x14ac:dyDescent="0.2">
      <c r="A8" s="427" t="s">
        <v>410</v>
      </c>
      <c r="B8" s="429">
        <v>1150</v>
      </c>
      <c r="C8" s="1580"/>
      <c r="D8" s="1580"/>
      <c r="E8" s="1582"/>
      <c r="F8" s="1582"/>
      <c r="G8" s="1586">
        <v>99648</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2058496</v>
      </c>
      <c r="D12" s="1633">
        <f t="shared" si="0"/>
        <v>264048</v>
      </c>
      <c r="E12" s="1633">
        <f t="shared" si="0"/>
        <v>161878</v>
      </c>
      <c r="F12" s="1633">
        <f t="shared" si="0"/>
        <v>120056</v>
      </c>
      <c r="G12" s="1633">
        <f t="shared" si="0"/>
        <v>179385</v>
      </c>
      <c r="H12" s="1633">
        <f t="shared" si="0"/>
        <v>0</v>
      </c>
      <c r="I12" s="1633">
        <f t="shared" si="0"/>
        <v>50025</v>
      </c>
      <c r="J12" s="1633">
        <f t="shared" si="0"/>
        <v>392287</v>
      </c>
      <c r="K12" s="1594">
        <f t="shared" si="0"/>
        <v>50025</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2210</v>
      </c>
      <c r="D14" s="1573">
        <v>267</v>
      </c>
      <c r="E14" s="1573">
        <v>173</v>
      </c>
      <c r="F14" s="1573">
        <v>128</v>
      </c>
      <c r="G14" s="1573">
        <v>191</v>
      </c>
      <c r="H14" s="1573"/>
      <c r="I14" s="1573">
        <v>53</v>
      </c>
      <c r="J14" s="1574">
        <v>419</v>
      </c>
      <c r="K14" s="1573">
        <v>54</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v>15671</v>
      </c>
      <c r="E16" s="1573"/>
      <c r="F16" s="1573"/>
      <c r="G16" s="1573">
        <v>3918</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2210</v>
      </c>
      <c r="D18" s="1635">
        <f t="shared" ref="D18:K18" si="1">SUM(D14:D17)</f>
        <v>15938</v>
      </c>
      <c r="E18" s="1635">
        <f t="shared" si="1"/>
        <v>173</v>
      </c>
      <c r="F18" s="1635">
        <f t="shared" si="1"/>
        <v>128</v>
      </c>
      <c r="G18" s="1635">
        <f t="shared" si="1"/>
        <v>4109</v>
      </c>
      <c r="H18" s="1635">
        <f t="shared" si="1"/>
        <v>0</v>
      </c>
      <c r="I18" s="1635">
        <f t="shared" si="1"/>
        <v>53</v>
      </c>
      <c r="J18" s="1635">
        <f t="shared" si="1"/>
        <v>419</v>
      </c>
      <c r="K18" s="1636">
        <f t="shared" si="1"/>
        <v>54</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20394</v>
      </c>
      <c r="D65" s="1573">
        <v>10173</v>
      </c>
      <c r="E65" s="1573"/>
      <c r="F65" s="1574">
        <v>4422</v>
      </c>
      <c r="G65" s="1573"/>
      <c r="H65" s="1573">
        <v>10908</v>
      </c>
      <c r="I65" s="1573">
        <v>7133</v>
      </c>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20394</v>
      </c>
      <c r="D67" s="1594">
        <f t="shared" ref="D67:K67" si="2">SUM(D65:D66)</f>
        <v>10173</v>
      </c>
      <c r="E67" s="1594">
        <f t="shared" si="2"/>
        <v>0</v>
      </c>
      <c r="F67" s="1594">
        <f t="shared" si="2"/>
        <v>4422</v>
      </c>
      <c r="G67" s="1594">
        <f t="shared" si="2"/>
        <v>0</v>
      </c>
      <c r="H67" s="1594">
        <f t="shared" si="2"/>
        <v>10908</v>
      </c>
      <c r="I67" s="1594">
        <f t="shared" si="2"/>
        <v>7133</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14590</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14590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31974</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31974</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49649</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49649</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8428</v>
      </c>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27400</v>
      </c>
      <c r="D107" s="1573">
        <v>4209</v>
      </c>
      <c r="E107" s="1573"/>
      <c r="F107" s="1573"/>
      <c r="G107" s="1573"/>
      <c r="H107" s="1573"/>
      <c r="I107" s="1573"/>
      <c r="J107" s="1574">
        <v>7155</v>
      </c>
      <c r="K107" s="1573"/>
    </row>
    <row r="108" spans="1:12" ht="12.75" customHeight="1" thickBot="1" x14ac:dyDescent="0.25">
      <c r="A108" s="1406" t="s">
        <v>484</v>
      </c>
      <c r="B108" s="1408"/>
      <c r="C108" s="1633">
        <f>SUM(C95:C107)</f>
        <v>35828</v>
      </c>
      <c r="D108" s="1633">
        <f t="shared" ref="D108:K108" si="3">SUM(D95:D107)</f>
        <v>4209</v>
      </c>
      <c r="E108" s="1633">
        <f t="shared" si="3"/>
        <v>0</v>
      </c>
      <c r="F108" s="1633">
        <f t="shared" si="3"/>
        <v>0</v>
      </c>
      <c r="G108" s="1633">
        <f t="shared" si="3"/>
        <v>0</v>
      </c>
      <c r="H108" s="1633">
        <f t="shared" si="3"/>
        <v>0</v>
      </c>
      <c r="I108" s="1633">
        <f t="shared" si="3"/>
        <v>0</v>
      </c>
      <c r="J108" s="1633">
        <f t="shared" si="3"/>
        <v>7155</v>
      </c>
      <c r="K108" s="1594">
        <f t="shared" si="3"/>
        <v>0</v>
      </c>
    </row>
    <row r="109" spans="1:12" ht="14.25" thickTop="1" thickBot="1" x14ac:dyDescent="0.25">
      <c r="A109" s="1409" t="s">
        <v>246</v>
      </c>
      <c r="B109" s="1410" t="s">
        <v>566</v>
      </c>
      <c r="C109" s="1641">
        <f t="shared" ref="C109:K109" si="4">SUM(C12,C18,C40,C63,C67,C75,C82,C93,C108,)</f>
        <v>2213141</v>
      </c>
      <c r="D109" s="1641">
        <f t="shared" si="4"/>
        <v>294368</v>
      </c>
      <c r="E109" s="1641">
        <f t="shared" si="4"/>
        <v>162051</v>
      </c>
      <c r="F109" s="1641">
        <f t="shared" si="4"/>
        <v>124606</v>
      </c>
      <c r="G109" s="1641">
        <f t="shared" si="4"/>
        <v>183494</v>
      </c>
      <c r="H109" s="1641">
        <f t="shared" si="4"/>
        <v>10908</v>
      </c>
      <c r="I109" s="1641">
        <f t="shared" si="4"/>
        <v>57211</v>
      </c>
      <c r="J109" s="1641">
        <f t="shared" si="4"/>
        <v>399861</v>
      </c>
      <c r="K109" s="1629">
        <f t="shared" si="4"/>
        <v>50079</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1223613</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1223613</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251</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26023</v>
      </c>
      <c r="G152" s="1574"/>
      <c r="H152" s="1575"/>
      <c r="I152" s="1575"/>
      <c r="J152" s="1575"/>
      <c r="K152" s="1575"/>
    </row>
    <row r="153" spans="1:11" ht="12.75" customHeight="1" x14ac:dyDescent="0.2">
      <c r="A153" s="427" t="s">
        <v>1048</v>
      </c>
      <c r="B153" s="478">
        <v>3510</v>
      </c>
      <c r="C153" s="1632"/>
      <c r="D153" s="1573"/>
      <c r="E153" s="1640"/>
      <c r="F153" s="1573">
        <v>25020</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51043</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251</v>
      </c>
      <c r="D169" s="1658">
        <f t="shared" si="6"/>
        <v>50000</v>
      </c>
      <c r="E169" s="1658">
        <f t="shared" si="6"/>
        <v>0</v>
      </c>
      <c r="F169" s="1658">
        <f t="shared" si="6"/>
        <v>51043</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1223864</v>
      </c>
      <c r="D170" s="1641">
        <f t="shared" si="7"/>
        <v>50000</v>
      </c>
      <c r="E170" s="1641">
        <f t="shared" si="7"/>
        <v>0</v>
      </c>
      <c r="F170" s="1641">
        <f t="shared" si="7"/>
        <v>51043</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26202</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423</v>
      </c>
      <c r="D193" s="1575"/>
      <c r="E193" s="1640"/>
      <c r="F193" s="1575"/>
      <c r="G193" s="1664"/>
      <c r="H193" s="1575"/>
      <c r="I193" s="1575"/>
      <c r="J193" s="1575"/>
      <c r="K193" s="1575"/>
    </row>
    <row r="194" spans="1:11" ht="12.75" customHeight="1" x14ac:dyDescent="0.2">
      <c r="A194" s="427" t="s">
        <v>1434</v>
      </c>
      <c r="B194" s="429">
        <v>4225</v>
      </c>
      <c r="C194" s="1632">
        <v>10570</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37195</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57542</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57542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16617</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16617</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3609</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112680</v>
      </c>
      <c r="D213" s="1573"/>
      <c r="E213" s="1575"/>
      <c r="F213" s="1573"/>
      <c r="G213" s="1573"/>
      <c r="H213" s="1575"/>
      <c r="I213" s="1575"/>
      <c r="J213" s="1575"/>
      <c r="K213" s="1575"/>
    </row>
    <row r="214" spans="1:11" ht="12.75" customHeight="1" x14ac:dyDescent="0.2">
      <c r="A214" s="427" t="s">
        <v>1045</v>
      </c>
      <c r="B214" s="429">
        <v>4625</v>
      </c>
      <c r="C214" s="1632">
        <v>5449</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121738</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7341</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3850</v>
      </c>
      <c r="D263" s="1651"/>
      <c r="E263" s="1575"/>
      <c r="F263" s="1651"/>
      <c r="G263" s="1651"/>
      <c r="H263" s="1575"/>
      <c r="I263" s="1575"/>
      <c r="J263" s="1575"/>
      <c r="K263" s="1575"/>
    </row>
    <row r="264" spans="1:11" ht="12.75" customHeight="1" thickTop="1" thickBot="1" x14ac:dyDescent="0.25">
      <c r="A264" s="427" t="s">
        <v>374</v>
      </c>
      <c r="B264" s="429">
        <v>4992</v>
      </c>
      <c r="C264" s="1650">
        <v>3947</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248230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248230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3685235</v>
      </c>
      <c r="D268" s="1641">
        <f t="shared" si="12"/>
        <v>344368</v>
      </c>
      <c r="E268" s="1641">
        <f t="shared" si="12"/>
        <v>162051</v>
      </c>
      <c r="F268" s="1641">
        <f t="shared" si="12"/>
        <v>175649</v>
      </c>
      <c r="G268" s="1641">
        <f t="shared" si="12"/>
        <v>183494</v>
      </c>
      <c r="H268" s="1641">
        <f t="shared" si="12"/>
        <v>10908</v>
      </c>
      <c r="I268" s="1641">
        <f t="shared" si="12"/>
        <v>57211</v>
      </c>
      <c r="J268" s="1641">
        <f t="shared" si="12"/>
        <v>399861</v>
      </c>
      <c r="K268" s="1629">
        <f t="shared" si="12"/>
        <v>50079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BreakPreview" colorId="8" zoomScale="60" zoomScaleNormal="110" workbookViewId="0">
      <pane ySplit="2" topLeftCell="A276" activePane="bottomLeft" state="frozen"/>
      <selection pane="bottomLeft" activeCell="L329" sqref="L32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1564033</v>
      </c>
      <c r="D5" s="1573">
        <v>330098</v>
      </c>
      <c r="E5" s="1573">
        <v>6567</v>
      </c>
      <c r="F5" s="1573">
        <v>18752</v>
      </c>
      <c r="G5" s="1573">
        <v>114964</v>
      </c>
      <c r="H5" s="1573"/>
      <c r="I5" s="1574"/>
      <c r="J5" s="1574"/>
      <c r="K5" s="1672">
        <f>SUM(C5:J5)</f>
        <v>2034414</v>
      </c>
      <c r="L5" s="1573">
        <v>2104060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269523</v>
      </c>
      <c r="D8" s="1573">
        <v>33906</v>
      </c>
      <c r="E8" s="1573">
        <v>40</v>
      </c>
      <c r="F8" s="1573">
        <v>500</v>
      </c>
      <c r="G8" s="1573"/>
      <c r="H8" s="1573"/>
      <c r="I8" s="1574"/>
      <c r="J8" s="1574"/>
      <c r="K8" s="1672">
        <f t="shared" si="0"/>
        <v>303969</v>
      </c>
      <c r="L8" s="1573">
        <v>311160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158558</v>
      </c>
      <c r="D10" s="1573">
        <v>20779</v>
      </c>
      <c r="E10" s="1573">
        <v>320</v>
      </c>
      <c r="F10" s="1573">
        <v>3333</v>
      </c>
      <c r="G10" s="1573"/>
      <c r="H10" s="1573"/>
      <c r="I10" s="1574"/>
      <c r="J10" s="1574"/>
      <c r="K10" s="1672">
        <f t="shared" si="0"/>
        <v>182990</v>
      </c>
      <c r="L10" s="1573">
        <v>183878</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28475</v>
      </c>
      <c r="D14" s="1573">
        <v>2718</v>
      </c>
      <c r="E14" s="1573">
        <v>0</v>
      </c>
      <c r="F14" s="1573">
        <v>1372</v>
      </c>
      <c r="G14" s="1573"/>
      <c r="H14" s="1573"/>
      <c r="I14" s="1574"/>
      <c r="J14" s="1574"/>
      <c r="K14" s="1672">
        <f t="shared" si="0"/>
        <v>32565</v>
      </c>
      <c r="L14" s="1573">
        <v>29450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2020589</v>
      </c>
      <c r="D33" s="1674">
        <f t="shared" ref="D33:L33" si="1">SUM(D5:D32)</f>
        <v>387501</v>
      </c>
      <c r="E33" s="1674">
        <f t="shared" si="1"/>
        <v>6927</v>
      </c>
      <c r="F33" s="1674">
        <f t="shared" si="1"/>
        <v>23957</v>
      </c>
      <c r="G33" s="1674">
        <f t="shared" si="1"/>
        <v>114964</v>
      </c>
      <c r="H33" s="1674">
        <f t="shared" si="1"/>
        <v>0</v>
      </c>
      <c r="I33" s="1674">
        <f t="shared" si="1"/>
        <v>0</v>
      </c>
      <c r="J33" s="1674">
        <f t="shared" si="1"/>
        <v>0</v>
      </c>
      <c r="K33" s="1674">
        <f t="shared" si="1"/>
        <v>2553938</v>
      </c>
      <c r="L33" s="1674">
        <f t="shared" si="1"/>
        <v>2628548</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37878</v>
      </c>
      <c r="D36" s="1586">
        <v>9856</v>
      </c>
      <c r="E36" s="1586">
        <v>0</v>
      </c>
      <c r="F36" s="1586">
        <v>112</v>
      </c>
      <c r="G36" s="1586"/>
      <c r="H36" s="1586"/>
      <c r="I36" s="1574"/>
      <c r="J36" s="1574"/>
      <c r="K36" s="1672">
        <f t="shared" ref="K36:K41" si="2">SUM(C36:J36)</f>
        <v>47846</v>
      </c>
      <c r="L36" s="1573">
        <v>48675</v>
      </c>
    </row>
    <row r="37" spans="1:14" x14ac:dyDescent="0.2">
      <c r="A37" s="1274" t="s">
        <v>1081</v>
      </c>
      <c r="B37" s="503">
        <v>2120</v>
      </c>
      <c r="C37" s="1573"/>
      <c r="D37" s="1573"/>
      <c r="E37" s="1573"/>
      <c r="F37" s="1573">
        <v>87</v>
      </c>
      <c r="G37" s="1573"/>
      <c r="H37" s="1573"/>
      <c r="I37" s="1574"/>
      <c r="J37" s="1574"/>
      <c r="K37" s="1672">
        <f t="shared" si="2"/>
        <v>87</v>
      </c>
      <c r="L37" s="1573">
        <v>1000</v>
      </c>
    </row>
    <row r="38" spans="1:14" x14ac:dyDescent="0.2">
      <c r="A38" s="1274" t="s">
        <v>196</v>
      </c>
      <c r="B38" s="503">
        <v>2130</v>
      </c>
      <c r="C38" s="1573">
        <v>8015</v>
      </c>
      <c r="D38" s="1573">
        <v>1240</v>
      </c>
      <c r="E38" s="1573">
        <v>11586</v>
      </c>
      <c r="F38" s="1573">
        <v>958</v>
      </c>
      <c r="G38" s="1573"/>
      <c r="H38" s="1573"/>
      <c r="I38" s="1574"/>
      <c r="J38" s="1574"/>
      <c r="K38" s="1672">
        <f t="shared" si="2"/>
        <v>21799</v>
      </c>
      <c r="L38" s="1573">
        <v>21754</v>
      </c>
    </row>
    <row r="39" spans="1:14" x14ac:dyDescent="0.2">
      <c r="A39" s="1274" t="s">
        <v>197</v>
      </c>
      <c r="B39" s="503">
        <v>2140</v>
      </c>
      <c r="C39" s="1573"/>
      <c r="D39" s="1573"/>
      <c r="E39" s="1573"/>
      <c r="F39" s="1573">
        <v>0</v>
      </c>
      <c r="G39" s="1573"/>
      <c r="H39" s="1573"/>
      <c r="I39" s="1574"/>
      <c r="J39" s="1574"/>
      <c r="K39" s="1672">
        <f t="shared" si="2"/>
        <v>0</v>
      </c>
      <c r="L39" s="1573">
        <v>43000</v>
      </c>
    </row>
    <row r="40" spans="1:14" x14ac:dyDescent="0.2">
      <c r="A40" s="1274" t="s">
        <v>198</v>
      </c>
      <c r="B40" s="503">
        <v>2150</v>
      </c>
      <c r="C40" s="1573">
        <v>58038</v>
      </c>
      <c r="D40" s="1573">
        <v>15846</v>
      </c>
      <c r="E40" s="1573">
        <v>42034</v>
      </c>
      <c r="F40" s="1573">
        <v>283</v>
      </c>
      <c r="G40" s="1573"/>
      <c r="H40" s="1573"/>
      <c r="I40" s="1574"/>
      <c r="J40" s="1574"/>
      <c r="K40" s="1672">
        <f t="shared" si="2"/>
        <v>116201</v>
      </c>
      <c r="L40" s="1573">
        <v>75065</v>
      </c>
    </row>
    <row r="41" spans="1:14" x14ac:dyDescent="0.2">
      <c r="A41" s="1274" t="s">
        <v>1650</v>
      </c>
      <c r="B41" s="503">
        <v>2190</v>
      </c>
      <c r="C41" s="1573"/>
      <c r="D41" s="1573"/>
      <c r="E41" s="1573"/>
      <c r="F41" s="1573">
        <v>2608</v>
      </c>
      <c r="G41" s="1573"/>
      <c r="H41" s="1573"/>
      <c r="I41" s="1574"/>
      <c r="J41" s="1574"/>
      <c r="K41" s="1672">
        <f t="shared" si="2"/>
        <v>2608</v>
      </c>
      <c r="L41" s="1573">
        <v>1500</v>
      </c>
    </row>
    <row r="42" spans="1:14" ht="12.75" customHeight="1" thickBot="1" x14ac:dyDescent="0.25">
      <c r="A42" s="1380" t="s">
        <v>556</v>
      </c>
      <c r="B42" s="1381" t="s">
        <v>711</v>
      </c>
      <c r="C42" s="1674">
        <f>SUM(C36:C41)</f>
        <v>103931</v>
      </c>
      <c r="D42" s="1674">
        <f t="shared" ref="D42:L42" si="3">SUM(D36:D41)</f>
        <v>26942</v>
      </c>
      <c r="E42" s="1674">
        <f t="shared" si="3"/>
        <v>53620</v>
      </c>
      <c r="F42" s="1674">
        <f t="shared" si="3"/>
        <v>4048</v>
      </c>
      <c r="G42" s="1674">
        <f t="shared" si="3"/>
        <v>0</v>
      </c>
      <c r="H42" s="1674">
        <f t="shared" si="3"/>
        <v>0</v>
      </c>
      <c r="I42" s="1674">
        <f t="shared" si="3"/>
        <v>0</v>
      </c>
      <c r="J42" s="1674">
        <f t="shared" si="3"/>
        <v>0</v>
      </c>
      <c r="K42" s="1674">
        <f t="shared" si="3"/>
        <v>188541</v>
      </c>
      <c r="L42" s="1674">
        <f t="shared" si="3"/>
        <v>190994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v>6420</v>
      </c>
      <c r="E44" s="1586">
        <v>24892</v>
      </c>
      <c r="F44" s="1586">
        <v>678</v>
      </c>
      <c r="G44" s="1586"/>
      <c r="H44" s="1586"/>
      <c r="I44" s="1574"/>
      <c r="J44" s="1574"/>
      <c r="K44" s="1678">
        <f>SUM(C44:J44)</f>
        <v>31990</v>
      </c>
      <c r="L44" s="1586">
        <v>34300</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6420</v>
      </c>
      <c r="E47" s="1674">
        <f t="shared" si="4"/>
        <v>24892</v>
      </c>
      <c r="F47" s="1674">
        <f t="shared" si="4"/>
        <v>678</v>
      </c>
      <c r="G47" s="1674">
        <f t="shared" si="4"/>
        <v>0</v>
      </c>
      <c r="H47" s="1674">
        <f t="shared" si="4"/>
        <v>0</v>
      </c>
      <c r="I47" s="1674">
        <f t="shared" si="4"/>
        <v>0</v>
      </c>
      <c r="J47" s="1674">
        <f t="shared" si="4"/>
        <v>0</v>
      </c>
      <c r="K47" s="1674">
        <f t="shared" si="4"/>
        <v>31990</v>
      </c>
      <c r="L47" s="1674">
        <f>SUM(L44:L46)</f>
        <v>34300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1257</v>
      </c>
      <c r="D49" s="1586">
        <v>74</v>
      </c>
      <c r="E49" s="1586">
        <v>15199</v>
      </c>
      <c r="F49" s="1586">
        <v>1431</v>
      </c>
      <c r="G49" s="1586"/>
      <c r="H49" s="1586">
        <v>3528</v>
      </c>
      <c r="I49" s="1574"/>
      <c r="J49" s="1574"/>
      <c r="K49" s="1678">
        <f>SUM(C49:J49)</f>
        <v>21489</v>
      </c>
      <c r="L49" s="1586">
        <v>23704</v>
      </c>
    </row>
    <row r="50" spans="1:14" x14ac:dyDescent="0.2">
      <c r="A50" s="1274" t="s">
        <v>813</v>
      </c>
      <c r="B50" s="503">
        <v>2320</v>
      </c>
      <c r="C50" s="1573">
        <v>101405</v>
      </c>
      <c r="D50" s="1573">
        <v>14873</v>
      </c>
      <c r="E50" s="1573">
        <v>3666</v>
      </c>
      <c r="F50" s="1573">
        <v>915</v>
      </c>
      <c r="G50" s="1573"/>
      <c r="H50" s="1573">
        <v>1032</v>
      </c>
      <c r="I50" s="1574"/>
      <c r="J50" s="1574"/>
      <c r="K50" s="1678">
        <f>SUM(C50:J50)</f>
        <v>121891</v>
      </c>
      <c r="L50" s="1573">
        <v>123720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102662</v>
      </c>
      <c r="D53" s="1674">
        <f t="shared" ref="D53:L53" si="5">SUM(D49:D52)</f>
        <v>14947</v>
      </c>
      <c r="E53" s="1674">
        <f t="shared" si="5"/>
        <v>18865</v>
      </c>
      <c r="F53" s="1674">
        <f t="shared" si="5"/>
        <v>2346</v>
      </c>
      <c r="G53" s="1674">
        <f t="shared" si="5"/>
        <v>0</v>
      </c>
      <c r="H53" s="1674">
        <f t="shared" si="5"/>
        <v>4560</v>
      </c>
      <c r="I53" s="1674">
        <f t="shared" si="5"/>
        <v>0</v>
      </c>
      <c r="J53" s="1674">
        <f t="shared" si="5"/>
        <v>0</v>
      </c>
      <c r="K53" s="1674">
        <f t="shared" si="5"/>
        <v>143380</v>
      </c>
      <c r="L53" s="1674">
        <f t="shared" si="5"/>
        <v>147424</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117010</v>
      </c>
      <c r="D55" s="1586">
        <v>19496</v>
      </c>
      <c r="E55" s="1586">
        <v>4408</v>
      </c>
      <c r="F55" s="1586">
        <v>10120</v>
      </c>
      <c r="G55" s="1586"/>
      <c r="H55" s="1586">
        <v>397</v>
      </c>
      <c r="I55" s="1574"/>
      <c r="J55" s="1574"/>
      <c r="K55" s="1678">
        <f>SUM(C55:J55)</f>
        <v>151431</v>
      </c>
      <c r="L55" s="1586">
        <v>157112</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117010</v>
      </c>
      <c r="D57" s="1679">
        <f t="shared" ref="D57:K57" si="6">SUM(D55:D56)</f>
        <v>19496</v>
      </c>
      <c r="E57" s="1679">
        <f t="shared" si="6"/>
        <v>4408</v>
      </c>
      <c r="F57" s="1679">
        <f t="shared" si="6"/>
        <v>10120</v>
      </c>
      <c r="G57" s="1679">
        <f t="shared" si="6"/>
        <v>0</v>
      </c>
      <c r="H57" s="1679">
        <f t="shared" si="6"/>
        <v>397</v>
      </c>
      <c r="I57" s="1679">
        <f t="shared" si="6"/>
        <v>0</v>
      </c>
      <c r="J57" s="1679">
        <f t="shared" si="6"/>
        <v>0</v>
      </c>
      <c r="K57" s="1679">
        <f t="shared" si="6"/>
        <v>151431</v>
      </c>
      <c r="L57" s="1674">
        <f>SUM(L55:L56)</f>
        <v>157112</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77655</v>
      </c>
      <c r="D60" s="1573">
        <v>16946</v>
      </c>
      <c r="E60" s="1573">
        <v>605</v>
      </c>
      <c r="F60" s="1573">
        <v>7524</v>
      </c>
      <c r="G60" s="1573"/>
      <c r="H60" s="1573">
        <v>200</v>
      </c>
      <c r="I60" s="1574"/>
      <c r="J60" s="1574"/>
      <c r="K60" s="1678">
        <f t="shared" si="7"/>
        <v>102930</v>
      </c>
      <c r="L60" s="1573">
        <v>104319</v>
      </c>
      <c r="M60" s="501"/>
      <c r="N60" s="501"/>
    </row>
    <row r="61" spans="1:14" s="321" customFormat="1" x14ac:dyDescent="0.2">
      <c r="A61" s="1274" t="s">
        <v>195</v>
      </c>
      <c r="B61" s="503">
        <v>2540</v>
      </c>
      <c r="C61" s="1573">
        <v>159511</v>
      </c>
      <c r="D61" s="1573">
        <v>23081</v>
      </c>
      <c r="E61" s="1573">
        <v>600</v>
      </c>
      <c r="F61" s="1573"/>
      <c r="G61" s="1573"/>
      <c r="H61" s="1573"/>
      <c r="I61" s="1574"/>
      <c r="J61" s="1574"/>
      <c r="K61" s="1678">
        <f t="shared" si="7"/>
        <v>183192</v>
      </c>
      <c r="L61" s="1573">
        <v>183927</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22478</v>
      </c>
      <c r="D63" s="1573">
        <v>4</v>
      </c>
      <c r="E63" s="1573">
        <v>9799</v>
      </c>
      <c r="F63" s="1573">
        <v>154</v>
      </c>
      <c r="G63" s="1573"/>
      <c r="H63" s="1573"/>
      <c r="I63" s="1574"/>
      <c r="J63" s="1574"/>
      <c r="K63" s="1678">
        <f t="shared" si="7"/>
        <v>32435</v>
      </c>
      <c r="L63" s="1573">
        <v>27605</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259644</v>
      </c>
      <c r="D65" s="1674">
        <f t="shared" ref="D65:L65" si="8">SUM(D59:D64)</f>
        <v>40031</v>
      </c>
      <c r="E65" s="1674">
        <f t="shared" si="8"/>
        <v>11004</v>
      </c>
      <c r="F65" s="1674">
        <f t="shared" si="8"/>
        <v>7678</v>
      </c>
      <c r="G65" s="1674">
        <f t="shared" si="8"/>
        <v>0</v>
      </c>
      <c r="H65" s="1674">
        <f t="shared" si="8"/>
        <v>200</v>
      </c>
      <c r="I65" s="1674">
        <f t="shared" si="8"/>
        <v>0</v>
      </c>
      <c r="J65" s="1674">
        <f t="shared" si="8"/>
        <v>0</v>
      </c>
      <c r="K65" s="1674">
        <f t="shared" si="8"/>
        <v>318557</v>
      </c>
      <c r="L65" s="1674">
        <f t="shared" si="8"/>
        <v>315851</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v>63927</v>
      </c>
      <c r="D69" s="1573">
        <v>19</v>
      </c>
      <c r="E69" s="1573">
        <v>27362</v>
      </c>
      <c r="F69" s="1573">
        <v>16716</v>
      </c>
      <c r="G69" s="1573">
        <v>8524</v>
      </c>
      <c r="H69" s="1573">
        <v>800</v>
      </c>
      <c r="I69" s="1574"/>
      <c r="J69" s="1574"/>
      <c r="K69" s="1678">
        <f>SUM(C69:J69)</f>
        <v>117348</v>
      </c>
      <c r="L69" s="1573">
        <v>119014</v>
      </c>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63927</v>
      </c>
      <c r="D72" s="1674">
        <f t="shared" ref="D72:K72" si="9">SUM(D67:D71)</f>
        <v>19</v>
      </c>
      <c r="E72" s="1674">
        <f t="shared" si="9"/>
        <v>27362</v>
      </c>
      <c r="F72" s="1674">
        <f t="shared" si="9"/>
        <v>16716</v>
      </c>
      <c r="G72" s="1674">
        <f t="shared" si="9"/>
        <v>8524</v>
      </c>
      <c r="H72" s="1674">
        <f t="shared" si="9"/>
        <v>800</v>
      </c>
      <c r="I72" s="1674">
        <f t="shared" si="9"/>
        <v>0</v>
      </c>
      <c r="J72" s="1674">
        <f t="shared" si="9"/>
        <v>0</v>
      </c>
      <c r="K72" s="1674">
        <f t="shared" si="9"/>
        <v>117348</v>
      </c>
      <c r="L72" s="1674">
        <f>SUM(L67:L71)</f>
        <v>119014</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647174</v>
      </c>
      <c r="D74" s="1681">
        <f t="shared" ref="D74:K74" si="10">SUM(D42,D47,D53,D57,D65,D72,D73)</f>
        <v>107855</v>
      </c>
      <c r="E74" s="1681">
        <f t="shared" si="10"/>
        <v>140151</v>
      </c>
      <c r="F74" s="1681">
        <f t="shared" si="10"/>
        <v>41586</v>
      </c>
      <c r="G74" s="1681">
        <f t="shared" si="10"/>
        <v>8524</v>
      </c>
      <c r="H74" s="1681">
        <f t="shared" si="10"/>
        <v>5957</v>
      </c>
      <c r="I74" s="1681">
        <f t="shared" si="10"/>
        <v>0</v>
      </c>
      <c r="J74" s="1681">
        <f t="shared" si="10"/>
        <v>0</v>
      </c>
      <c r="K74" s="1681">
        <f t="shared" si="10"/>
        <v>951247</v>
      </c>
      <c r="L74" s="1681">
        <f>SUM(L42,L47,L53,L57,L65,L72,L73)</f>
        <v>964695</v>
      </c>
    </row>
    <row r="75" spans="1:14" s="254" customFormat="1" ht="15.75" customHeight="1" thickTop="1" thickBot="1" x14ac:dyDescent="0.25">
      <c r="A75" s="1348" t="s">
        <v>47</v>
      </c>
      <c r="B75" s="1349" t="s">
        <v>571</v>
      </c>
      <c r="C75" s="1649">
        <f>10897+700</f>
        <v>11597</v>
      </c>
      <c r="D75" s="1649">
        <f>4+144</f>
        <v>148</v>
      </c>
      <c r="E75" s="1649">
        <v>3163</v>
      </c>
      <c r="F75" s="1649">
        <v>3497</v>
      </c>
      <c r="G75" s="1649"/>
      <c r="H75" s="1649"/>
      <c r="I75" s="1627"/>
      <c r="J75" s="1627"/>
      <c r="K75" s="1674">
        <f>SUM(C75:J75)</f>
        <v>18405</v>
      </c>
      <c r="L75" s="1651">
        <v>21856</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35762</v>
      </c>
      <c r="F79" s="1673"/>
      <c r="G79" s="1673"/>
      <c r="H79" s="1573"/>
      <c r="I79" s="1582"/>
      <c r="J79" s="1582"/>
      <c r="K79" s="1672">
        <f t="shared" si="11"/>
        <v>35762</v>
      </c>
      <c r="L79" s="1573">
        <v>34876</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35762</v>
      </c>
      <c r="F84" s="1673"/>
      <c r="G84" s="1673"/>
      <c r="H84" s="1674">
        <f>SUM(H78:H83)</f>
        <v>0</v>
      </c>
      <c r="I84" s="1582"/>
      <c r="J84" s="1582"/>
      <c r="K84" s="1674">
        <f>SUM(K78:K83)</f>
        <v>35762</v>
      </c>
      <c r="L84" s="1674">
        <f>SUM(L78:L83)</f>
        <v>34876</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151295</v>
      </c>
      <c r="I86" s="1582"/>
      <c r="J86" s="1582"/>
      <c r="K86" s="1681">
        <f t="shared" ref="K86:K98" si="12">H86</f>
        <v>151295</v>
      </c>
      <c r="L86" s="1626">
        <v>145000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151295</v>
      </c>
      <c r="I92" s="1582"/>
      <c r="J92" s="1582"/>
      <c r="K92" s="1681">
        <f t="shared" si="12"/>
        <v>151295</v>
      </c>
      <c r="L92" s="1674">
        <f>SUM(L85:L91)</f>
        <v>145000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35762</v>
      </c>
      <c r="F102" s="1673"/>
      <c r="G102" s="1673"/>
      <c r="H102" s="1681">
        <f>SUM(H84,H92,H100,H101)</f>
        <v>151295</v>
      </c>
      <c r="I102" s="1582"/>
      <c r="J102" s="1582"/>
      <c r="K102" s="1681">
        <f>SUM(K84,K92,K100,K101)</f>
        <v>187057</v>
      </c>
      <c r="L102" s="1681">
        <f>SUM(L84,L92,L100,L101)</f>
        <v>179876</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2679360</v>
      </c>
      <c r="D114" s="1674">
        <f t="shared" ref="D114:K114" si="13">SUM(D33,D74,D75,D102,D112,D113)</f>
        <v>495504</v>
      </c>
      <c r="E114" s="1674">
        <f t="shared" si="13"/>
        <v>186003</v>
      </c>
      <c r="F114" s="1674">
        <f t="shared" si="13"/>
        <v>69040</v>
      </c>
      <c r="G114" s="1674">
        <f t="shared" si="13"/>
        <v>123488</v>
      </c>
      <c r="H114" s="1674">
        <f>SUM(H33,H74,H75,H102,H112,H113)</f>
        <v>157252</v>
      </c>
      <c r="I114" s="1674">
        <f t="shared" si="13"/>
        <v>0</v>
      </c>
      <c r="J114" s="1674">
        <f t="shared" si="13"/>
        <v>0</v>
      </c>
      <c r="K114" s="1674">
        <f t="shared" si="13"/>
        <v>3710647</v>
      </c>
      <c r="L114" s="1674">
        <f>SUM(L33,L74,L75,L102,L112,L113)</f>
        <v>3794975</v>
      </c>
    </row>
    <row r="115" spans="1:14" ht="13.5" thickTop="1" x14ac:dyDescent="0.2">
      <c r="A115" s="2287" t="s">
        <v>989</v>
      </c>
      <c r="B115" s="2288"/>
      <c r="C115" s="1675"/>
      <c r="D115" s="1675"/>
      <c r="E115" s="1675"/>
      <c r="F115" s="1675"/>
      <c r="G115" s="1675"/>
      <c r="H115" s="1675"/>
      <c r="I115" s="1675"/>
      <c r="J115" s="1675"/>
      <c r="K115" s="1689">
        <f>'Revenues 9-14'!C268-'Expenditures 15-22'!K114</f>
        <v>-25412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v>41560</v>
      </c>
      <c r="H123" s="1573"/>
      <c r="I123" s="1574"/>
      <c r="J123" s="1574"/>
      <c r="K123" s="1674">
        <f>SUM(C123:J123)</f>
        <v>41560</v>
      </c>
      <c r="L123" s="1573">
        <v>41500</v>
      </c>
    </row>
    <row r="124" spans="1:14" ht="14.25" thickTop="1" thickBot="1" x14ac:dyDescent="0.25">
      <c r="A124" s="1274" t="s">
        <v>195</v>
      </c>
      <c r="B124" s="503">
        <v>2540</v>
      </c>
      <c r="C124" s="1573"/>
      <c r="D124" s="1573"/>
      <c r="E124" s="1573">
        <v>50800</v>
      </c>
      <c r="F124" s="1573">
        <v>91904</v>
      </c>
      <c r="G124" s="1573">
        <v>21060</v>
      </c>
      <c r="H124" s="1573"/>
      <c r="I124" s="1574"/>
      <c r="J124" s="1574"/>
      <c r="K124" s="1674">
        <f>SUM(C124:J124)</f>
        <v>163764</v>
      </c>
      <c r="L124" s="1573">
        <v>199800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50800</v>
      </c>
      <c r="F127" s="1674">
        <f t="shared" si="14"/>
        <v>91904</v>
      </c>
      <c r="G127" s="1674">
        <f t="shared" si="14"/>
        <v>62620</v>
      </c>
      <c r="H127" s="1674">
        <f t="shared" si="14"/>
        <v>0</v>
      </c>
      <c r="I127" s="1674">
        <f t="shared" si="14"/>
        <v>0</v>
      </c>
      <c r="J127" s="1674">
        <f t="shared" si="14"/>
        <v>0</v>
      </c>
      <c r="K127" s="1674">
        <f t="shared" si="14"/>
        <v>205324</v>
      </c>
      <c r="L127" s="1674">
        <f t="shared" si="14"/>
        <v>241300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50800</v>
      </c>
      <c r="F129" s="1681">
        <f t="shared" si="15"/>
        <v>91904</v>
      </c>
      <c r="G129" s="1681">
        <f t="shared" si="15"/>
        <v>62620</v>
      </c>
      <c r="H129" s="1681">
        <f t="shared" si="15"/>
        <v>0</v>
      </c>
      <c r="I129" s="1681">
        <f t="shared" si="15"/>
        <v>0</v>
      </c>
      <c r="J129" s="1681">
        <f t="shared" si="15"/>
        <v>0</v>
      </c>
      <c r="K129" s="1681">
        <f t="shared" si="15"/>
        <v>205324</v>
      </c>
      <c r="L129" s="1681">
        <f t="shared" si="15"/>
        <v>241300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7" t="s">
        <v>616</v>
      </c>
      <c r="B151" s="2259"/>
      <c r="C151" s="1674">
        <f>SUM(C129,C130,C139,C149,C150)</f>
        <v>0</v>
      </c>
      <c r="D151" s="1674">
        <f t="shared" ref="D151:K151" si="16">SUM(D129,D130,D139,D149,D150)</f>
        <v>0</v>
      </c>
      <c r="E151" s="1674">
        <f t="shared" si="16"/>
        <v>50800</v>
      </c>
      <c r="F151" s="1674">
        <f t="shared" si="16"/>
        <v>91904</v>
      </c>
      <c r="G151" s="1674">
        <f t="shared" si="16"/>
        <v>62620</v>
      </c>
      <c r="H151" s="1674">
        <f t="shared" si="16"/>
        <v>0</v>
      </c>
      <c r="I151" s="1674">
        <f t="shared" si="16"/>
        <v>0</v>
      </c>
      <c r="J151" s="1674">
        <f t="shared" si="16"/>
        <v>0</v>
      </c>
      <c r="K151" s="1674">
        <f t="shared" si="16"/>
        <v>205324</v>
      </c>
      <c r="L151" s="1674">
        <f>SUM(L129,L130,L139,L149,L150)</f>
        <v>241300</v>
      </c>
    </row>
    <row r="152" spans="1:14" ht="12.75" customHeight="1" thickTop="1" x14ac:dyDescent="0.2">
      <c r="A152" s="2280" t="s">
        <v>1168</v>
      </c>
      <c r="B152" s="2281"/>
      <c r="C152" s="1675"/>
      <c r="D152" s="1675"/>
      <c r="E152" s="1675"/>
      <c r="F152" s="1675"/>
      <c r="G152" s="1675"/>
      <c r="H152" s="1675"/>
      <c r="I152" s="1675"/>
      <c r="J152" s="1673"/>
      <c r="K152" s="1689">
        <f>'Revenues 9-14'!D268-'Expenditures 15-22'!K151</f>
        <v>139044</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7440</v>
      </c>
      <c r="I169" s="1673"/>
      <c r="J169" s="1673"/>
      <c r="K169" s="1672">
        <f>SUM(C169:H169)</f>
        <v>7440</v>
      </c>
      <c r="L169" s="1695">
        <v>7411</v>
      </c>
    </row>
    <row r="170" spans="1:14" ht="33.75" customHeight="1" x14ac:dyDescent="0.2">
      <c r="A170" s="543" t="s">
        <v>1651</v>
      </c>
      <c r="B170" s="545" t="s">
        <v>31</v>
      </c>
      <c r="C170" s="1673"/>
      <c r="D170" s="1673"/>
      <c r="E170" s="1673"/>
      <c r="F170" s="1673"/>
      <c r="G170" s="1673"/>
      <c r="H170" s="1646">
        <v>155000</v>
      </c>
      <c r="I170" s="1673"/>
      <c r="J170" s="1673"/>
      <c r="K170" s="1672">
        <f>SUM(C170:J170)</f>
        <v>155000</v>
      </c>
      <c r="L170" s="1646">
        <v>191500</v>
      </c>
    </row>
    <row r="171" spans="1:14" ht="15.75" customHeight="1" x14ac:dyDescent="0.2">
      <c r="A171" s="507" t="s">
        <v>761</v>
      </c>
      <c r="B171" s="546" t="s">
        <v>84</v>
      </c>
      <c r="C171" s="1673"/>
      <c r="D171" s="1673"/>
      <c r="E171" s="1573"/>
      <c r="F171" s="1673"/>
      <c r="G171" s="1673"/>
      <c r="H171" s="1646">
        <v>18308</v>
      </c>
      <c r="I171" s="1582"/>
      <c r="J171" s="1673"/>
      <c r="K171" s="1672">
        <f>SUM(C171:J171)</f>
        <v>18308</v>
      </c>
      <c r="L171" s="1646"/>
    </row>
    <row r="172" spans="1:14" ht="12.75" customHeight="1" thickBot="1" x14ac:dyDescent="0.25">
      <c r="A172" s="1380" t="s">
        <v>633</v>
      </c>
      <c r="B172" s="1381" t="s">
        <v>489</v>
      </c>
      <c r="C172" s="1673"/>
      <c r="D172" s="1673"/>
      <c r="E172" s="1681">
        <f>SUM(E168,E169,E170,E171)</f>
        <v>0</v>
      </c>
      <c r="F172" s="1673"/>
      <c r="G172" s="1673"/>
      <c r="H172" s="1681">
        <f>SUM(H168,H169,H170,H171)</f>
        <v>180748</v>
      </c>
      <c r="I172" s="1684"/>
      <c r="J172" s="1673"/>
      <c r="K172" s="1681">
        <f>SUM(K168,K169,K170,K171)</f>
        <v>180748</v>
      </c>
      <c r="L172" s="1681">
        <f>SUM(L168,L169,L170,L171)</f>
        <v>198911</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180748</v>
      </c>
      <c r="I174" s="1684"/>
      <c r="J174" s="1673"/>
      <c r="K174" s="1681">
        <f>SUM(K160,K172,K173)</f>
        <v>180748</v>
      </c>
      <c r="L174" s="1681">
        <f>SUM(L160,L172,L173)</f>
        <v>198911</v>
      </c>
    </row>
    <row r="175" spans="1:14" ht="13.5" thickTop="1" x14ac:dyDescent="0.2">
      <c r="A175" s="2287" t="s">
        <v>989</v>
      </c>
      <c r="B175" s="2288"/>
      <c r="C175" s="1673"/>
      <c r="D175" s="1673"/>
      <c r="E175" s="1673"/>
      <c r="F175" s="1673"/>
      <c r="G175" s="1673"/>
      <c r="H175" s="1675"/>
      <c r="I175" s="1673"/>
      <c r="J175" s="1673"/>
      <c r="K175" s="1689">
        <f>'Revenues 9-14'!E268-'Expenditures 15-22'!K174</f>
        <v>-18697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57435</v>
      </c>
      <c r="D182" s="1573">
        <v>0</v>
      </c>
      <c r="E182" s="1573">
        <v>49296</v>
      </c>
      <c r="F182" s="1573">
        <v>19094</v>
      </c>
      <c r="G182" s="1573">
        <v>1113</v>
      </c>
      <c r="H182" s="1573"/>
      <c r="I182" s="1574"/>
      <c r="J182" s="1574"/>
      <c r="K182" s="1672">
        <f>SUM(C182:J182)</f>
        <v>126938</v>
      </c>
      <c r="L182" s="1573">
        <v>151000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57435</v>
      </c>
      <c r="D184" s="1681">
        <f t="shared" ref="D184:J184" si="17">SUM(D180,D182,D183)</f>
        <v>0</v>
      </c>
      <c r="E184" s="1681">
        <f t="shared" si="17"/>
        <v>49296</v>
      </c>
      <c r="F184" s="1681">
        <f t="shared" si="17"/>
        <v>19094</v>
      </c>
      <c r="G184" s="1681">
        <f t="shared" si="17"/>
        <v>1113</v>
      </c>
      <c r="H184" s="1681">
        <f t="shared" si="17"/>
        <v>0</v>
      </c>
      <c r="I184" s="1681">
        <f t="shared" si="17"/>
        <v>0</v>
      </c>
      <c r="J184" s="1681">
        <f t="shared" si="17"/>
        <v>0</v>
      </c>
      <c r="K184" s="1681">
        <f>SUM(K180,K182,K183)</f>
        <v>126938</v>
      </c>
      <c r="L184" s="1681">
        <f>SUM(L180, L182:L183)</f>
        <v>151000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57435</v>
      </c>
      <c r="D210" s="1674">
        <f>SUM(D184,D185)</f>
        <v>0</v>
      </c>
      <c r="E210" s="1674">
        <f>SUM(E184,E185,E196)</f>
        <v>49296</v>
      </c>
      <c r="F210" s="1674">
        <f>SUM(F184,F185)</f>
        <v>19094</v>
      </c>
      <c r="G210" s="1674">
        <f>SUM(G184,G185)</f>
        <v>1113</v>
      </c>
      <c r="H210" s="1674">
        <f>SUM(H184,H185,H196,H208,H209)</f>
        <v>0</v>
      </c>
      <c r="I210" s="1674">
        <f>SUM(I184,I185)</f>
        <v>0</v>
      </c>
      <c r="J210" s="1674">
        <f>SUM(J184,J185)</f>
        <v>0</v>
      </c>
      <c r="K210" s="1672">
        <f>SUM(K184,K185,K196,K208,K209)</f>
        <v>126938</v>
      </c>
      <c r="L210" s="1674">
        <f>SUM(L184,L185,L196,L208,L209)</f>
        <v>151000</v>
      </c>
    </row>
    <row r="211" spans="1:14" ht="13.5" thickTop="1" x14ac:dyDescent="0.2">
      <c r="A211" s="2287" t="s">
        <v>989</v>
      </c>
      <c r="B211" s="2288"/>
      <c r="C211" s="1675"/>
      <c r="D211" s="1675"/>
      <c r="E211" s="1675"/>
      <c r="F211" s="1675"/>
      <c r="G211" s="1675"/>
      <c r="H211" s="1675"/>
      <c r="I211" s="1673"/>
      <c r="J211" s="1673"/>
      <c r="K211" s="1689">
        <f>'Revenues 9-14'!F268-'Expenditures 15-22'!K210</f>
        <v>48711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959</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21929</v>
      </c>
      <c r="E215" s="1673"/>
      <c r="F215" s="1673"/>
      <c r="G215" s="1673"/>
      <c r="H215" s="1673"/>
      <c r="I215" s="1673"/>
      <c r="J215" s="1673"/>
      <c r="K215" s="1672">
        <f>D215</f>
        <v>21929</v>
      </c>
      <c r="L215" s="1573">
        <v>24000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19120</v>
      </c>
      <c r="E217" s="1673"/>
      <c r="F217" s="1673"/>
      <c r="G217" s="1673"/>
      <c r="H217" s="1673"/>
      <c r="I217" s="1673"/>
      <c r="J217" s="1673"/>
      <c r="K217" s="1672">
        <f t="shared" si="19"/>
        <v>19120</v>
      </c>
      <c r="L217" s="1573">
        <v>21000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f>3085+892</f>
        <v>3977</v>
      </c>
      <c r="E219" s="1673"/>
      <c r="F219" s="1673"/>
      <c r="G219" s="1673"/>
      <c r="H219" s="1673"/>
      <c r="I219" s="1673"/>
      <c r="J219" s="1673"/>
      <c r="K219" s="1672">
        <f t="shared" si="19"/>
        <v>3977</v>
      </c>
      <c r="L219" s="1573">
        <v>5600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f>1049+281</f>
        <v>1330</v>
      </c>
      <c r="E223" s="1673"/>
      <c r="F223" s="1673"/>
      <c r="G223" s="1673"/>
      <c r="H223" s="1673"/>
      <c r="I223" s="1673"/>
      <c r="J223" s="1673"/>
      <c r="K223" s="1672">
        <f t="shared" si="19"/>
        <v>1330</v>
      </c>
      <c r="L223" s="1573">
        <v>1900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46356</v>
      </c>
      <c r="E229" s="1673"/>
      <c r="F229" s="1673"/>
      <c r="G229" s="1673"/>
      <c r="H229" s="1673"/>
      <c r="I229" s="1673"/>
      <c r="J229" s="1673"/>
      <c r="K229" s="1674">
        <f>SUM(K215:K228)</f>
        <v>46356</v>
      </c>
      <c r="L229" s="1674">
        <f>SUM(L215:L228)</f>
        <v>52500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532</v>
      </c>
      <c r="E232" s="1673"/>
      <c r="F232" s="1673"/>
      <c r="G232" s="1673"/>
      <c r="H232" s="1673"/>
      <c r="I232" s="1673"/>
      <c r="J232" s="1673"/>
      <c r="K232" s="1672">
        <f t="shared" ref="K232:K237" si="20">D232</f>
        <v>532</v>
      </c>
      <c r="L232" s="1573">
        <v>600</v>
      </c>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384</v>
      </c>
      <c r="E234" s="1673"/>
      <c r="F234" s="1673"/>
      <c r="G234" s="1673"/>
      <c r="H234" s="1673"/>
      <c r="I234" s="1673"/>
      <c r="J234" s="1673"/>
      <c r="K234" s="1672">
        <f t="shared" si="20"/>
        <v>384</v>
      </c>
      <c r="L234" s="1573">
        <v>1550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618</v>
      </c>
      <c r="E236" s="1673"/>
      <c r="F236" s="1673"/>
      <c r="G236" s="1673"/>
      <c r="H236" s="1673"/>
      <c r="I236" s="1673"/>
      <c r="J236" s="1673"/>
      <c r="K236" s="1672">
        <f t="shared" si="20"/>
        <v>618</v>
      </c>
      <c r="L236" s="1573">
        <v>600</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1534</v>
      </c>
      <c r="E238" s="1673"/>
      <c r="F238" s="1673"/>
      <c r="G238" s="1673"/>
      <c r="H238" s="1673"/>
      <c r="I238" s="1673"/>
      <c r="J238" s="1673"/>
      <c r="K238" s="1674">
        <f>SUM(K232:K237)</f>
        <v>1534</v>
      </c>
      <c r="L238" s="1674">
        <f>SUM(L232:L237)</f>
        <v>2750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f>671+93+107-670</f>
        <v>201</v>
      </c>
      <c r="E245" s="1673"/>
      <c r="F245" s="1673"/>
      <c r="G245" s="1673"/>
      <c r="H245" s="1673"/>
      <c r="I245" s="1673"/>
      <c r="J245" s="1673"/>
      <c r="K245" s="1678">
        <f>D245</f>
        <v>201</v>
      </c>
      <c r="L245" s="1586">
        <v>270</v>
      </c>
    </row>
    <row r="246" spans="1:12" x14ac:dyDescent="0.2">
      <c r="A246" s="1274" t="s">
        <v>813</v>
      </c>
      <c r="B246" s="503">
        <v>2320</v>
      </c>
      <c r="C246" s="1673"/>
      <c r="D246" s="1573">
        <v>1392</v>
      </c>
      <c r="E246" s="1673"/>
      <c r="F246" s="1673"/>
      <c r="G246" s="1673"/>
      <c r="H246" s="1673"/>
      <c r="I246" s="1673"/>
      <c r="J246" s="1673"/>
      <c r="K246" s="1678">
        <f t="shared" ref="K246:K256" si="21">D246</f>
        <v>1392</v>
      </c>
      <c r="L246" s="1573">
        <v>1600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f>9835+9018+671</f>
        <v>19524</v>
      </c>
      <c r="E254" s="1673"/>
      <c r="F254" s="1673"/>
      <c r="G254" s="1673"/>
      <c r="H254" s="1673"/>
      <c r="I254" s="1673"/>
      <c r="J254" s="1673"/>
      <c r="K254" s="1678">
        <f t="shared" si="21"/>
        <v>19524</v>
      </c>
      <c r="L254" s="1573">
        <v>22400</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21117</v>
      </c>
      <c r="E257" s="1673"/>
      <c r="F257" s="1673"/>
      <c r="G257" s="1673"/>
      <c r="H257" s="1673"/>
      <c r="I257" s="1673"/>
      <c r="J257" s="1673"/>
      <c r="K257" s="1674">
        <f>SUM(K245:K256)</f>
        <v>21117</v>
      </c>
      <c r="L257" s="1674">
        <f>SUM(L245:L256)</f>
        <v>24270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9239</v>
      </c>
      <c r="E259" s="1673"/>
      <c r="F259" s="1673"/>
      <c r="G259" s="1673"/>
      <c r="H259" s="1673"/>
      <c r="I259" s="1673"/>
      <c r="J259" s="1673"/>
      <c r="K259" s="1678">
        <f>D259</f>
        <v>9239</v>
      </c>
      <c r="L259" s="1586">
        <v>17500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9239</v>
      </c>
      <c r="E261" s="1673"/>
      <c r="F261" s="1673"/>
      <c r="G261" s="1673"/>
      <c r="H261" s="1673"/>
      <c r="I261" s="1673"/>
      <c r="J261" s="1673"/>
      <c r="K261" s="1674">
        <f>SUM(K259:K260)</f>
        <v>9239</v>
      </c>
      <c r="L261" s="1674">
        <f>SUM(L259:L260)</f>
        <v>17500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f>5234+6613+1</f>
        <v>11848</v>
      </c>
      <c r="E264" s="1673"/>
      <c r="F264" s="1673"/>
      <c r="G264" s="1673"/>
      <c r="H264" s="1673"/>
      <c r="I264" s="1673"/>
      <c r="J264" s="1673"/>
      <c r="K264" s="1678">
        <f t="shared" ref="K264:K269" si="22">D264</f>
        <v>11848</v>
      </c>
      <c r="L264" s="1573">
        <v>12000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f>12103+12331</f>
        <v>24434</v>
      </c>
      <c r="E266" s="1673"/>
      <c r="F266" s="1673"/>
      <c r="G266" s="1673"/>
      <c r="H266" s="1673"/>
      <c r="I266" s="1673"/>
      <c r="J266" s="1673"/>
      <c r="K266" s="1678">
        <f t="shared" si="22"/>
        <v>24434</v>
      </c>
      <c r="L266" s="1573">
        <v>26500</v>
      </c>
    </row>
    <row r="267" spans="1:14" x14ac:dyDescent="0.2">
      <c r="A267" s="1274" t="s">
        <v>947</v>
      </c>
      <c r="B267" s="503">
        <v>2550</v>
      </c>
      <c r="C267" s="1673"/>
      <c r="D267" s="1573">
        <f>4337+4168</f>
        <v>8505</v>
      </c>
      <c r="E267" s="1673"/>
      <c r="F267" s="1673"/>
      <c r="G267" s="1673"/>
      <c r="H267" s="1673"/>
      <c r="I267" s="1673"/>
      <c r="J267" s="1673"/>
      <c r="K267" s="1678">
        <f t="shared" si="22"/>
        <v>8505</v>
      </c>
      <c r="L267" s="1573">
        <v>10800</v>
      </c>
    </row>
    <row r="268" spans="1:14" x14ac:dyDescent="0.2">
      <c r="A268" s="1274" t="s">
        <v>100</v>
      </c>
      <c r="B268" s="503">
        <v>2560</v>
      </c>
      <c r="C268" s="1673"/>
      <c r="D268" s="1573">
        <f>1731+1601</f>
        <v>3332</v>
      </c>
      <c r="E268" s="1673"/>
      <c r="F268" s="1673"/>
      <c r="G268" s="1673"/>
      <c r="H268" s="1673"/>
      <c r="I268" s="1673"/>
      <c r="J268" s="1673"/>
      <c r="K268" s="1678">
        <f t="shared" si="22"/>
        <v>3332</v>
      </c>
      <c r="L268" s="1573">
        <v>4750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48119</v>
      </c>
      <c r="E270" s="1673"/>
      <c r="F270" s="1673"/>
      <c r="G270" s="1673"/>
      <c r="H270" s="1673"/>
      <c r="I270" s="1673"/>
      <c r="J270" s="1673"/>
      <c r="K270" s="1674">
        <f>SUM(K263:K269)</f>
        <v>48119</v>
      </c>
      <c r="L270" s="1674">
        <f>SUM(L263:L269)</f>
        <v>54050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v>10332</v>
      </c>
      <c r="E274" s="1673"/>
      <c r="F274" s="1673"/>
      <c r="G274" s="1673"/>
      <c r="H274" s="1673"/>
      <c r="I274" s="1673"/>
      <c r="J274" s="1673"/>
      <c r="K274" s="1678">
        <f>D274</f>
        <v>10332</v>
      </c>
      <c r="L274" s="1573">
        <v>10250</v>
      </c>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10332</v>
      </c>
      <c r="E277" s="1673"/>
      <c r="F277" s="1673"/>
      <c r="G277" s="1673"/>
      <c r="H277" s="1673"/>
      <c r="I277" s="1673"/>
      <c r="J277" s="1673"/>
      <c r="K277" s="1674">
        <f>SUM(K272:K276)</f>
        <v>10332</v>
      </c>
      <c r="L277" s="1674">
        <f>SUM(L272:L276)</f>
        <v>10250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90341</v>
      </c>
      <c r="E279" s="1673"/>
      <c r="F279" s="1673"/>
      <c r="G279" s="1673"/>
      <c r="H279" s="1673"/>
      <c r="I279" s="1673"/>
      <c r="J279" s="1673"/>
      <c r="K279" s="1681">
        <f>SUM(K238,K243,K257,K261,K270,K277,K278)</f>
        <v>90341</v>
      </c>
      <c r="L279" s="1681">
        <f>SUM(L238,L243,L257,L261,L270,L277,L278)</f>
        <v>108820</v>
      </c>
    </row>
    <row r="280" spans="1:12" ht="15.75" customHeight="1" thickTop="1" thickBot="1" x14ac:dyDescent="0.25">
      <c r="A280" s="1362" t="s">
        <v>870</v>
      </c>
      <c r="B280" s="1351">
        <v>3000</v>
      </c>
      <c r="C280" s="1673"/>
      <c r="D280" s="1651">
        <v>1192</v>
      </c>
      <c r="E280" s="1673"/>
      <c r="F280" s="1673"/>
      <c r="G280" s="1673"/>
      <c r="H280" s="1673"/>
      <c r="I280" s="1673"/>
      <c r="J280" s="1673"/>
      <c r="K280" s="1687">
        <f>D280</f>
        <v>1192</v>
      </c>
      <c r="L280" s="1651">
        <v>2800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v>160</v>
      </c>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160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8" t="s">
        <v>502</v>
      </c>
      <c r="B295" s="2279"/>
      <c r="C295" s="1673"/>
      <c r="D295" s="1674">
        <f>SUM(D229,D279,D280,D285)</f>
        <v>137889</v>
      </c>
      <c r="E295" s="1673"/>
      <c r="F295" s="1673"/>
      <c r="G295" s="1673"/>
      <c r="H295" s="1674">
        <f>H293</f>
        <v>0</v>
      </c>
      <c r="I295" s="1673"/>
      <c r="J295" s="1673"/>
      <c r="K295" s="1674">
        <f>SUM(K229,K279,K280,K285,K293,K294)</f>
        <v>137889</v>
      </c>
      <c r="L295" s="1674">
        <f>SUM(L229,L279,L280,L285,L293,L294)</f>
        <v>164280</v>
      </c>
    </row>
    <row r="296" spans="1:14" ht="13.5" thickTop="1" x14ac:dyDescent="0.2">
      <c r="A296" s="2287" t="s">
        <v>989</v>
      </c>
      <c r="B296" s="2288"/>
      <c r="C296" s="1673"/>
      <c r="D296" s="1675"/>
      <c r="E296" s="1673"/>
      <c r="F296" s="1673"/>
      <c r="G296" s="1673"/>
      <c r="H296" s="1707"/>
      <c r="I296" s="1673"/>
      <c r="J296" s="1673"/>
      <c r="K296" s="1689">
        <f>'Revenues 9-14'!G268-'Expenditures 15-22'!K295</f>
        <v>45605</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377851</v>
      </c>
      <c r="F301" s="1573"/>
      <c r="G301" s="1573">
        <v>494685</v>
      </c>
      <c r="H301" s="1573"/>
      <c r="I301" s="1574"/>
      <c r="J301" s="1574"/>
      <c r="K301" s="1672">
        <f>SUM(C301:J301)</f>
        <v>872536</v>
      </c>
      <c r="L301" s="1574">
        <v>2675000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377851</v>
      </c>
      <c r="F303" s="1681">
        <f t="shared" si="23"/>
        <v>0</v>
      </c>
      <c r="G303" s="1681">
        <f t="shared" si="23"/>
        <v>494685</v>
      </c>
      <c r="H303" s="1681">
        <f t="shared" si="23"/>
        <v>0</v>
      </c>
      <c r="I303" s="1681">
        <f t="shared" si="23"/>
        <v>0</v>
      </c>
      <c r="J303" s="1681">
        <f t="shared" si="23"/>
        <v>0</v>
      </c>
      <c r="K303" s="1681">
        <f t="shared" si="23"/>
        <v>872536</v>
      </c>
      <c r="L303" s="1681">
        <f t="shared" si="23"/>
        <v>2675000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5" t="s">
        <v>275</v>
      </c>
      <c r="B312" s="2276"/>
      <c r="C312" s="1674">
        <f>SUM(C303)</f>
        <v>0</v>
      </c>
      <c r="D312" s="1674">
        <f>SUM(D303)</f>
        <v>0</v>
      </c>
      <c r="E312" s="1674">
        <f>SUM(E303,E310)</f>
        <v>377851</v>
      </c>
      <c r="F312" s="1674">
        <f>SUM(F303)</f>
        <v>0</v>
      </c>
      <c r="G312" s="1674">
        <f>SUM(G303)</f>
        <v>494685</v>
      </c>
      <c r="H312" s="1674">
        <f>SUM(H303,H310)</f>
        <v>0</v>
      </c>
      <c r="I312" s="1674">
        <f>SUM(I303)</f>
        <v>0</v>
      </c>
      <c r="J312" s="1674">
        <f>SUM(J303)</f>
        <v>0</v>
      </c>
      <c r="K312" s="1674">
        <f>SUM(K303,K310,K311)</f>
        <v>872536</v>
      </c>
      <c r="L312" s="1674">
        <f>SUM(L303,L310,L311)</f>
        <v>2675000</v>
      </c>
      <c r="M312" s="539"/>
      <c r="N312" s="539"/>
    </row>
    <row r="313" spans="1:14" ht="13.5" thickTop="1" x14ac:dyDescent="0.2">
      <c r="A313" s="2271" t="s">
        <v>989</v>
      </c>
      <c r="B313" s="2272"/>
      <c r="C313" s="1677"/>
      <c r="D313" s="1677"/>
      <c r="E313" s="1677"/>
      <c r="F313" s="1677"/>
      <c r="G313" s="1677"/>
      <c r="H313" s="1677"/>
      <c r="I313" s="1677"/>
      <c r="J313" s="1677"/>
      <c r="K313" s="1696">
        <f>'Revenues 9-14'!H268-'Expenditures 15-22'!K312</f>
        <v>-861628</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892</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24062</v>
      </c>
      <c r="F320" s="1574"/>
      <c r="G320" s="1574"/>
      <c r="H320" s="1574"/>
      <c r="I320" s="1574"/>
      <c r="J320" s="1574"/>
      <c r="K320" s="1672">
        <f t="shared" ref="K320:K327" si="24">SUM(C320:J320)</f>
        <v>24062</v>
      </c>
      <c r="L320" s="1574">
        <v>25000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v>18695</v>
      </c>
      <c r="F323" s="1574">
        <v>752</v>
      </c>
      <c r="G323" s="1574"/>
      <c r="H323" s="1574"/>
      <c r="I323" s="1574"/>
      <c r="J323" s="1574"/>
      <c r="K323" s="1672">
        <f t="shared" si="24"/>
        <v>19447</v>
      </c>
      <c r="L323" s="1574">
        <v>18600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267757</v>
      </c>
      <c r="D325" s="1574">
        <v>37395</v>
      </c>
      <c r="E325" s="1574">
        <v>4684</v>
      </c>
      <c r="F325" s="1574">
        <v>584</v>
      </c>
      <c r="G325" s="1574"/>
      <c r="H325" s="1574"/>
      <c r="I325" s="1574"/>
      <c r="J325" s="1574"/>
      <c r="K325" s="1672">
        <f t="shared" si="24"/>
        <v>310420</v>
      </c>
      <c r="L325" s="1574">
        <v>309500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18458</v>
      </c>
      <c r="F327" s="1574"/>
      <c r="G327" s="1574"/>
      <c r="H327" s="1574"/>
      <c r="I327" s="1574"/>
      <c r="J327" s="1574"/>
      <c r="K327" s="1672">
        <f t="shared" si="24"/>
        <v>18458</v>
      </c>
      <c r="L327" s="1574">
        <v>17000</v>
      </c>
      <c r="M327" s="539"/>
      <c r="N327" s="539"/>
    </row>
    <row r="328" spans="1:14" s="548" customFormat="1" x14ac:dyDescent="0.2">
      <c r="A328" s="1290" t="s">
        <v>469</v>
      </c>
      <c r="B328" s="562" t="s">
        <v>1122</v>
      </c>
      <c r="C328" s="1579"/>
      <c r="D328" s="1579"/>
      <c r="E328" s="1579">
        <v>25882</v>
      </c>
      <c r="F328" s="1579"/>
      <c r="G328" s="1579"/>
      <c r="H328" s="1579"/>
      <c r="I328" s="1579"/>
      <c r="J328" s="1579"/>
      <c r="K328" s="1713">
        <f>SUM(C328:J328)</f>
        <v>25882</v>
      </c>
      <c r="L328" s="1579">
        <v>26000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267757</v>
      </c>
      <c r="D330" s="1674">
        <f t="shared" ref="D330:J330" si="25">SUM(D319:D329)</f>
        <v>37395</v>
      </c>
      <c r="E330" s="1674">
        <f t="shared" si="25"/>
        <v>91781</v>
      </c>
      <c r="F330" s="1674">
        <f t="shared" si="25"/>
        <v>1336</v>
      </c>
      <c r="G330" s="1674">
        <f t="shared" si="25"/>
        <v>0</v>
      </c>
      <c r="H330" s="1674">
        <f t="shared" si="25"/>
        <v>0</v>
      </c>
      <c r="I330" s="1674">
        <f t="shared" si="25"/>
        <v>0</v>
      </c>
      <c r="J330" s="1674">
        <f t="shared" si="25"/>
        <v>0</v>
      </c>
      <c r="K330" s="1674">
        <f>SUM(K319:K329)</f>
        <v>398269</v>
      </c>
      <c r="L330" s="1674">
        <f>SUM(L319:L329)</f>
        <v>396100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267757</v>
      </c>
      <c r="D342" s="1674">
        <f>SUM(D330)</f>
        <v>37395</v>
      </c>
      <c r="E342" s="1674">
        <f>SUM(E330)</f>
        <v>91781</v>
      </c>
      <c r="F342" s="1674">
        <f>SUM(F330)</f>
        <v>1336</v>
      </c>
      <c r="G342" s="1674">
        <f>SUM(G330)</f>
        <v>0</v>
      </c>
      <c r="H342" s="1674">
        <f>SUM(H330,H334,H340)</f>
        <v>0</v>
      </c>
      <c r="I342" s="1674">
        <f>SUM(I330)</f>
        <v>0</v>
      </c>
      <c r="J342" s="1674">
        <f>SUM(J330)</f>
        <v>0</v>
      </c>
      <c r="K342" s="1674">
        <f>SUM(K330,K334,K340)</f>
        <v>398269</v>
      </c>
      <c r="L342" s="1681">
        <f>SUM(L330,L334,L340,L341)</f>
        <v>396100</v>
      </c>
    </row>
    <row r="343" spans="1:14" ht="12.75" customHeight="1" thickTop="1" x14ac:dyDescent="0.2">
      <c r="A343" s="2273" t="s">
        <v>989</v>
      </c>
      <c r="B343" s="2274"/>
      <c r="C343" s="1673"/>
      <c r="D343" s="1673"/>
      <c r="E343" s="1673"/>
      <c r="F343" s="1673"/>
      <c r="G343" s="1673"/>
      <c r="H343" s="1673"/>
      <c r="I343" s="1673"/>
      <c r="J343" s="1673"/>
      <c r="K343" s="1689">
        <f>'Revenues 9-14'!J268-'Expenditures 15-22'!K342</f>
        <v>1592</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7" t="s">
        <v>989</v>
      </c>
      <c r="B368" s="2288"/>
      <c r="C368" s="1694"/>
      <c r="D368" s="1694"/>
      <c r="E368" s="1677"/>
      <c r="F368" s="1677"/>
      <c r="G368" s="1677"/>
      <c r="H368" s="1677"/>
      <c r="I368" s="1677"/>
      <c r="J368" s="1676"/>
      <c r="K368" s="1672">
        <f>'Revenues 9-14'!K268-'Expenditures 15-22'!K367</f>
        <v>50079</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56"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purl.org/dc/elements/1.1/"/>
    <ds:schemaRef ds:uri="http://schemas.microsoft.com/sharepoint/v3"/>
    <ds:schemaRef ds:uri="http://schemas.microsoft.com/office/2006/metadata/properties"/>
    <ds:schemaRef ds:uri="http://schemas.openxmlformats.org/package/2006/metadata/core-properties"/>
    <ds:schemaRef ds:uri="http://schemas.microsoft.com/office/2006/documentManagement/types"/>
    <ds:schemaRef ds:uri="http://schemas.microsoft.com/office/infopath/2007/PartnerControls"/>
    <ds:schemaRef ds:uri="http://purl.org/dc/dcmitype/"/>
    <ds:schemaRef ds:uri="4d435f69-8686-490b-bd6d-b153bf22ab50"/>
    <ds:schemaRef ds:uri="d21dc803-237d-4c68-8692-8d731fd29118"/>
    <ds:schemaRef ds:uri="6ce3111e-7420-4802-b50a-75d4e9a0b98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'ICR Computation 30'!Print_Area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2020-10-29T18:53:28Z</cp:lastPrinted>
  <dcterms:created xsi:type="dcterms:W3CDTF">2003-10-29T19:06:34Z</dcterms:created>
  <dcterms:modified xsi:type="dcterms:W3CDTF">2020-11-02T00:14:59Z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