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4477A9D-2398-4414-BB56-65BBBC23199B}" xr6:coauthVersionLast="36" xr6:coauthVersionMax="36" xr10:uidLastSave="{00000000-0000-0000-0000-000000000000}"/>
  <bookViews>
    <workbookView xWindow="-120" yWindow="-120" windowWidth="29040" windowHeight="15840" tabRatio="959"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5">#REF!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5">#REF!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5">#REF!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5">#REF!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5">#REF!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G63" i="184"/>
  <c r="M20" i="3" l="1"/>
  <c r="I12" i="11"/>
  <c r="D12" i="11" l="1"/>
  <c r="G55" i="29" l="1"/>
  <c r="I5" i="29"/>
  <c r="G5" i="29"/>
  <c r="E5" i="29"/>
  <c r="H170" i="29" l="1"/>
  <c r="N21" i="3"/>
  <c r="D215" i="29" l="1"/>
  <c r="C4" i="3"/>
  <c r="E79" i="29"/>
  <c r="F44" i="29"/>
  <c r="F5" i="29"/>
  <c r="D5" i="29"/>
  <c r="C5" i="29"/>
  <c r="C128" i="5"/>
  <c r="C88" i="5"/>
  <c r="C84" i="5"/>
  <c r="C79" i="5"/>
  <c r="K39" i="3"/>
  <c r="J39" i="3"/>
  <c r="I39" i="3"/>
  <c r="H39" i="3"/>
  <c r="G39" i="3"/>
  <c r="F39" i="3"/>
  <c r="E39" i="3"/>
  <c r="D39" i="3"/>
  <c r="E10" i="108" l="1"/>
  <c r="D18" i="183"/>
  <c r="L33" i="3"/>
  <c r="M18" i="3"/>
  <c r="M17" i="3"/>
  <c r="M16" i="3"/>
  <c r="H14" i="12"/>
  <c r="H5" i="12"/>
  <c r="J33" i="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0" i="183" l="1"/>
  <c r="F29" i="183"/>
  <c r="F28" i="183"/>
  <c r="F27" i="183"/>
  <c r="F26" i="183"/>
  <c r="F25" i="183"/>
  <c r="F24" i="183"/>
  <c r="F23" i="183"/>
  <c r="F22" i="183"/>
  <c r="F21" i="183"/>
  <c r="F20" i="183"/>
  <c r="F19"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c r="B11" i="7" l="1"/>
  <c r="D7836" i="106" l="1"/>
  <c r="J88" i="28" l="1"/>
  <c r="J85" i="28"/>
  <c r="J90" i="28" l="1"/>
  <c r="B7819" i="106"/>
  <c r="D7819" i="106" s="1"/>
  <c r="B7818" i="106"/>
  <c r="D7818" i="106" s="1"/>
  <c r="D31" i="183" l="1"/>
  <c r="A15" i="183"/>
  <c r="D82" i="36" l="1"/>
  <c r="F31" i="183"/>
  <c r="E3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B2029" i="106" l="1"/>
  <c r="D2029" i="106" s="1"/>
  <c r="M19" i="3"/>
  <c r="F67" i="34"/>
  <c r="B91" i="106"/>
  <c r="D91" i="106" s="1"/>
  <c r="C39" i="3"/>
  <c r="C41" i="3" s="1"/>
  <c r="B6995" i="106"/>
  <c r="D6995" i="106" s="1"/>
  <c r="H76" i="4"/>
  <c r="B3298" i="106" s="1"/>
  <c r="D3298" i="106" s="1"/>
  <c r="H28" i="118"/>
  <c r="D36" i="108"/>
  <c r="F70" i="34"/>
  <c r="B6289" i="106"/>
  <c r="D6289" i="106" s="1"/>
  <c r="H365" i="29"/>
  <c r="B7242" i="106" s="1"/>
  <c r="D7242" i="106" s="1"/>
  <c r="B7162" i="106"/>
  <c r="D7162" i="106" s="1"/>
  <c r="E61" i="184"/>
  <c r="N61" i="184" s="1"/>
  <c r="F34" i="34"/>
  <c r="B7826" i="106" s="1"/>
  <c r="D7826" i="106" s="1"/>
  <c r="B7189" i="106"/>
  <c r="D7189" i="106" s="1"/>
  <c r="E64" i="184"/>
  <c r="N64" i="184" s="1"/>
  <c r="D31" i="108"/>
  <c r="E16" i="184"/>
  <c r="H16" i="184" s="1"/>
  <c r="B7198" i="106"/>
  <c r="D7198" i="106" s="1"/>
  <c r="E65" i="184"/>
  <c r="N65" i="184" s="1"/>
  <c r="B7126" i="106"/>
  <c r="D7126" i="106" s="1"/>
  <c r="E57" i="184"/>
  <c r="G30" i="108"/>
  <c r="D68" i="36"/>
  <c r="B7153" i="106"/>
  <c r="D7153" i="106" s="1"/>
  <c r="E60" i="184"/>
  <c r="N60" i="184" s="1"/>
  <c r="H33" i="118"/>
  <c r="H12" i="184"/>
  <c r="F71" i="34"/>
  <c r="F42" i="34"/>
  <c r="B7705" i="106"/>
  <c r="D7705" i="106" s="1"/>
  <c r="E67" i="184"/>
  <c r="N67" i="184" s="1"/>
  <c r="B7180" i="106"/>
  <c r="D7180" i="106" s="1"/>
  <c r="E63" i="184"/>
  <c r="N63" i="184" s="1"/>
  <c r="B7076" i="106"/>
  <c r="D7076" i="106" s="1"/>
  <c r="J210" i="29"/>
  <c r="B7072" i="106" s="1"/>
  <c r="D7072" i="106" s="1"/>
  <c r="F77" i="4"/>
  <c r="B3255" i="106" s="1"/>
  <c r="D3255" i="106" s="1"/>
  <c r="B2836" i="106"/>
  <c r="D2836" i="106" s="1"/>
  <c r="G33" i="108"/>
  <c r="E17" i="184"/>
  <c r="H17" i="184" s="1"/>
  <c r="D24" i="37"/>
  <c r="B4270" i="106" s="1"/>
  <c r="D4270" i="106" s="1"/>
  <c r="G39" i="108"/>
  <c r="F36" i="108"/>
  <c r="H342" i="29"/>
  <c r="B7221" i="106" s="1"/>
  <c r="D7221" i="106" s="1"/>
  <c r="B7696" i="106"/>
  <c r="D7696" i="106" s="1"/>
  <c r="E66" i="184"/>
  <c r="N66" i="184" s="1"/>
  <c r="B7171" i="106"/>
  <c r="D7171" i="106" s="1"/>
  <c r="E62" i="184"/>
  <c r="N62" i="184" s="1"/>
  <c r="B7135" i="106"/>
  <c r="D7135" i="106" s="1"/>
  <c r="E58" i="184"/>
  <c r="N58" i="184" s="1"/>
  <c r="I210" i="29"/>
  <c r="B7071" i="106" s="1"/>
  <c r="D7071" i="106" s="1"/>
  <c r="B7047" i="106"/>
  <c r="D7047" i="106" s="1"/>
  <c r="B2724" i="106"/>
  <c r="D2724" i="106" s="1"/>
  <c r="C129" i="29"/>
  <c r="C151" i="29" s="1"/>
  <c r="B1226" i="106" s="1"/>
  <c r="D12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276" i="106" l="1"/>
  <c r="D276" i="106" s="1"/>
  <c r="M23" i="3"/>
  <c r="B93" i="106"/>
  <c r="D93" i="106" s="1"/>
  <c r="D44" i="36"/>
  <c r="K342" i="29"/>
  <c r="F13" i="34" s="1"/>
  <c r="D76" i="36"/>
  <c r="B92" i="106"/>
  <c r="D92" i="106" s="1"/>
  <c r="B6216" i="106"/>
  <c r="D6216" i="106" s="1"/>
  <c r="F41" i="108"/>
  <c r="G43" i="108" s="1"/>
  <c r="E19" i="184"/>
  <c r="J16" i="4"/>
  <c r="B6226" i="106" s="1"/>
  <c r="D6226" i="106" s="1"/>
  <c r="L114" i="29"/>
  <c r="I7" i="4"/>
  <c r="B4444" i="106" s="1"/>
  <c r="D4444" i="106" s="1"/>
  <c r="G170" i="5"/>
  <c r="B5778" i="106" s="1"/>
  <c r="D5778" i="106" s="1"/>
  <c r="B1381" i="106"/>
  <c r="D1381" i="106" s="1"/>
  <c r="L16" i="11"/>
  <c r="B2061" i="106" s="1"/>
  <c r="D2061" i="106" s="1"/>
  <c r="N57" i="184"/>
  <c r="N68" i="184" s="1"/>
  <c r="E68" i="184"/>
  <c r="B1328" i="106"/>
  <c r="D1328" i="106" s="1"/>
  <c r="B7215" i="106"/>
  <c r="D7215" i="106" s="1"/>
  <c r="B7220" i="106"/>
  <c r="D7220" i="106" s="1"/>
  <c r="F75" i="34"/>
  <c r="B7886" i="106" s="1"/>
  <c r="D7886" i="106" s="1"/>
  <c r="B7222" i="106"/>
  <c r="D7222" i="106" s="1"/>
  <c r="F76" i="34"/>
  <c r="B7887" i="106" s="1"/>
  <c r="D7887" i="106" s="1"/>
  <c r="H19" i="184"/>
  <c r="L20" i="184" s="1"/>
  <c r="E367" i="29"/>
  <c r="B3635" i="106"/>
  <c r="N23" i="3"/>
  <c r="B284" i="106" s="1"/>
  <c r="D284" i="106" s="1"/>
  <c r="B7235" i="106"/>
  <c r="D72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B280" i="106" l="1"/>
  <c r="D280" i="106" s="1"/>
  <c r="M41" i="3"/>
  <c r="J20" i="4"/>
  <c r="B6230" i="106" s="1"/>
  <c r="D6230" i="106" s="1"/>
  <c r="J10" i="4"/>
  <c r="B6225" i="106" s="1"/>
  <c r="D6225" i="106" s="1"/>
  <c r="D8" i="146"/>
  <c r="F77" i="34"/>
  <c r="B7834" i="106" s="1"/>
  <c r="D7834"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<sst xmlns="http://schemas.openxmlformats.org/spreadsheetml/2006/main" count="5138" uniqueCount="2075">
  <si>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</si>
  <si>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</si>
  <si>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</si>
  <si>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</si>
  <si>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</si>
  <si>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</si>
  <si>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</si>
  <si>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</si>
  <si>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</si>
  <si>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</si>
  <si>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</si>
  <si>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</si>
  <si>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</si>
  <si>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</si>
  <si>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</si>
  <si>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</si>
  <si>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</si>
  <si>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</si>
  <si>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</si>
  <si>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</si>
  <si>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</si>
  <si>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</si>
  <si>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</si>
  <si>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</si>
  <si>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</si>
  <si>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</si>
  <si>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</si>
  <si>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</si>
  <si>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</si>
  <si>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</si>
  <si>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</si>
  <si>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</si>
  <si>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</si>
  <si>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</si>
  <si>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</si>
  <si>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</si>
  <si>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</si>
  <si>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</si>
  <si>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</si>
  <si>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</si>
  <si>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</si>
  <si>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</si>
  <si>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</si>
  <si>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</si>
  <si>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</si>
  <si>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</si>
  <si>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</si>
  <si>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</si>
  <si>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</si>
  <si>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</si>
  <si>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</si>
  <si>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</si>
  <si>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</si>
  <si>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</si>
  <si>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</si>
  <si>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</si>
  <si>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</si>
  <si>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</si>
  <si>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</si>
  <si>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</si>
  <si>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</si>
  <si>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</si>
  <si>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</si>
  <si>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</si>
  <si>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</si>
  <si>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</si>
  <si>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</si>
  <si>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</si>
  <si>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</si>
  <si>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</si>
  <si>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</si>
  <si>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</si>
  <si>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</si>
  <si>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</si>
  <si>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</si>
  <si>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</si>
  <si>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</si>
  <si>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</si>
  <si>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</si>
  <si>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</si>
  <si>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</si>
  <si>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</si>
  <si>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</si>
  <si>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</si>
  <si>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</si>
  <si>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</si>
  <si>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</si>
  <si>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</si>
  <si>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</si>
  <si>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</si>
  <si>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</si>
  <si>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</si>
  <si>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</si>
  <si>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</si>
  <si>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</si>
  <si>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</si>
  <si>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</si>
  <si>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</si>
  <si>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</si>
  <si>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</si>
  <si>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</si>
  <si>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</si>
  <si>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</si>
  <si>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</si>
  <si>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</si>
  <si>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</si>
  <si>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</si>
  <si>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</si>
  <si>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</si>
  <si>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</si>
  <si>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</si>
  <si>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</si>
  <si>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</si>
  <si>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</si>
  <si>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</si>
  <si>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</si>
  <si>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</si>
  <si>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</si>
  <si>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</si>
  <si>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</si>
  <si>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</si>
  <si>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</si>
  <si>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</si>
  <si>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</si>
  <si>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</si>
  <si>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</si>
  <si>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</si>
  <si>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</si>
  <si>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</si>
  <si>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</si>
  <si>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</si>
  <si>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</si>
  <si>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</si>
  <si>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</si>
  <si>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</si>
  <si>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</si>
  <si>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</si>
  <si>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</si>
  <si>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</si>
  <si>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</si>
  <si>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</si>
  <si>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</si>
  <si>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</si>
  <si>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</si>
  <si>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</si>
  <si>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</si>
  <si>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</si>
  <si>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</si>
  <si>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</si>
  <si>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</si>
  <si>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</si>
  <si>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</si>
  <si>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</si>
  <si>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</si>
  <si>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</si>
  <si>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</si>
  <si>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</si>
  <si>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</si>
  <si>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</si>
  <si>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</si>
  <si>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</si>
  <si>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</si>
  <si>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</si>
  <si>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</si>
  <si>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</si>
  <si>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</si>
  <si>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</si>
  <si>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</si>
  <si>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</si>
  <si>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</si>
  <si>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</si>
  <si>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</si>
  <si>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</si>
  <si>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</si>
  <si>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</si>
  <si>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</si>
  <si>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</si>
  <si>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</si>
  <si>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</si>
  <si>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</si>
  <si>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</si>
  <si>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</si>
  <si>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</si>
  <si>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</si>
  <si>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</si>
  <si>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</si>
  <si>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</si>
  <si>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</si>
  <si>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</si>
  <si>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</si>
  <si>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</si>
  <si>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</si>
  <si>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</si>
  <si>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</si>
  <si>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</si>
  <si>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</si>
  <si>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</si>
  <si>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</si>
  <si>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</si>
  <si>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</si>
  <si>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</si>
  <si>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</si>
  <si>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</si>
  <si>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</si>
  <si>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</si>
  <si>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</si>
  <si>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</si>
  <si>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</si>
  <si>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</si>
  <si>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</si>
  <si>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</si>
  <si>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</si>
  <si>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</si>
  <si>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</si>
  <si>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</si>
  <si>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</si>
  <si>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</si>
  <si>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</si>
  <si>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</si>
  <si>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</si>
  <si>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</si>
  <si>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</si>
  <si>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</si>
  <si>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</si>
  <si>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</si>
  <si>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</si>
  <si>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</si>
  <si>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</si>
  <si>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</si>
  <si>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</si>
  <si>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</si>
  <si>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</si>
  <si>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</si>
  <si>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</si>
  <si>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</si>
  <si>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</si>
  <si>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</si>
  <si>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</si>
  <si>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</si>
  <si>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</si>
  <si>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</si>
  <si>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</si>
  <si>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</si>
  <si>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</si>
  <si>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</si>
  <si>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</si>
  <si>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</si>
  <si>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</si>
  <si>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</si>
  <si>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</si>
  <si>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</si>
  <si>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</si>
  <si>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</si>
  <si>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</si>
  <si>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</si>
  <si>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</si>
  <si>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</si>
  <si>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</si>
  <si>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</si>
  <si>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</si>
  <si>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</si>
  <si>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</si>
  <si>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</si>
  <si>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</si>
  <si>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</si>
  <si>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</si>
  <si>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</si>
  <si>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</si>
  <si>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</si>
  <si>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</si>
  <si>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</si>
  <si>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</si>
  <si>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</si>
  <si>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</si>
  <si>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</si>
  <si>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</si>
  <si>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</si>
  <si>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</si>
  <si>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</si>
  <si>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</si>
  <si>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</si>
  <si>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</si>
  <si>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</si>
  <si>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</si>
  <si>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</si>
  <si>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</si>
  <si>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</si>
  <si>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</si>
  <si>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</si>
  <si>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</si>
  <si>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</si>
  <si>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</si>
  <si>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</si>
  <si>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</si>
  <si>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</si>
  <si>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</si>
  <si>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</si>
  <si>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</si>
  <si>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</si>
  <si>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</si>
  <si>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</si>
  <si>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</si>
  <si>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</si>
  <si>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</si>
  <si>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</si>
  <si>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</si>
  <si>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</si>
  <si>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</si>
  <si>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</si>
  <si>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</si>
  <si>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</si>
  <si>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</si>
  <si>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</si>
  <si>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</si>
  <si>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</si>
  <si>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</si>
  <si>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</si>
  <si>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</si>
  <si>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</si>
  <si>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</si>
  <si>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</si>
  <si>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</si>
  <si>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</si>
  <si>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</si>
  <si>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</si>
  <si>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</si>
  <si>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</si>
  <si>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</si>
  <si>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</si>
  <si>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</si>
  <si>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</si>
  <si>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</si>
  <si>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</si>
  <si>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</si>
  <si>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</si>
  <si>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</si>
  <si>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</si>
  <si>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</si>
  <si>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</si>
  <si>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</si>
  <si>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</si>
  <si>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</si>
  <si>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</si>
  <si>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</si>
  <si>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</si>
  <si>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</si>
  <si>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</si>
  <si>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</si>
  <si>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</si>
  <si>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</si>
  <si>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</si>
  <si>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</si>
  <si>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</si>
  <si>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</si>
  <si>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</si>
  <si>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</si>
  <si>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</si>
  <si>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</si>
  <si>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</si>
  <si>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</si>
  <si>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</si>
  <si>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</si>
  <si>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</si>
  <si>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</si>
  <si>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</si>
  <si>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</si>
  <si>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</si>
  <si>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</si>
  <si>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</si>
  <si>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</si>
  <si>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</si>
  <si>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</si>
  <si>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</si>
  <si>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</si>
  <si>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</si>
  <si>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</si>
  <si>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</si>
  <si>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</si>
  <si>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</si>
  <si>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</si>
  <si>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</si>
  <si>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</si>
  <si>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</si>
  <si>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</si>
  <si>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</si>
  <si>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</si>
  <si>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</si>
  <si>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</si>
  <si>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</si>
  <si>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</si>
  <si>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</si>
  <si>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</si>
  <si>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</si>
  <si>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</si>
  <si>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</si>
  <si>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</si>
  <si>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</si>
  <si>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</si>
  <si>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</si>
  <si>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</si>
  <si>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</si>
  <si>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</si>
  <si>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</si>
  <si>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</si>
  <si>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</si>
  <si>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</si>
  <si>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</si>
  <si>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</si>
  <si>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</si>
  <si>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</si>
  <si>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</si>
  <si>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</si>
  <si>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</si>
  <si>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</si>
  <si>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</si>
  <si>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</si>
  <si>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</si>
  <si>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</si>
  <si>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</si>
  <si>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</si>
  <si>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</si>
  <si>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</si>
  <si>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</si>
  <si>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</si>
  <si>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</si>
  <si>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</si>
  <si>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</si>
  <si>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</si>
  <si>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</si>
  <si>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</si>
  <si>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</si>
  <si>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</si>
  <si>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</si>
  <si>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</si>
  <si>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</si>
  <si>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</si>
  <si>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</si>
  <si>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</si>
  <si>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</si>
  <si>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</si>
  <si>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</si>
  <si>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</si>
  <si>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</si>
  <si>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</si>
  <si>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</si>
  <si>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</si>
  <si>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</si>
  <si>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</si>
  <si>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</si>
  <si>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</si>
  <si>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</si>
  <si>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</si>
  <si>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</si>
  <si>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</si>
  <si>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</si>
  <si>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</si>
  <si>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</si>
  <si>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</si>
  <si>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</si>
  <si>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</si>
  <si>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</si>
  <si>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</si>
  <si>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</si>
  <si>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</si>
  <si>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</si>
  <si>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</si>
  <si>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</si>
  <si>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</si>
  <si>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</si>
  <si>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</si>
  <si>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</si>
  <si>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</si>
  <si>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</si>
  <si>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</si>
  <si>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</si>
  <si>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</si>
  <si>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</si>
  <si>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</si>
  <si>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</si>
  <si>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</si>
  <si>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</si>
  <si>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</si>
  <si>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</si>
  <si>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</si>
  <si>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</si>
  <si>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</si>
  <si>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</si>
  <si>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</si>
  <si>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</si>
  <si>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</si>
  <si>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</si>
  <si>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</si>
  <si>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</si>
  <si>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</si>
  <si>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</si>
  <si>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</si>
  <si>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</si>
  <si>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</si>
  <si>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</si>
  <si>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</si>
  <si>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</si>
  <si>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</si>
  <si>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</si>
  <si>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</si>
  <si>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</si>
  <si>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</si>
  <si>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</si>
  <si>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</si>
  <si>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</si>
  <si>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</si>
  <si>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</si>
  <si>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</si>
  <si>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</si>
  <si>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</si>
  <si>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</si>
  <si>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</si>
  <si>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</si>
  <si>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</si>
  <si>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</si>
  <si>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</si>
  <si>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</si>
  <si>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</si>
  <si>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</si>
  <si>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</si>
  <si>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</si>
  <si>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</si>
  <si>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</si>
  <si>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</si>
  <si>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</si>
  <si>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</si>
  <si>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</si>
  <si>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</si>
  <si>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</si>
  <si>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</si>
  <si>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</si>
  <si>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</si>
  <si>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</si>
  <si>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</si>
  <si>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</si>
  <si>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</si>
  <si>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</si>
  <si>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</si>
  <si>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</si>
  <si>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</si>
  <si>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</si>
  <si>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</si>
  <si>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</si>
  <si>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</si>
  <si>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</si>
  <si>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</si>
  <si>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</si>
  <si>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</si>
  <si>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</si>
  <si>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</si>
  <si>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</si>
  <si>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</si>
  <si>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</si>
  <si>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</si>
  <si>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</si>
  <si>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</si>
  <si>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</si>
  <si>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</si>
  <si>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</si>
  <si>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</si>
  <si>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</si>
  <si>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</si>
  <si>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</si>
  <si>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</si>
  <si>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</si>
  <si>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</si>
  <si>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</si>
  <si>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</si>
  <si>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</si>
  <si>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</si>
  <si>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</si>
  <si>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</si>
  <si>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</si>
  <si>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</si>
  <si>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</si>
  <si>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</si>
  <si>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</si>
  <si>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</si>
  <si>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</si>
  <si>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</si>
  <si>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</si>
  <si>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</si>
  <si>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</si>
  <si>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</si>
  <si>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</si>
  <si>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</si>
  <si>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</si>
  <si>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</si>
  <si>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</si>
  <si>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</si>
  <si>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</si>
  <si>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</si>
  <si>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</si>
  <si>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</si>
  <si>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</si>
  <si>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</si>
  <si>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</si>
  <si>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</si>
  <si>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</si>
  <si>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</si>
  <si>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</si>
  <si>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</si>
  <si>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</si>
  <si>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</si>
  <si>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</si>
  <si>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</si>
  <si>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</si>
  <si>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</si>
  <si>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</si>
  <si>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</si>
  <si>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</si>
  <si>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</si>
  <si>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</si>
  <si>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</si>
  <si>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</si>
  <si>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</si>
  <si>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</si>
  <si>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</si>
  <si>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</si>
  <si>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</si>
  <si>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</si>
  <si>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</si>
  <si>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</si>
  <si>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</si>
  <si>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</si>
  <si>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</si>
  <si>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</si>
  <si>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</si>
  <si>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</si>
  <si>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</si>
  <si>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</si>
  <si>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</si>
  <si>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</si>
  <si>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</si>
  <si>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</si>
  <si>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</si>
  <si>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</si>
  <si>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</si>
  <si>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</si>
  <si>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</si>
  <si>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</si>
  <si>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</si>
  <si>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</si>
  <si>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</si>
  <si>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</si>
  <si>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</si>
  <si>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</si>
  <si>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</si>
  <si>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</si>
  <si>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</si>
  <si>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</si>
  <si>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</si>
  <si>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</si>
  <si>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</si>
  <si>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</si>
  <si>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</si>
  <si>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</si>
  <si>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</si>
  <si>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</si>
  <si>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</si>
  <si>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</si>
  <si>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</si>
  <si>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</si>
  <si>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</si>
  <si>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</si>
  <si>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</si>
  <si>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</si>
  <si>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</si>
  <si>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</si>
  <si>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</si>
  <si>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</si>
  <si>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</si>
  <si>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</si>
  <si>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</si>
  <si>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</si>
  <si>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</si>
  <si>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</si>
  <si>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</si>
  <si>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</si>
  <si>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</si>
  <si>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</si>
  <si>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</si>
  <si>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</si>
  <si>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</si>
  <si>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</si>
  <si>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</si>
  <si>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</si>
  <si>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</si>
  <si>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</si>
  <si>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</si>
  <si>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</si>
  <si>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</si>
  <si>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</si>
  <si>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</si>
  <si>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</si>
  <si>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</si>
  <si>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</si>
  <si>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</si>
  <si>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</si>
  <si>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</si>
  <si>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</si>
  <si>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</si>
  <si>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</si>
  <si>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</si>
  <si>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</si>
  <si>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</si>
  <si>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</si>
  <si>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</si>
  <si>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</si>
  <si>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</si>
  <si>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</si>
  <si>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</si>
  <si>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</si>
  <si>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</si>
  <si>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</si>
  <si>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</si>
  <si>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</si>
  <si>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</si>
  <si>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</si>
  <si>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</si>
  <si>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</si>
  <si>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</si>
  <si>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</si>
  <si>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</si>
  <si>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</si>
  <si>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</si>
  <si>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</si>
  <si>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</si>
  <si>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</si>
  <si>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</si>
  <si>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</si>
  <si>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</si>
  <si>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</si>
  <si>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</si>
  <si>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</si>
  <si>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</si>
  <si>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</si>
  <si>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</si>
  <si>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</si>
  <si>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</si>
  <si>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</si>
  <si>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</si>
  <si>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</si>
  <si>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</si>
  <si>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</si>
  <si>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</si>
  <si>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</si>
  <si>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</si>
  <si>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</si>
  <si>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</si>
  <si>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</si>
  <si>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</si>
  <si>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</si>
  <si>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</si>
  <si>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</si>
  <si>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</si>
  <si>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</si>
  <si>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</si>
  <si>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</si>
  <si>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</si>
  <si>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</si>
  <si>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</si>
  <si>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</si>
  <si>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</si>
  <si>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</si>
  <si>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</si>
  <si>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</si>
  <si>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</si>
  <si>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</si>
  <si>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</si>
  <si>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</si>
  <si>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</si>
  <si>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</si>
  <si>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</si>
  <si>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</si>
  <si>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</si>
  <si>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</si>
  <si>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</si>
  <si>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</si>
  <si>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</si>
  <si>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</si>
  <si>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</si>
  <si>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</si>
  <si>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</si>
  <si>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</si>
  <si>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</si>
  <si>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</si>
  <si>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</si>
  <si>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</si>
  <si>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</si>
  <si>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</si>
  <si>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</si>
  <si>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</si>
  <si>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</si>
  <si>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</si>
  <si>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</si>
  <si>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</si>
  <si>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</si>
  <si>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</si>
  <si>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</si>
  <si>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</si>
  <si>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</si>
  <si>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</si>
  <si>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</si>
  <si>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</si>
  <si>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</si>
  <si>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</si>
  <si>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</si>
  <si>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</si>
  <si>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</si>
  <si>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</si>
  <si>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</si>
  <si>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</si>
  <si>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</si>
  <si>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</si>
  <si>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</si>
  <si>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</si>
  <si>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</si>
  <si>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</si>
  <si>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</si>
  <si>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</si>
  <si>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</si>
  <si>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</si>
  <si>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</si>
  <si>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</si>
  <si>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</si>
  <si>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</si>
  <si>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</si>
  <si>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</si>
  <si>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</si>
  <si>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</si>
  <si>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</si>
  <si>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</si>
  <si>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</si>
  <si>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</si>
  <si>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</si>
  <si>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</si>
  <si>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</si>
  <si>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</si>
  <si>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</si>
  <si>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</si>
  <si>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</si>
  <si>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</si>
  <si>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</si>
  <si>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</si>
  <si>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</si>
  <si>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</si>
  <si>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</si>
  <si>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</si>
  <si>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</si>
  <si>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</si>
  <si>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</si>
  <si>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</si>
  <si>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</si>
  <si>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</si>
  <si>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</si>
  <si>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</si>
  <si>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</si>
  <si>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</si>
  <si>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</si>
  <si>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</si>
  <si>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</si>
  <si>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</si>
  <si>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</si>
  <si>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</si>
  <si>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</si>
  <si>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</si>
  <si>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</si>
  <si>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</si>
  <si>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</si>
  <si>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</si>
  <si>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</si>
  <si>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</si>
  <si>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</si>
  <si>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</si>
  <si>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</si>
  <si>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</si>
  <si>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</si>
  <si>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</si>
  <si>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</si>
  <si>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</si>
  <si>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</si>
  <si>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</si>
  <si>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</si>
  <si>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</si>
  <si>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</si>
  <si>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</si>
  <si>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</si>
  <si>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</si>
  <si>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</si>
  <si>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</si>
  <si>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</si>
  <si>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</si>
  <si>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</si>
  <si>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</si>
  <si>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</si>
  <si>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</si>
  <si>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</si>
  <si>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</si>
  <si>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</si>
  <si>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</si>
  <si>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</si>
  <si>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</si>
  <si>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</si>
  <si>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</si>
  <si>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</si>
  <si>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</si>
  <si>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</si>
  <si>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</si>
  <si>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</si>
  <si>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</si>
  <si>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</si>
  <si>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</si>
  <si>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</si>
  <si>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</si>
  <si>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</si>
  <si>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</si>
  <si>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</si>
  <si>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</si>
  <si>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</si>
  <si>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</si>
  <si>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</si>
  <si>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</si>
  <si>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</si>
  <si>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</si>
  <si>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</si>
  <si>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</si>
  <si>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</si>
  <si>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</si>
  <si>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</si>
  <si>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</si>
  <si>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</si>
  <si>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</si>
  <si>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</si>
  <si>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</si>
  <si>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</si>
  <si>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</si>
  <si>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</si>
  <si>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</si>
  <si>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</si>
  <si>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</si>
  <si>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</si>
  <si>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</si>
  <si>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</si>
  <si>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</si>
  <si>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</si>
  <si>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</si>
  <si>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</si>
  <si>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</si>
  <si>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</si>
  <si>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</si>
  <si>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</si>
  <si>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</si>
  <si>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</si>
  <si>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</si>
  <si>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</si>
  <si>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</si>
  <si>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</si>
  <si>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</si>
  <si>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</si>
  <si>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</si>
  <si>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</si>
  <si>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</si>
  <si>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</si>
  <si>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</si>
  <si>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</si>
  <si>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</si>
  <si>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</si>
  <si>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</si>
  <si>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</si>
  <si>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</si>
  <si>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</si>
  <si>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</si>
  <si>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</si>
  <si>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</si>
  <si>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</si>
  <si>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</si>
  <si>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</si>
  <si>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</si>
  <si>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</si>
  <si>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</si>
  <si>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</si>
  <si>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</si>
  <si>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</si>
  <si>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</si>
  <si>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</si>
  <si>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</si>
  <si>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</si>
  <si>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</si>
  <si>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</si>
  <si>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</si>
  <si>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</si>
  <si>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</si>
  <si>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</si>
  <si>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</si>
  <si>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</si>
  <si>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</si>
  <si>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</si>
  <si>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</si>
  <si>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</si>
  <si>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</si>
  <si>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</si>
  <si>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</si>
  <si>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</si>
  <si>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</si>
  <si>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</si>
  <si>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</si>
  <si>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</si>
  <si>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</si>
  <si>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</si>
  <si>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</si>
  <si>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</si>
  <si>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</si>
  <si>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</si>
  <si>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</si>
  <si>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</si>
  <si>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</si>
  <si>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</si>
  <si>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</si>
  <si>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</si>
  <si>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</si>
  <si>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</si>
  <si>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</si>
  <si>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</si>
  <si>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</si>
  <si>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</si>
  <si>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</si>
  <si>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</si>
  <si>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</si>
  <si>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</si>
  <si>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</si>
  <si>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</si>
  <si>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</si>
  <si>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</si>
  <si>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</si>
  <si>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</si>
  <si>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</si>
  <si>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</si>
  <si>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</si>
  <si>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</si>
  <si>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</si>
  <si>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</si>
  <si>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</si>
  <si>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</si>
  <si>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</si>
  <si>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</si>
  <si>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</si>
  <si>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</si>
  <si>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</si>
  <si>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</si>
  <si>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</si>
  <si>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</si>
  <si>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</si>
  <si>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</si>
  <si>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</si>
  <si>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</si>
  <si>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</si>
  <si>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</si>
  <si>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</si>
  <si>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</si>
  <si>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</si>
  <si>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</si>
  <si>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</si>
  <si>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</si>
  <si>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</si>
  <si>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</si>
  <si>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</si>
  <si>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</si>
  <si>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</si>
  <si>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</si>
  <si>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</si>
  <si>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</si>
  <si>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</si>
  <si>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</si>
  <si>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</si>
  <si>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</si>
  <si>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</si>
  <si>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</si>
  <si>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</si>
  <si>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</si>
  <si>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</si>
  <si>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</si>
  <si>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</si>
  <si>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</si>
  <si>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</si>
  <si>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</si>
  <si>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</si>
  <si>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</si>
  <si>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</si>
  <si>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</si>
  <si>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</si>
  <si>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</si>
  <si>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</si>
  <si>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</si>
  <si>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</si>
  <si>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</si>
  <si>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</si>
  <si>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</si>
  <si>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</si>
  <si>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</si>
  <si>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</si>
  <si>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</si>
  <si>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</si>
  <si>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</si>
  <si>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</si>
  <si>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</si>
  <si>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</si>
  <si>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</si>
  <si>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</si>
  <si>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</si>
  <si>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</si>
  <si>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</si>
  <si>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</si>
  <si>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</si>
  <si>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</si>
  <si>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</si>
  <si>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</si>
  <si>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</si>
  <si>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</si>
  <si>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</si>
  <si>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</si>
  <si>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</si>
  <si>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</si>
  <si>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</si>
  <si>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</si>
  <si>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</si>
  <si>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</si>
  <si>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</si>
  <si>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</si>
  <si>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</si>
  <si>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</si>
  <si>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</si>
  <si>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</si>
  <si>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</si>
  <si>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</si>
  <si>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</si>
  <si>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</si>
  <si>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</si>
  <si>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</si>
  <si>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</si>
  <si>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</si>
  <si>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</si>
  <si>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</si>
  <si>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</si>
  <si>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</si>
  <si>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</si>
  <si>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</si>
  <si>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</si>
  <si>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</si>
  <si>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</si>
  <si>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</si>
  <si>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</si>
  <si>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</si>
  <si>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</si>
  <si>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</si>
  <si>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</si>
  <si>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</si>
  <si>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</si>
  <si>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</si>
  <si>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</si>
  <si>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</si>
  <si>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</si>
  <si>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</si>
  <si>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</si>
  <si>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</si>
  <si>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</si>
  <si>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</si>
  <si>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</si>
  <si>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</si>
  <si>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</si>
  <si>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</si>
  <si>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</si>
  <si>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</si>
  <si>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</si>
  <si>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</si>
  <si>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</si>
  <si>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</si>
  <si>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</si>
  <si>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</si>
  <si>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</si>
  <si>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</si>
  <si>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</si>
  <si>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</si>
  <si>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</si>
  <si>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</si>
  <si>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</si>
  <si>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</si>
  <si>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</si>
  <si>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</si>
  <si>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</si>
  <si>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</si>
  <si>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</si>
  <si>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</si>
  <si>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</si>
  <si>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</si>
  <si>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</si>
  <si>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</si>
  <si>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</si>
  <si>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</si>
  <si>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</si>
  <si>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</si>
  <si>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</si>
  <si>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</si>
  <si>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</si>
  <si>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</si>
  <si>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</si>
  <si>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</si>
  <si>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</si>
  <si>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</si>
  <si>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</si>
  <si>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</si>
  <si>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</si>
  <si>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</si>
  <si>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</si>
  <si>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</si>
  <si>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</si>
  <si>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</si>
  <si>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</si>
  <si>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</si>
  <si>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</si>
  <si>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</si>
  <si>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</si>
  <si>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</si>
  <si>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</si>
  <si>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</si>
  <si>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</si>
  <si>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</si>
  <si>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</si>
  <si>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</si>
  <si>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</si>
  <si>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</si>
  <si>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</si>
  <si>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</si>
  <si>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</si>
  <si>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</si>
  <si>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</si>
  <si>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</si>
  <si>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</si>
  <si>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</si>
  <si>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</si>
  <si>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</si>
  <si>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</si>
  <si>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</si>
  <si>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</si>
  <si>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</si>
  <si>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</si>
  <si>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</si>
  <si>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</si>
  <si>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</si>
  <si>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</si>
  <si>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</si>
  <si>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</si>
  <si>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</si>
  <si>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</si>
  <si>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</si>
  <si>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</si>
  <si>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</si>
  <si>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</si>
  <si>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</si>
  <si>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</si>
  <si>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</si>
  <si>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</si>
  <si>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</si>
  <si>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</si>
  <si>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</si>
  <si>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</si>
  <si>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</si>
  <si>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</si>
  <si>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</si>
  <si>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</si>
  <si>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</si>
  <si>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</si>
  <si>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</si>
  <si>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</si>
  <si>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</si>
  <si>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</si>
  <si>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</si>
  <si>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</si>
  <si>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</si>
  <si>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</si>
  <si>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</si>
  <si>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</si>
  <si>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</si>
  <si>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</si>
  <si>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</si>
  <si>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</si>
  <si>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</si>
  <si>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</si>
  <si>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</si>
  <si>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</si>
  <si>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</si>
  <si>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</si>
  <si>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</si>
  <si>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</si>
  <si>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</si>
  <si>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</si>
  <si>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</si>
  <si>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</si>
  <si>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</si>
  <si>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</si>
  <si>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</si>
  <si>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</si>
  <si>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</si>
  <si>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</si>
  <si>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</si>
  <si>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</si>
  <si>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</si>
  <si>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</si>
  <si>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</si>
  <si>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</si>
  <si>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</si>
  <si>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</si>
  <si>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</si>
  <si>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</si>
  <si>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</si>
  <si>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</si>
  <si>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</si>
  <si>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</si>
  <si>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</si>
  <si>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</si>
  <si>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</si>
  <si>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</si>
  <si>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</si>
  <si>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</si>
  <si>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</si>
  <si>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</si>
  <si>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</si>
  <si>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</si>
  <si>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</si>
  <si>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</si>
  <si>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</si>
  <si>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</si>
  <si>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</si>
  <si>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</si>
  <si>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</si>
  <si>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</si>
  <si>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</si>
  <si>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</si>
  <si>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</si>
  <si>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</si>
  <si>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</si>
  <si>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</si>
  <si>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</si>
  <si>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</si>
  <si>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</si>
  <si>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</si>
  <si>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</si>
  <si>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</si>
  <si>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</si>
  <si>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</si>
  <si>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</si>
  <si>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</si>
  <si>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</si>
  <si>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</si>
  <si>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</si>
  <si>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</si>
  <si>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</si>
  <si>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</si>
  <si>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</si>
  <si>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</si>
  <si>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</si>
  <si>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</si>
  <si>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</si>
  <si>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</si>
  <si>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</si>
  <si>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</si>
  <si>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</si>
  <si>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</si>
  <si>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</si>
  <si>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</si>
  <si>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</si>
  <si>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</si>
  <si>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</si>
  <si>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</si>
  <si>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</si>
  <si>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</si>
  <si>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</si>
  <si>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</si>
  <si>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</si>
  <si>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</si>
  <si>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</si>
  <si>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</si>
  <si>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</si>
  <si>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</si>
  <si>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</si>
  <si>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</si>
  <si>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</si>
  <si>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</si>
  <si>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</si>
  <si>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</si>
  <si>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</si>
  <si>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</si>
  <si>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</si>
  <si>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</si>
  <si>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</si>
  <si>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</si>
  <si>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</si>
  <si>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</si>
  <si>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</si>
  <si>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</si>
  <si>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</si>
  <si>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</si>
  <si>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</si>
  <si>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</si>
  <si>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</si>
  <si>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</si>
  <si>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</si>
  <si>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</si>
  <si>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</si>
  <si>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</si>
  <si>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</si>
  <si>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</si>
  <si>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</si>
  <si>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</si>
  <si>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</si>
  <si>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</si>
  <si>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</si>
  <si>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</si>
  <si>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</si>
  <si>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</si>
  <si>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</si>
  <si>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</si>
  <si>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</si>
  <si>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</si>
  <si>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</si>
  <si>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</si>
  <si>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</si>
  <si>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</si>
  <si>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</si>
  <si>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</si>
  <si>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</si>
  <si>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</si>
  <si>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</si>
  <si>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</si>
  <si>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</si>
  <si>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</si>
  <si>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</si>
  <si>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</si>
  <si>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</si>
  <si>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</si>
  <si>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</si>
  <si>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</si>
  <si>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</si>
  <si>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</si>
  <si>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</si>
  <si>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</si>
  <si>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</si>
  <si>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</si>
  <si>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</si>
  <si>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</si>
  <si>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</si>
  <si>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</si>
  <si>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</si>
  <si>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</si>
  <si>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</si>
  <si>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</si>
  <si>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</si>
  <si>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</si>
  <si>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</si>
  <si>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</si>
  <si>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</si>
  <si>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</si>
  <si>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</si>
  <si>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</si>
  <si>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</si>
  <si>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</si>
  <si>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</si>
  <si>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</si>
  <si>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</si>
  <si>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</si>
  <si>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</si>
  <si>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</si>
  <si>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</si>
  <si>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</si>
  <si>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</si>
  <si>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</si>
  <si>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</si>
  <si>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</si>
  <si>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</si>
  <si>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</si>
  <si>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</si>
  <si>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</si>
  <si>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</si>
  <si>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</si>
  <si>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</si>
  <si>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</si>
  <si>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</si>
  <si>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</si>
  <si>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</si>
  <si>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</si>
  <si>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</si>
  <si>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</si>
  <si>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</si>
  <si>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</si>
  <si>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</si>
  <si>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</si>
  <si>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</si>
  <si>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</si>
  <si>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</si>
  <si>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</si>
  <si>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</si>
  <si>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</si>
  <si>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</si>
  <si>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</si>
  <si>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</si>
  <si>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</si>
  <si>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</si>
  <si>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</si>
  <si>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</si>
  <si>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</si>
  <si>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</si>
  <si>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</si>
  <si>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</si>
  <si>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</si>
  <si>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</si>
  <si>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</si>
  <si>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</si>
  <si>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</si>
  <si>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</si>
  <si>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</si>
  <si>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</si>
  <si>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</si>
  <si>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</si>
  <si>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</si>
  <si>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</si>
  <si>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</si>
  <si>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</si>
  <si>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</si>
  <si>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</si>
  <si>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</si>
  <si>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</si>
  <si>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</si>
  <si>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</si>
  <si>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</si>
  <si>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</si>
  <si>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</si>
  <si>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</si>
  <si>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</si>
  <si>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</si>
  <si>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</si>
  <si>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</si>
  <si>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</si>
  <si>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</si>
  <si>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</si>
  <si>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</si>
  <si>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</si>
  <si>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</si>
  <si>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</si>
  <si>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</si>
  <si>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</si>
  <si>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</si>
  <si>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</si>
  <si>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</si>
  <si>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</si>
  <si>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</si>
  <si>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</si>
  <si>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</si>
  <si>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</si>
  <si>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</si>
  <si>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</si>
  <si>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</si>
  <si>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</si>
  <si>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</si>
  <si>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</si>
  <si>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</si>
  <si>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</si>
  <si>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</si>
  <si>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</si>
  <si>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</si>
  <si>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</si>
  <si>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</si>
  <si>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</si>
  <si>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</si>
  <si>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</si>
  <si>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</si>
  <si>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</si>
  <si>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</si>
  <si>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</si>
  <si>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</si>
  <si>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</si>
  <si>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</si>
  <si>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</si>
  <si>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</si>
  <si>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</si>
  <si>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</si>
  <si>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</si>
  <si>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</si>
  <si>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</si>
  <si>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</si>
  <si>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</si>
  <si>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</si>
  <si>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</si>
  <si>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</si>
  <si>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</si>
  <si>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</si>
  <si>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</si>
  <si>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</si>
  <si>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</si>
  <si>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</si>
  <si>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</si>
  <si>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</si>
  <si>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</si>
  <si>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</si>
  <si>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</si>
  <si>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</si>
  <si>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</si>
  <si>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</si>
  <si>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</si>
  <si>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</si>
  <si>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</si>
  <si>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</si>
  <si>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</si>
  <si>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</si>
  <si>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</si>
  <si>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</si>
  <si>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</si>
  <si>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</si>
  <si>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</si>
  <si>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</si>
  <si>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</si>
  <si>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</si>
  <si>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</si>
  <si>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</si>
  <si>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</si>
  <si>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</si>
  <si>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</si>
  <si>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</si>
  <si>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</si>
  <si>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</si>
  <si>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</si>
  <si>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</si>
  <si>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</si>
  <si>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</si>
  <si>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</si>
  <si>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</si>
  <si>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</si>
  <si>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</si>
  <si>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</si>
  <si>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</si>
  <si>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</si>
  <si>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</si>
  <si>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</si>
  <si>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</si>
  <si>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</si>
  <si>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</si>
  <si>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</si>
  <si>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</si>
  <si>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</si>
  <si>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</si>
  <si>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</si>
  <si>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</si>
  <si>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</si>
  <si>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</si>
  <si>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</si>
  <si>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</si>
  <si>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</si>
  <si>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</si>
  <si>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</si>
  <si>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</si>
  <si>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</si>
  <si>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</si>
  <si>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</si>
  <si>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</si>
  <si>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</si>
  <si>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</si>
  <si>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</si>
  <si>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</si>
  <si>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</si>
  <si>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</si>
  <si>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</si>
  <si>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</si>
  <si>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</si>
  <si>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</si>
  <si>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</si>
  <si>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</si>
  <si>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</si>
  <si>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</si>
  <si>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</si>
  <si>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</si>
  <si>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</si>
  <si>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</si>
  <si>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</si>
  <si>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</si>
  <si>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</si>
  <si>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</si>
  <si>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</si>
  <si>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</si>
  <si>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</si>
  <si>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</si>
  <si>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</si>
  <si>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</si>
  <si>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</si>
  <si>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</si>
  <si>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</si>
  <si>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</si>
  <si>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</si>
  <si>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</si>
  <si>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</si>
  <si>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</si>
  <si>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</si>
  <si>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</si>
  <si>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</si>
  <si>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</si>
  <si>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</si>
  <si>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</si>
  <si>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</si>
  <si>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</si>
  <si>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</si>
  <si>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</si>
  <si>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</si>
  <si>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</si>
  <si>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</si>
  <si>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</si>
  <si>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</si>
  <si>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</si>
  <si>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</si>
  <si>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</si>
  <si>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</si>
  <si>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</si>
  <si>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</si>
  <si>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</si>
  <si>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</si>
  <si>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</si>
  <si>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</si>
  <si>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</si>
  <si>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</si>
  <si>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</si>
  <si>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</si>
  <si>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</si>
  <si>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</si>
  <si>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</si>
  <si>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</si>
  <si>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</si>
  <si>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</si>
  <si>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</si>
  <si>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</si>
  <si>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</si>
  <si>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</si>
  <si>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</si>
  <si>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</si>
  <si>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</si>
  <si>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</si>
  <si>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</si>
  <si>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</si>
  <si>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</si>
  <si>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</si>
  <si>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</si>
  <si>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</si>
  <si>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</si>
  <si>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</si>
  <si>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</si>
  <si>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</si>
  <si>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</si>
  <si>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</si>
  <si>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</si>
  <si>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</si>
  <si>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</si>
  <si>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</si>
  <si>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</si>
  <si>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</si>
  <si>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</si>
  <si>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</si>
  <si>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</si>
  <si>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</si>
  <si>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</si>
  <si>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</si>
  <si>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</si>
  <si>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</si>
  <si>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</si>
  <si>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</si>
  <si>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</si>
  <si>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</si>
  <si>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</si>
  <si>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</si>
  <si>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</si>
  <si>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</si>
  <si>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</si>
  <si>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</si>
  <si>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</si>
  <si>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</si>
  <si>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</si>
  <si>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</si>
  <si>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</si>
  <si>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</si>
  <si>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</si>
  <si>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</si>
  <si>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</si>
  <si>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</si>
  <si>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</si>
  <si>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</si>
  <si>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</si>
  <si>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</si>
  <si>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</si>
  <si>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</si>
  <si>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</si>
  <si>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</si>
  <si>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</si>
  <si>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</si>
  <si>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</si>
  <si>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</si>
  <si>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</si>
  <si>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</si>
  <si>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</si>
  <si>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</si>
  <si>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</si>
  <si>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</si>
  <si>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</si>
  <si>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</si>
  <si>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</si>
  <si>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</si>
  <si>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</si>
  <si>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</si>
  <si>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</si>
  <si>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</si>
  <si>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</si>
  <si>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</si>
  <si>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</si>
  <si>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</si>
  <si>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</si>
  <si>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</si>
  <si>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</si>
  <si>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</si>
  <si>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</si>
  <si>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</si>
  <si>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</si>
  <si>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</si>
  <si>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</si>
  <si>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</si>
  <si>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</si>
  <si>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</si>
  <si>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</si>
  <si>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</si>
  <si>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</si>
  <si>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</si>
  <si>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</si>
  <si>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</si>
  <si>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</si>
  <si>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</si>
  <si>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</si>
  <si>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</si>
  <si>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</si>
  <si>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</si>
  <si>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</si>
  <si>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</si>
  <si>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</si>
  <si>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</si>
  <si>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</si>
  <si>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</si>
  <si>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</si>
  <si>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</si>
  <si>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</si>
  <si>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</si>
  <si>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</si>
  <si>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</si>
  <si>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</si>
  <si>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</si>
  <si>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</si>
  <si>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</si>
  <si>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</si>
  <si>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</si>
  <si>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</si>
  <si>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</si>
  <si>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</si>
  <si>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</si>
  <si>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</si>
  <si>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</si>
  <si>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</si>
  <si>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</si>
  <si>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</si>
  <si>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</si>
  <si>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</si>
  <si>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</si>
  <si>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</si>
  <si>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</si>
  <si>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</si>
  <si>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</si>
  <si>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</si>
  <si>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</si>
  <si>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</si>
  <si>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</si>
  <si>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</si>
  <si>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</si>
  <si>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</si>
  <si>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</si>
  <si>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</si>
  <si>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</si>
  <si>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</si>
  <si>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</si>
  <si>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</si>
  <si>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</si>
  <si>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</si>
  <si>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</si>
  <si>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</si>
  <si>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</si>
  <si>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</si>
  <si>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</si>
  <si>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</si>
  <si>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</si>
  <si>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</si>
  <si>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</si>
  <si>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</si>
  <si>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</si>
  <si>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</si>
  <si>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</si>
  <si>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</si>
  <si>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</si>
  <si>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</si>
  <si>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</si>
  <si>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</si>
  <si>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</si>
  <si>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</si>
  <si>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</si>
  <si>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</si>
  <si>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</si>
  <si>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</si>
  <si>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</si>
  <si>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</si>
  <si>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</si>
  <si>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</si>
  <si>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</si>
  <si>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</si>
  <si>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</si>
  <si>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</si>
  <si>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</si>
  <si>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</si>
  <si>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</si>
  <si>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</si>
  <si>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</si>
  <si>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</si>
  <si>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</si>
  <si>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</si>
  <si>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</si>
  <si>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</si>
  <si>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</si>
  <si>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</si>
  <si>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</si>
  <si>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</si>
  <si>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</si>
  <si>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</si>
  <si>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</si>
  <si>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</si>
  <si>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</si>
  <si>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</si>
  <si>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</si>
  <si>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</si>
  <si>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</si>
  <si>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</si>
  <si>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</si>
  <si>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</si>
  <si>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</si>
  <si>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</si>
  <si>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</si>
  <si>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</si>
  <si>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</si>
  <si>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</si>
  <si>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</si>
  <si>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</si>
  <si>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</si>
  <si>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</si>
  <si>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</si>
  <si>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</si>
  <si>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</si>
  <si>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</si>
  <si>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</si>
  <si>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</si>
  <si>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</si>
  <si>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</si>
  <si>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</si>
  <si>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</si>
  <si>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</si>
  <si>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</si>
  <si>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</si>
  <si>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</si>
  <si>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</si>
  <si>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</si>
  <si>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</si>
  <si>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</si>
  <si>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</si>
  <si>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</si>
  <si>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</si>
  <si>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</si>
  <si>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</si>
  <si>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</si>
  <si>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</si>
  <si>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</si>
  <si>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</si>
  <si>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</si>
  <si>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</si>
  <si>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</si>
  <si>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</si>
  <si>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</si>
  <si>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</si>
  <si>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</si>
  <si>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</si>
  <si>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</si>
  <si>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</si>
  <si>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</si>
  <si>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</si>
  <si>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</si>
  <si>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</si>
  <si>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</si>
  <si>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</si>
  <si>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</si>
  <si>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</si>
  <si>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</si>
  <si>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</si>
  <si>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</si>
  <si>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</si>
  <si>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</si>
  <si>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</si>
  <si>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</si>
  <si>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</si>
  <si>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</si>
  <si>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</si>
  <si>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</si>
  <si>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</si>
  <si>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</si>
  <si>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</si>
  <si>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</si>
  <si>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</si>
  <si>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</si>
  <si>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</si>
  <si>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</si>
  <si>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</si>
  <si>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</si>
  <si>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</si>
  <si>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</si>
  <si>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</si>
  <si>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</si>
  <si>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</si>
  <si>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</si>
  <si>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</si>
  <si>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</si>
  <si>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</si>
  <si>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</si>
  <si>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</si>
  <si>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</si>
  <si>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</si>
  <si>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</si>
  <si>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</si>
  <si>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</si>
  <si>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</si>
  <si>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</si>
  <si>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</si>
  <si>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</si>
  <si>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</si>
  <si>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</si>
  <si>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</si>
  <si>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St. Clair</t>
  </si>
  <si>
    <t>410 Huntwood Drive</t>
  </si>
  <si>
    <t>Swansea</t>
  </si>
  <si>
    <t>(618) 465-7717</t>
  </si>
  <si>
    <t>(618) 465-7710</t>
  </si>
  <si>
    <t>066-003590</t>
  </si>
  <si>
    <t>C. J. Schlosser &amp; Company, L.L.C.</t>
  </si>
  <si>
    <t>Kevin Tepen</t>
  </si>
  <si>
    <t>233 East Center Drive</t>
  </si>
  <si>
    <t>Alton</t>
  </si>
  <si>
    <t>IL</t>
  </si>
  <si>
    <t>Series 2015C GO Bonds</t>
  </si>
  <si>
    <t>Series 2019 Taxable Go Bonds</t>
  </si>
  <si>
    <t>Series 2019A GO School Bonds</t>
  </si>
  <si>
    <t>Series 2019B Taxable GO School Bonds</t>
  </si>
  <si>
    <t>General Obligation Contract</t>
  </si>
  <si>
    <t>ED-Food Service-Purchased Service</t>
  </si>
  <si>
    <t>Aramark</t>
  </si>
  <si>
    <t>Trans-Pupil Transportation Services-Purchased Service</t>
  </si>
  <si>
    <t xml:space="preserve">BTHS District </t>
  </si>
  <si>
    <t>Belleville Area Special Service Cooperative</t>
  </si>
  <si>
    <t>BTHS District 201</t>
  </si>
  <si>
    <t xml:space="preserve"> Wolf Branch SD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</si>
</sst>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1216602</xdr:colOff>
          <xdr:row>13</xdr:row>
          <xdr:rowOff>90920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036" t="s">
        <v>660</v>
      </c>
      <c r="B3" s="2037"/>
      <c r="C3" s="2037"/>
      <c r="D3" s="2038"/>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047" t="s">
        <v>1490</v>
      </c>
      <c r="D7" s="2048"/>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039" t="s">
        <v>1001</v>
      </c>
      <c r="B15" s="2040"/>
      <c r="C15" s="2040"/>
      <c r="D15" s="2041"/>
    </row>
    <row r="16" spans="1:4" s="542" customFormat="1" ht="24" customHeight="1" x14ac:dyDescent="0.2">
      <c r="A16" s="2042" t="s">
        <v>658</v>
      </c>
      <c r="B16" s="2043"/>
      <c r="C16" s="2043"/>
      <c r="D16" s="2044"/>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051" t="s">
        <v>311</v>
      </c>
      <c r="D21" s="2052"/>
    </row>
    <row r="22" spans="1:10" ht="12.75" x14ac:dyDescent="0.2">
      <c r="A22" s="918"/>
      <c r="B22" s="919">
        <v>2</v>
      </c>
      <c r="C22" s="2049" t="s">
        <v>1510</v>
      </c>
      <c r="D22" s="205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053" t="s">
        <v>533</v>
      </c>
      <c r="D43" s="2054"/>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045" t="s">
        <v>779</v>
      </c>
      <c r="D56" s="2046"/>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045" t="s">
        <v>1677</v>
      </c>
      <c r="D70" s="2046"/>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0" t="str">
        <f>IF('Contracts Paid in CY 29'!$D$31&gt;0,"OK","PLEASE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402</v>
      </c>
      <c r="J1" s="2135"/>
      <c r="K1" s="2135"/>
      <c r="L1" s="2135"/>
      <c r="M1" s="2135"/>
      <c r="N1" s="2135"/>
      <c r="O1" s="2135"/>
      <c r="P1" s="2135"/>
      <c r="Q1" s="2135"/>
      <c r="R1" s="2135"/>
      <c r="S1" s="2135"/>
    </row>
    <row r="2" spans="1:32" ht="12" customHeight="1" x14ac:dyDescent="0.2">
      <c r="A2" s="1831" t="str">
        <f>"Due to ISBE on "</f>
        <v xml:space="preserve">Due to ISBE on </v>
      </c>
      <c r="B2" s="2057">
        <f>+'AFR20'!F4</f>
        <v>44151</v>
      </c>
      <c r="C2" s="2057"/>
      <c r="D2" s="2058"/>
      <c r="I2" s="2136" t="s">
        <v>2006</v>
      </c>
      <c r="J2" s="2135"/>
      <c r="K2" s="2135"/>
      <c r="L2" s="2135"/>
      <c r="M2" s="2135"/>
      <c r="N2" s="2135"/>
      <c r="O2" s="2135"/>
      <c r="P2" s="2135"/>
      <c r="Q2" s="2135"/>
      <c r="R2" s="2135"/>
      <c r="S2" s="2135"/>
    </row>
    <row r="3" spans="1:32" ht="12" customHeight="1" x14ac:dyDescent="0.2">
      <c r="A3" s="1834" t="str">
        <f>"SD/JA"&amp;MID('AFR20'!E2,3,2)</f>
        <v>SD/JA20</v>
      </c>
      <c r="B3" s="151"/>
      <c r="C3" s="151"/>
      <c r="D3" s="152"/>
      <c r="I3" s="2136" t="s">
        <v>52</v>
      </c>
      <c r="J3" s="2135"/>
      <c r="K3" s="2135"/>
      <c r="L3" s="2135"/>
      <c r="M3" s="2135"/>
      <c r="N3" s="2135"/>
      <c r="O3" s="2135"/>
      <c r="P3" s="2135"/>
      <c r="Q3" s="2135"/>
      <c r="R3" s="2135"/>
      <c r="S3" s="2135"/>
    </row>
    <row r="4" spans="1:32" ht="12" customHeight="1" x14ac:dyDescent="0.2">
      <c r="A4" s="37"/>
      <c r="I4" s="2136" t="s">
        <v>521</v>
      </c>
      <c r="J4" s="2135"/>
      <c r="K4" s="2135"/>
      <c r="L4" s="2135"/>
      <c r="M4" s="2135"/>
      <c r="N4" s="2135"/>
      <c r="O4" s="2135"/>
      <c r="P4" s="2135"/>
      <c r="Q4" s="2135"/>
      <c r="R4" s="2135"/>
      <c r="S4" s="2135"/>
    </row>
    <row r="5" spans="1:32" ht="14.1" customHeight="1" x14ac:dyDescent="0.2">
      <c r="B5" s="101" t="s">
        <v>2051</v>
      </c>
      <c r="C5" s="26" t="s">
        <v>904</v>
      </c>
      <c r="D5" s="81"/>
      <c r="E5" s="81"/>
      <c r="H5" s="38"/>
      <c r="I5" s="2143" t="s">
        <v>675</v>
      </c>
      <c r="J5" s="2088"/>
      <c r="K5" s="2088"/>
      <c r="L5" s="2088"/>
      <c r="M5" s="2088"/>
      <c r="N5" s="2088"/>
      <c r="O5" s="2088"/>
      <c r="P5" s="2088"/>
      <c r="Q5" s="2088"/>
      <c r="R5" s="2088"/>
      <c r="S5" s="2088"/>
      <c r="AF5" s="1827"/>
    </row>
    <row r="6" spans="1:32" ht="14.1" customHeight="1" x14ac:dyDescent="0.2">
      <c r="B6" s="101"/>
      <c r="C6" s="26" t="s">
        <v>905</v>
      </c>
      <c r="D6" s="81"/>
      <c r="E6" s="81"/>
      <c r="I6" s="2142" t="s">
        <v>877</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669</v>
      </c>
      <c r="J9" s="2140"/>
      <c r="K9" s="2140"/>
      <c r="L9" s="2140"/>
      <c r="M9" s="2140"/>
      <c r="N9" s="2140"/>
      <c r="O9" s="2140"/>
      <c r="P9" s="2140"/>
      <c r="Q9" s="2140"/>
      <c r="R9" s="2140"/>
      <c r="S9" s="2141"/>
      <c r="T9" s="2084" t="s">
        <v>530</v>
      </c>
      <c r="U9" s="2085"/>
      <c r="V9" s="2085"/>
      <c r="W9" s="2085"/>
      <c r="X9" s="2085"/>
      <c r="Y9" s="2085"/>
      <c r="Z9" s="2085"/>
      <c r="AA9" s="2086"/>
    </row>
    <row r="10" spans="1:32" ht="13.5" customHeight="1" x14ac:dyDescent="0.2">
      <c r="A10" s="2093" t="s">
        <v>670</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949</v>
      </c>
      <c r="B11" s="2097"/>
      <c r="C11" s="2097"/>
      <c r="D11" s="2097"/>
      <c r="E11" s="2097"/>
      <c r="F11" s="2097"/>
      <c r="G11" s="2097"/>
      <c r="H11" s="2098"/>
      <c r="I11" s="27"/>
      <c r="J11" s="71"/>
      <c r="K11" s="27"/>
      <c r="O11" s="144" t="s">
        <v>2051</v>
      </c>
      <c r="P11" s="97" t="s">
        <v>199</v>
      </c>
      <c r="Q11" s="30"/>
      <c r="R11" s="28"/>
      <c r="S11" s="27"/>
      <c r="T11" s="2090"/>
      <c r="U11" s="2091"/>
      <c r="V11" s="2091"/>
      <c r="W11" s="2091"/>
      <c r="X11" s="2091"/>
      <c r="Y11" s="2091"/>
      <c r="Z11" s="2091"/>
      <c r="AA11" s="209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4">
        <v>50082113002</v>
      </c>
      <c r="B13" s="2105"/>
      <c r="C13" s="2105"/>
      <c r="D13" s="2105"/>
      <c r="E13" s="2105"/>
      <c r="F13" s="2105"/>
      <c r="G13" s="2105"/>
      <c r="H13" s="2106"/>
      <c r="I13" s="31"/>
      <c r="J13" s="30"/>
      <c r="K13" s="28"/>
      <c r="L13" s="30"/>
      <c r="M13" s="30"/>
      <c r="N13" s="30"/>
      <c r="O13" s="30"/>
      <c r="P13" s="30"/>
      <c r="Q13" s="30"/>
      <c r="R13" s="30"/>
      <c r="S13" s="30"/>
      <c r="T13" s="2109" t="s">
        <v>2058</v>
      </c>
      <c r="U13" s="2110"/>
      <c r="V13" s="2110"/>
      <c r="W13" s="2110"/>
      <c r="X13" s="2110"/>
      <c r="Y13" s="2111"/>
      <c r="Z13" s="2111"/>
      <c r="AA13" s="211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2" t="s">
        <v>2052</v>
      </c>
      <c r="B15" s="2107"/>
      <c r="C15" s="2107"/>
      <c r="D15" s="2107"/>
      <c r="E15" s="2107"/>
      <c r="F15" s="2107"/>
      <c r="G15" s="2107"/>
      <c r="H15" s="2108"/>
      <c r="T15" s="2070" t="s">
        <v>2059</v>
      </c>
      <c r="U15" s="2071"/>
      <c r="V15" s="2071"/>
      <c r="W15" s="2071"/>
      <c r="X15" s="2071"/>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2" t="s">
        <v>2074</v>
      </c>
      <c r="B17" s="2132"/>
      <c r="C17" s="2132"/>
      <c r="D17" s="2132"/>
      <c r="E17" s="2132"/>
      <c r="F17" s="2132"/>
      <c r="G17" s="2132"/>
      <c r="H17" s="2133"/>
      <c r="T17" s="2119" t="s">
        <v>2060</v>
      </c>
      <c r="U17" s="2120"/>
      <c r="V17" s="2120"/>
      <c r="W17" s="2120"/>
      <c r="X17" s="2120"/>
      <c r="Y17" s="2120"/>
      <c r="Z17" s="2120"/>
      <c r="AA17" s="2121"/>
    </row>
    <row r="18" spans="1:27" ht="13.5" customHeight="1" x14ac:dyDescent="0.2">
      <c r="A18" s="82" t="s">
        <v>527</v>
      </c>
      <c r="B18" s="73"/>
      <c r="C18" s="69"/>
      <c r="D18" s="73"/>
      <c r="E18" s="73"/>
      <c r="F18" s="73"/>
      <c r="G18" s="73"/>
      <c r="H18" s="53"/>
      <c r="I18" s="2129" t="s">
        <v>671</v>
      </c>
      <c r="J18" s="2130"/>
      <c r="K18" s="2130"/>
      <c r="L18" s="2130"/>
      <c r="M18" s="2130"/>
      <c r="N18" s="2130"/>
      <c r="O18" s="2130"/>
      <c r="P18" s="2130"/>
      <c r="Q18" s="2130"/>
      <c r="R18" s="2130"/>
      <c r="S18" s="2131"/>
      <c r="T18" s="82" t="s">
        <v>706</v>
      </c>
      <c r="U18" s="48"/>
      <c r="V18" s="69"/>
      <c r="W18" s="47"/>
      <c r="X18" s="82" t="s">
        <v>264</v>
      </c>
      <c r="Y18" s="78"/>
      <c r="Z18" s="154" t="s">
        <v>672</v>
      </c>
      <c r="AA18" s="44"/>
    </row>
    <row r="19" spans="1:27" ht="13.5" customHeight="1" x14ac:dyDescent="0.2">
      <c r="A19" s="2102" t="s">
        <v>2053</v>
      </c>
      <c r="B19" s="2103"/>
      <c r="C19" s="2103"/>
      <c r="D19" s="2103"/>
      <c r="E19" s="2103"/>
      <c r="F19" s="2103"/>
      <c r="G19" s="2103"/>
      <c r="H19" s="2101"/>
      <c r="I19" s="30"/>
      <c r="J19" s="96"/>
      <c r="K19" s="40"/>
      <c r="L19" s="38"/>
      <c r="M19" s="109" t="s">
        <v>312</v>
      </c>
      <c r="P19" s="27"/>
      <c r="Q19" s="27"/>
      <c r="R19" s="27"/>
      <c r="S19" s="31"/>
      <c r="T19" s="2102" t="s">
        <v>2061</v>
      </c>
      <c r="U19" s="2100"/>
      <c r="V19" s="2100"/>
      <c r="W19" s="2101"/>
      <c r="X19" s="2117" t="s">
        <v>2062</v>
      </c>
      <c r="Y19" s="2118"/>
      <c r="Z19" s="2115">
        <v>62002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9" t="s">
        <v>2054</v>
      </c>
      <c r="B21" s="2100"/>
      <c r="C21" s="2100"/>
      <c r="D21" s="2100"/>
      <c r="E21" s="2100"/>
      <c r="F21" s="2100"/>
      <c r="G21" s="2100"/>
      <c r="H21" s="2101"/>
      <c r="I21" s="2125" t="s">
        <v>673</v>
      </c>
      <c r="J21" s="2088"/>
      <c r="K21" s="2088"/>
      <c r="L21" s="2088"/>
      <c r="M21" s="2088"/>
      <c r="N21" s="2088"/>
      <c r="O21" s="2088"/>
      <c r="P21" s="2088"/>
      <c r="Q21" s="2088"/>
      <c r="R21" s="2088"/>
      <c r="S21" s="2089"/>
      <c r="T21" s="2067" t="s">
        <v>2055</v>
      </c>
      <c r="U21" s="2068"/>
      <c r="V21" s="2068"/>
      <c r="W21" s="2068"/>
      <c r="X21" s="2081" t="s">
        <v>2056</v>
      </c>
      <c r="Y21" s="2082"/>
      <c r="Z21" s="2082"/>
      <c r="AA21" s="2083"/>
    </row>
    <row r="22" spans="1:27" ht="13.5" customHeight="1" x14ac:dyDescent="0.2">
      <c r="A22" s="84" t="s">
        <v>528</v>
      </c>
      <c r="B22" s="56"/>
      <c r="C22" s="56"/>
      <c r="D22" s="56"/>
      <c r="E22" s="56"/>
      <c r="F22" s="56"/>
      <c r="G22" s="56"/>
      <c r="H22" s="57"/>
      <c r="I22" s="2126" t="s">
        <v>1415</v>
      </c>
      <c r="J22" s="2127"/>
      <c r="K22" s="2127"/>
      <c r="L22" s="2127"/>
      <c r="M22" s="2127"/>
      <c r="N22" s="2127"/>
      <c r="O22" s="2127"/>
      <c r="P22" s="2127"/>
      <c r="Q22" s="2127"/>
      <c r="R22" s="2127"/>
      <c r="S22" s="2128"/>
      <c r="T22" s="82" t="s">
        <v>1502</v>
      </c>
      <c r="U22" s="48"/>
      <c r="V22" s="69"/>
      <c r="W22" s="48"/>
      <c r="X22" s="155" t="s">
        <v>1309</v>
      </c>
      <c r="Z22" s="43"/>
      <c r="AA22" s="44"/>
    </row>
    <row r="23" spans="1:27" ht="13.5" customHeight="1" x14ac:dyDescent="0.2">
      <c r="A23" s="2122"/>
      <c r="B23" s="2123"/>
      <c r="C23" s="2123"/>
      <c r="D23" s="2123"/>
      <c r="E23" s="2123"/>
      <c r="F23" s="2123"/>
      <c r="G23" s="2123"/>
      <c r="H23" s="2124"/>
      <c r="T23" s="2062" t="s">
        <v>2057</v>
      </c>
      <c r="U23" s="2063"/>
      <c r="V23" s="2063"/>
      <c r="W23" s="2063"/>
      <c r="X23" s="2078">
        <v>40877</v>
      </c>
      <c r="Y23" s="2079"/>
      <c r="Z23" s="2079"/>
      <c r="AA23" s="2080"/>
    </row>
    <row r="24" spans="1:27" ht="14.1" customHeight="1" x14ac:dyDescent="0.2">
      <c r="A24" s="85" t="s">
        <v>672</v>
      </c>
      <c r="B24" s="46"/>
      <c r="C24" s="46"/>
      <c r="D24" s="46"/>
      <c r="E24" s="46"/>
      <c r="F24" s="46"/>
      <c r="G24" s="46"/>
      <c r="H24" s="58"/>
      <c r="J24" s="2164">
        <f>IF(B5="x",IF(AUDITCHECK!D29="AFR form Incomplete.","",IF(AUDITCHECK!D29="Deficit reduction plan is required.","School District must complete a deficit reduction plan in the 2019-2020 Budget",)),"")</f>
        <v>0</v>
      </c>
      <c r="K24" s="2164"/>
      <c r="L24" s="2164"/>
      <c r="M24" s="2164"/>
      <c r="N24" s="2164"/>
      <c r="O24" s="2164"/>
      <c r="P24" s="2164"/>
      <c r="Q24" s="2164"/>
      <c r="R24" s="2164"/>
      <c r="S24" s="2165"/>
      <c r="T24" s="102" t="s">
        <v>528</v>
      </c>
      <c r="U24" s="103"/>
      <c r="V24" s="103"/>
      <c r="W24" s="103"/>
      <c r="X24" s="104"/>
      <c r="Y24" s="104"/>
      <c r="Z24" s="104"/>
      <c r="AA24" s="105"/>
    </row>
    <row r="25" spans="1:27" ht="14.1" customHeight="1" x14ac:dyDescent="0.2">
      <c r="A25" s="2099">
        <v>62226</v>
      </c>
      <c r="B25" s="2100"/>
      <c r="C25" s="2100"/>
      <c r="D25" s="2100"/>
      <c r="E25" s="2100"/>
      <c r="F25" s="2100"/>
      <c r="G25" s="2100"/>
      <c r="H25" s="2101"/>
      <c r="I25" s="110"/>
      <c r="J25" s="2166"/>
      <c r="K25" s="2166"/>
      <c r="L25" s="2166"/>
      <c r="M25" s="2166"/>
      <c r="N25" s="2166"/>
      <c r="O25" s="2166"/>
      <c r="P25" s="2166"/>
      <c r="Q25" s="2166"/>
      <c r="R25" s="2166"/>
      <c r="S25" s="2167"/>
      <c r="T25" s="2059"/>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7" t="s">
        <v>1497</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2051</v>
      </c>
      <c r="F29" s="137" t="s">
        <v>1307</v>
      </c>
      <c r="G29" s="111"/>
      <c r="I29" s="51"/>
      <c r="J29" s="99"/>
      <c r="K29" s="28" t="s">
        <v>572</v>
      </c>
      <c r="L29" s="144" t="s">
        <v>2051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2"/>
      <c r="B38" s="2132"/>
      <c r="C38" s="2132"/>
      <c r="D38" s="2132"/>
      <c r="E38" s="2132"/>
      <c r="F38" s="2100"/>
      <c r="G38" s="2100"/>
      <c r="H38" s="2101"/>
      <c r="I38" s="2151"/>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528</v>
      </c>
      <c r="B39" s="2156"/>
      <c r="C39" s="69"/>
      <c r="D39" s="66"/>
      <c r="E39" s="66"/>
      <c r="F39" s="76"/>
      <c r="G39" s="66"/>
      <c r="H39" s="53"/>
      <c r="I39" s="2155" t="s">
        <v>528</v>
      </c>
      <c r="J39" s="2156"/>
      <c r="K39" s="2156"/>
      <c r="L39" s="2156"/>
      <c r="M39" s="2156"/>
      <c r="N39" s="64"/>
      <c r="O39" s="69"/>
      <c r="P39" s="69"/>
      <c r="Q39" s="75"/>
      <c r="R39" s="69"/>
      <c r="S39" s="53"/>
      <c r="T39" s="69" t="s">
        <v>528</v>
      </c>
      <c r="U39" s="48"/>
      <c r="V39" s="69"/>
      <c r="W39" s="47"/>
      <c r="X39" s="75"/>
      <c r="Y39" s="43"/>
      <c r="Z39" s="43"/>
      <c r="AA39" s="44"/>
    </row>
    <row r="40" spans="1:27" ht="13.5" customHeight="1" x14ac:dyDescent="0.2">
      <c r="A40" s="2158"/>
      <c r="B40" s="2159"/>
      <c r="C40" s="2160"/>
      <c r="D40" s="2160"/>
      <c r="E40" s="2160"/>
      <c r="F40" s="2161"/>
      <c r="G40" s="2161"/>
      <c r="H40" s="2162"/>
      <c r="I40" s="2074"/>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8"/>
      <c r="B42" s="2149"/>
      <c r="C42" s="2150"/>
      <c r="D42" s="2163"/>
      <c r="E42" s="2149"/>
      <c r="F42" s="2149"/>
      <c r="G42" s="2149"/>
      <c r="H42" s="2150"/>
      <c r="I42" s="2069"/>
      <c r="J42" s="2065"/>
      <c r="K42" s="2065"/>
      <c r="L42" s="2065"/>
      <c r="M42" s="2065"/>
      <c r="N42" s="2065"/>
      <c r="O42" s="2066"/>
      <c r="P42" s="2064"/>
      <c r="Q42" s="2065"/>
      <c r="R42" s="2065"/>
      <c r="S42" s="2066"/>
      <c r="T42" s="2069"/>
      <c r="U42" s="2065"/>
      <c r="V42" s="2065"/>
      <c r="W42" s="2066"/>
      <c r="X42" s="2064"/>
      <c r="Y42" s="2065"/>
      <c r="Z42" s="2065"/>
      <c r="AA42" s="206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71" t="s">
        <v>1058</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686</v>
      </c>
      <c r="B40" s="2168"/>
      <c r="C40" s="2168"/>
      <c r="D40" s="2168"/>
      <c r="E40" s="2168"/>
    </row>
    <row r="41" spans="1:5" x14ac:dyDescent="0.2">
      <c r="A41" s="2169" t="s">
        <v>1594</v>
      </c>
      <c r="B41" s="2169"/>
      <c r="C41" s="2169"/>
      <c r="D41" s="2169"/>
      <c r="E41" s="2169"/>
    </row>
    <row r="42" spans="1:5" ht="12.75" customHeight="1" x14ac:dyDescent="0.2">
      <c r="A42" s="2170" t="s">
        <v>1015</v>
      </c>
      <c r="B42" s="2170"/>
      <c r="C42" s="2170"/>
      <c r="D42" s="2170"/>
      <c r="E42" s="217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115" zoomScaleNormal="115"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1160</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6" t="s">
        <v>1619</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310</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1314</v>
      </c>
      <c r="B70" s="2189"/>
      <c r="C70" s="2189"/>
      <c r="D70" s="2189"/>
      <c r="E70" s="2190"/>
      <c r="F70" s="2190"/>
      <c r="G70" s="2190"/>
      <c r="H70" s="2190"/>
      <c r="I70" s="219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1311</v>
      </c>
      <c r="B83" s="2191"/>
      <c r="C83" s="2191"/>
      <c r="D83" s="219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02" t="s">
        <v>1992</v>
      </c>
      <c r="B85" s="2202"/>
      <c r="C85" s="2202"/>
      <c r="D85" s="2203"/>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204" t="s">
        <v>1992</v>
      </c>
      <c r="B88" s="2205"/>
      <c r="C88" s="2205"/>
      <c r="D88" s="2206"/>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2058</v>
      </c>
      <c r="D114" s="218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1321</v>
      </c>
      <c r="D117" s="2184"/>
      <c r="E117" s="2185"/>
      <c r="F117" s="2185"/>
      <c r="G117" s="2185"/>
      <c r="H117" s="218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B36" sqref="B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383</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186986434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1.7500000000000002E-2</v>
      </c>
      <c r="E10" s="333" t="s">
        <v>998</v>
      </c>
      <c r="F10" s="332">
        <v>5.4999999999999997E-3</v>
      </c>
      <c r="G10" s="333" t="s">
        <v>998</v>
      </c>
      <c r="H10" s="332">
        <v>1.191E-3</v>
      </c>
      <c r="I10" s="333" t="s">
        <v>999</v>
      </c>
      <c r="J10" s="1424">
        <f>ROUND(D10+F10+H10,5)</f>
        <v>2.419E-2</v>
      </c>
      <c r="K10" s="217"/>
      <c r="L10" s="332">
        <v>5.0000000000000001E-4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6892924</v>
      </c>
      <c r="E16" s="1547"/>
      <c r="F16" s="1546">
        <f>SUM('Acct Summary 7-8'!C17,'Acct Summary 7-8'!D17,'Acct Summary 7-8'!F17)</f>
        <v>7061747</v>
      </c>
      <c r="G16" s="1547"/>
      <c r="H16" s="1546">
        <f>SUM(D16-F16)</f>
        <v>-168823</v>
      </c>
      <c r="I16" s="1548"/>
      <c r="J16" s="1546">
        <f>SUM('Acct Summary 7-8'!C81,'Acct Summary 7-8'!D81,'Acct Summary 7-8'!F81,'Acct Summary 7-8'!I81)</f>
        <v>5727712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1065</v>
      </c>
      <c r="E31" s="217"/>
      <c r="F31" s="217"/>
      <c r="G31" s="340"/>
      <c r="H31" s="1425">
        <f>IF(B31="X",(J7*0.069),IF(B32="X",(J7*0.138),"Enter x in a.or b."))</f>
        <v>12902063.946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9137082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552</v>
      </c>
      <c r="B2" s="2226"/>
      <c r="C2" s="2226"/>
      <c r="D2" s="2226"/>
      <c r="E2" s="2226"/>
      <c r="F2" s="2226"/>
      <c r="G2" s="2226"/>
      <c r="H2" s="2226"/>
      <c r="I2" s="2226"/>
      <c r="J2" s="2226"/>
      <c r="K2" s="2226"/>
      <c r="L2" s="2226"/>
      <c r="M2" s="2226"/>
      <c r="N2" s="2226"/>
      <c r="O2" s="2226"/>
      <c r="P2" s="2226"/>
      <c r="Q2" s="2226"/>
      <c r="R2" s="2226"/>
    </row>
    <row r="3" spans="1:18" ht="12.75" x14ac:dyDescent="0.2">
      <c r="A3" s="2227" t="s">
        <v>1399</v>
      </c>
      <c r="B3" s="2227"/>
      <c r="C3" s="2227"/>
      <c r="D3" s="2227"/>
      <c r="E3" s="2227"/>
      <c r="F3" s="2227"/>
      <c r="G3" s="2227"/>
      <c r="H3" s="2227"/>
      <c r="I3" s="2227"/>
      <c r="J3" s="2227"/>
      <c r="K3" s="2227"/>
      <c r="L3" s="2227"/>
      <c r="M3" s="2227"/>
      <c r="N3" s="2227"/>
      <c r="O3" s="2227"/>
      <c r="P3" s="2227"/>
      <c r="Q3" s="2227"/>
      <c r="R3" s="2227"/>
    </row>
    <row r="4" spans="1:18" x14ac:dyDescent="0.2">
      <c r="A4" s="2228" t="s">
        <v>1540</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Wolf Branch SD 113</v>
      </c>
      <c r="E7" s="368"/>
      <c r="G7" s="247"/>
      <c r="H7" s="364"/>
      <c r="I7" s="364"/>
      <c r="J7" s="364"/>
      <c r="K7" s="364"/>
      <c r="L7" s="307"/>
      <c r="M7" s="307"/>
      <c r="N7" s="307"/>
      <c r="O7" s="307"/>
      <c r="P7" s="307"/>
    </row>
    <row r="8" spans="1:18" ht="12.75" x14ac:dyDescent="0.2">
      <c r="A8" s="307"/>
      <c r="B8" s="307"/>
      <c r="C8" s="366" t="s">
        <v>1117</v>
      </c>
      <c r="D8" s="369">
        <f>COVER!A13</f>
        <v>50082113002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5727712</v>
      </c>
      <c r="I12" s="380"/>
      <c r="J12" s="380"/>
      <c r="K12" s="1559">
        <f>TRUNC((H12/H13*100000),5)/100000</f>
        <v>0.83387423350000001</v>
      </c>
      <c r="L12" s="381"/>
      <c r="M12" s="337" t="s">
        <v>1136</v>
      </c>
      <c r="N12" s="337"/>
      <c r="O12" s="1562">
        <v>0.35</v>
      </c>
      <c r="P12" s="213"/>
      <c r="Q12" s="213"/>
    </row>
    <row r="13" spans="1:18" s="382" customFormat="1" ht="12.75" x14ac:dyDescent="0.2">
      <c r="A13" s="213"/>
      <c r="B13" s="377"/>
      <c r="C13" s="2224" t="s">
        <v>1315</v>
      </c>
      <c r="D13" s="2225"/>
      <c r="E13" s="213"/>
      <c r="F13" s="383" t="s">
        <v>788</v>
      </c>
      <c r="G13" s="378"/>
      <c r="H13" s="1551">
        <f>SUM('Acct Summary 7-8'!C8+'Acct Summary 7-8'!D8+'Acct Summary 7-8'!F8+'Acct Summary 7-8'!I8)+H14</f>
        <v>6868796</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-24128</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7061747</v>
      </c>
      <c r="I17" s="380"/>
      <c r="J17" s="389"/>
      <c r="K17" s="1559">
        <f>TRUNC((H17/H18*100000),5)/100000</f>
        <v>1.0280909492000001</v>
      </c>
      <c r="L17" s="381"/>
      <c r="M17" s="390" t="s">
        <v>1163</v>
      </c>
      <c r="O17" s="1565" t="str">
        <f>IF(AND(O16="2", J20 &gt; 2),"1",IF(AND(O16 = "1", J20 &gt; 2),"2",IF(AND(O16="1", J20 &gt;1),"1","0")))</f>
        <v>0</v>
      </c>
      <c r="P17" s="213"/>
    </row>
    <row r="18" spans="1:18" s="382" customFormat="1" ht="11.25" x14ac:dyDescent="0.2">
      <c r="A18" s="213"/>
      <c r="B18" s="377"/>
      <c r="C18" s="2224" t="s">
        <v>1308</v>
      </c>
      <c r="D18" s="2225"/>
      <c r="E18" s="213"/>
      <c r="F18" s="391" t="s">
        <v>789</v>
      </c>
      <c r="G18" s="378"/>
      <c r="H18" s="1551">
        <f>SUM('Acct Summary 7-8'!C8+'Acct Summary 7-8'!D8+'Acct Summary 7-8'!F8+'Acct Summary 7-8'!I8)+H19</f>
        <v>6868796</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-24128</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f>IF(K17&lt;=1,"0",TRUNC(((K12-0.1)/(K17-1)*100),5)/100)</f>
        <v>26.124935399999998</v>
      </c>
      <c r="K20" s="1559" t="str">
        <f>IF(K17&lt;=1,"0",IF(AND(O16="2", J20 &gt; 2),TRUNC(((K12-0.1)/(K17-1)*100),5)/100,IF(AND(O16 = "1", J20 &gt; 2),TRUNC(((K12-0.1)/(K17-1)*100),5)/100,IF(AND(O16="1", J20 &gt;1),TRUNC(((K12-0.1)/(K17-1)*100),5)/100,""))))</f>
        <v/>
      </c>
      <c r="L20" s="213"/>
      <c r="M20" s="337" t="s">
        <v>1137</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21" t="s">
        <v>1398</v>
      </c>
      <c r="D24" s="2221"/>
      <c r="E24" s="213"/>
      <c r="F24" s="213" t="s">
        <v>442</v>
      </c>
      <c r="G24" s="378"/>
      <c r="H24" s="1551">
        <f>SUM('Assets-Liab 5-6'!C4+'Assets-Liab 5-6'!D4+'Assets-Liab 5-6'!F4+'Assets-Liab 5-6'!I4+'Assets-Liab 5-6'!C5+'Assets-Liab 5-6'!D5+'Assets-Liab 5-6'!F5+'Assets-Liab 5-6'!I5)</f>
        <v>5727819</v>
      </c>
      <c r="I24" s="394"/>
      <c r="J24" s="394"/>
      <c r="K24" s="1555">
        <f>TRUNC(((H24/H25*100000)/100000),2)</f>
        <v>291.99</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19615.963889999999</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3844721.56269</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2</v>
      </c>
      <c r="P31" s="211"/>
    </row>
    <row r="32" spans="1:18" s="382" customFormat="1" ht="11.25" x14ac:dyDescent="0.2">
      <c r="A32" s="213"/>
      <c r="B32" s="377"/>
      <c r="C32" s="213" t="s">
        <v>842</v>
      </c>
      <c r="D32" s="213"/>
      <c r="E32" s="213"/>
      <c r="F32" s="213"/>
      <c r="G32" s="378"/>
      <c r="H32" s="1551">
        <f>'FP Info 3'!H37</f>
        <v>9137082</v>
      </c>
      <c r="I32" s="392"/>
      <c r="J32" s="392"/>
      <c r="K32" s="1555">
        <f>TRUNC(100-((((H32/H33*100))*100)/100),2)</f>
        <v>29.18</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12902063.946</v>
      </c>
      <c r="I33" s="392"/>
      <c r="J33" s="392"/>
      <c r="K33" s="379"/>
      <c r="L33" s="213"/>
      <c r="M33" s="401" t="s">
        <v>1137</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M20" sqref="M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1" t="s">
        <v>967</v>
      </c>
      <c r="B3" s="2232"/>
      <c r="C3" s="1306"/>
      <c r="D3" s="1307"/>
      <c r="E3" s="1307"/>
      <c r="F3" s="1307"/>
      <c r="G3" s="1307"/>
      <c r="H3" s="1307"/>
      <c r="I3" s="1307"/>
      <c r="J3" s="1307"/>
      <c r="K3" s="1307"/>
      <c r="L3" s="1307"/>
      <c r="M3" s="1308"/>
      <c r="N3" s="1309"/>
    </row>
    <row r="4" spans="1:14" ht="13.5" customHeight="1" x14ac:dyDescent="0.2">
      <c r="A4" s="427" t="s">
        <v>1635</v>
      </c>
      <c r="B4" s="428"/>
      <c r="C4" s="1572">
        <f>3500+500</f>
        <v>4000</v>
      </c>
      <c r="D4" s="1573"/>
      <c r="E4" s="1573"/>
      <c r="F4" s="1573"/>
      <c r="G4" s="1573"/>
      <c r="H4" s="1573"/>
      <c r="I4" s="1573"/>
      <c r="J4" s="1574"/>
      <c r="K4" s="1573"/>
      <c r="L4" s="1573"/>
      <c r="M4" s="1575"/>
      <c r="N4" s="1576"/>
    </row>
    <row r="5" spans="1:14" x14ac:dyDescent="0.2">
      <c r="A5" s="427" t="s">
        <v>985</v>
      </c>
      <c r="B5" s="429">
        <v>120</v>
      </c>
      <c r="C5" s="1572">
        <v>58661</v>
      </c>
      <c r="D5" s="1573">
        <v>3261600</v>
      </c>
      <c r="E5" s="1573">
        <v>116884</v>
      </c>
      <c r="F5" s="1573">
        <v>543187</v>
      </c>
      <c r="G5" s="1573">
        <v>162227</v>
      </c>
      <c r="H5" s="1573">
        <v>1360693</v>
      </c>
      <c r="I5" s="1573">
        <v>1860371</v>
      </c>
      <c r="J5" s="1574">
        <v>279656</v>
      </c>
      <c r="K5" s="1577">
        <v>8984064</v>
      </c>
      <c r="L5" s="1578">
        <v>68232</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62661</v>
      </c>
      <c r="D13" s="1587">
        <f t="shared" ref="D13:L13" si="0">SUM(D4:D12)</f>
        <v>3261600</v>
      </c>
      <c r="E13" s="1587">
        <f t="shared" si="0"/>
        <v>116884</v>
      </c>
      <c r="F13" s="1587">
        <f t="shared" si="0"/>
        <v>543187</v>
      </c>
      <c r="G13" s="1587">
        <f t="shared" si="0"/>
        <v>162227</v>
      </c>
      <c r="H13" s="1587">
        <f t="shared" si="0"/>
        <v>1360693</v>
      </c>
      <c r="I13" s="1587">
        <f t="shared" si="0"/>
        <v>1860371</v>
      </c>
      <c r="J13" s="1587">
        <f t="shared" si="0"/>
        <v>279656</v>
      </c>
      <c r="K13" s="1587">
        <f t="shared" si="0"/>
        <v>8984064</v>
      </c>
      <c r="L13" s="1587">
        <f t="shared" si="0"/>
        <v>68232</v>
      </c>
      <c r="M13" s="1575"/>
      <c r="N13" s="1576"/>
    </row>
    <row r="14" spans="1:14" ht="18" customHeight="1" thickTop="1" x14ac:dyDescent="0.2">
      <c r="A14" s="2233" t="s">
        <v>146</v>
      </c>
      <c r="B14" s="2234"/>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f>+'Cap Outlay Deprec 26'!F5</f>
        <v>393889</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f>+'Cap Outlay Deprec 26'!F8</f>
        <v>27568827</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f>+'Cap Outlay Deprec 26'!F10</f>
        <v>1702080</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+'Cap Outlay Deprec 26'!F12+'Cap Outlay Deprec 26'!F13</f>
        <v>1219275</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f>+'Cap Outlay Deprec 26'!F15</f>
        <v>2616609</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+E39</f>
        <v>116884</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9020198</v>
      </c>
    </row>
    <row r="23" spans="1:14" ht="13.5" customHeight="1" thickBot="1" x14ac:dyDescent="0.25">
      <c r="A23" s="1426" t="s">
        <v>638</v>
      </c>
      <c r="B23" s="1429"/>
      <c r="C23" s="1575"/>
      <c r="D23" s="1575"/>
      <c r="E23" s="1575"/>
      <c r="F23" s="1575"/>
      <c r="G23" s="1575"/>
      <c r="H23" s="1575"/>
      <c r="I23" s="1575"/>
      <c r="J23" s="1575"/>
      <c r="K23" s="1575"/>
      <c r="L23" s="1575"/>
      <c r="M23" s="1594">
        <f>SUM(M15:M22)</f>
        <v>33500680</v>
      </c>
      <c r="N23" s="1594">
        <f>SUM(N21:N22)</f>
        <v>9137082</v>
      </c>
    </row>
    <row r="24" spans="1:14" ht="18" customHeight="1" thickTop="1" x14ac:dyDescent="0.2">
      <c r="A24" s="2235" t="s">
        <v>594</v>
      </c>
      <c r="B24" s="223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-400</v>
      </c>
      <c r="D31" s="1574">
        <v>507</v>
      </c>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f>+L13</f>
        <v>68232</v>
      </c>
      <c r="M33" s="1575"/>
      <c r="N33" s="1576"/>
    </row>
    <row r="34" spans="1:14" ht="13.5" customHeight="1" thickBot="1" x14ac:dyDescent="0.25">
      <c r="A34" s="1427" t="s">
        <v>649</v>
      </c>
      <c r="B34" s="1428"/>
      <c r="C34" s="1600">
        <f>SUM(C25:C33)</f>
        <v>-400</v>
      </c>
      <c r="D34" s="1600">
        <f t="shared" ref="D34:K34" si="1">SUM(D25:D33)</f>
        <v>507</v>
      </c>
      <c r="E34" s="1600">
        <f t="shared" si="1"/>
        <v>0</v>
      </c>
      <c r="F34" s="1600">
        <f t="shared" si="1"/>
        <v>0</v>
      </c>
      <c r="G34" s="1600">
        <f t="shared" si="1"/>
        <v>0</v>
      </c>
      <c r="H34" s="1600">
        <f t="shared" si="1"/>
        <v>0</v>
      </c>
      <c r="I34" s="1600">
        <f t="shared" si="1"/>
        <v>0</v>
      </c>
      <c r="J34" s="1600">
        <f t="shared" si="1"/>
        <v>0</v>
      </c>
      <c r="K34" s="1600">
        <f t="shared" si="1"/>
        <v>0</v>
      </c>
      <c r="L34" s="1601">
        <f>SUM(L33)</f>
        <v>68232</v>
      </c>
      <c r="M34" s="1575"/>
      <c r="N34" s="1585"/>
    </row>
    <row r="35" spans="1:14" ht="18" customHeight="1" thickTop="1" x14ac:dyDescent="0.2">
      <c r="A35" s="2237" t="s">
        <v>526</v>
      </c>
      <c r="B35" s="223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9137082</v>
      </c>
    </row>
    <row r="37" spans="1:14" ht="13.5" thickBot="1" x14ac:dyDescent="0.25">
      <c r="A37" s="1426" t="s">
        <v>648</v>
      </c>
      <c r="B37" s="1429"/>
      <c r="C37" s="1582"/>
      <c r="D37" s="1582"/>
      <c r="E37" s="1582"/>
      <c r="F37" s="1582"/>
      <c r="G37" s="1582"/>
      <c r="H37" s="1582"/>
      <c r="I37" s="1582"/>
      <c r="J37" s="1582"/>
      <c r="K37" s="1582"/>
      <c r="L37" s="1585"/>
      <c r="M37" s="1575"/>
      <c r="N37" s="1594">
        <f>SUM(N36:N36)</f>
        <v>9137082</v>
      </c>
    </row>
    <row r="38" spans="1:14" s="307" customFormat="1" ht="13.5" customHeight="1" thickTop="1" x14ac:dyDescent="0.2">
      <c r="A38" s="438" t="s">
        <v>417</v>
      </c>
      <c r="B38" s="432">
        <v>714</v>
      </c>
      <c r="C38" s="1573">
        <v>275294</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f>+C13-C34-C38</f>
        <v>-212233</v>
      </c>
      <c r="D39" s="1573">
        <f t="shared" ref="D39:K39" si="2">+D13-D34</f>
        <v>3261093</v>
      </c>
      <c r="E39" s="1573">
        <f t="shared" si="2"/>
        <v>116884</v>
      </c>
      <c r="F39" s="1573">
        <f t="shared" si="2"/>
        <v>543187</v>
      </c>
      <c r="G39" s="1573">
        <f t="shared" si="2"/>
        <v>162227</v>
      </c>
      <c r="H39" s="1573">
        <f t="shared" si="2"/>
        <v>1360693</v>
      </c>
      <c r="I39" s="1573">
        <f t="shared" si="2"/>
        <v>1860371</v>
      </c>
      <c r="J39" s="1573">
        <f t="shared" si="2"/>
        <v>279656</v>
      </c>
      <c r="K39" s="1573">
        <f t="shared" si="2"/>
        <v>8984064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33500680</v>
      </c>
      <c r="N40" s="1604"/>
    </row>
    <row r="41" spans="1:14" ht="13.5" customHeight="1" thickBot="1" x14ac:dyDescent="0.25">
      <c r="A41" s="1426" t="s">
        <v>650</v>
      </c>
      <c r="B41" s="1405"/>
      <c r="C41" s="1594">
        <f>(SUM(C34,C37,C38,C39))</f>
        <v>62661</v>
      </c>
      <c r="D41" s="1594">
        <f t="shared" ref="D41:L41" si="3">SUM(D34,D37,D38:D39)</f>
        <v>3261600</v>
      </c>
      <c r="E41" s="1594">
        <f t="shared" si="3"/>
        <v>116884</v>
      </c>
      <c r="F41" s="1594">
        <f t="shared" si="3"/>
        <v>543187</v>
      </c>
      <c r="G41" s="1594">
        <f t="shared" si="3"/>
        <v>162227</v>
      </c>
      <c r="H41" s="1594">
        <f t="shared" si="3"/>
        <v>1360693</v>
      </c>
      <c r="I41" s="1594">
        <f t="shared" si="3"/>
        <v>1860371</v>
      </c>
      <c r="J41" s="1594">
        <f t="shared" si="3"/>
        <v>279656</v>
      </c>
      <c r="K41" s="1594">
        <f t="shared" si="3"/>
        <v>8984064</v>
      </c>
      <c r="L41" s="1594">
        <f t="shared" si="3"/>
        <v>68232</v>
      </c>
      <c r="M41" s="1594">
        <f>SUM(M40)</f>
        <v>33500680</v>
      </c>
      <c r="N41" s="1594">
        <f>SUM(N37)</f>
        <v>9137082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54" sqref="C5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9" t="s">
        <v>1167</v>
      </c>
      <c r="B3" s="2260"/>
      <c r="C3" s="1311"/>
      <c r="D3" s="1312"/>
      <c r="E3" s="1312"/>
      <c r="F3" s="1312"/>
      <c r="G3" s="1312"/>
      <c r="H3" s="1312"/>
      <c r="I3" s="1312"/>
      <c r="J3" s="1312"/>
      <c r="K3" s="1313"/>
      <c r="L3" s="446"/>
    </row>
    <row r="4" spans="1:13" ht="15.75" customHeight="1" x14ac:dyDescent="0.2">
      <c r="A4" s="1537" t="s">
        <v>1485</v>
      </c>
      <c r="B4" s="1538">
        <v>1000</v>
      </c>
      <c r="C4" s="1606">
        <f>'Revenues 9-14'!C109</f>
        <v>3747780</v>
      </c>
      <c r="D4" s="1606">
        <f>'Revenues 9-14'!D109</f>
        <v>1025852</v>
      </c>
      <c r="E4" s="1606">
        <f>'Revenues 9-14'!E109</f>
        <v>1842658</v>
      </c>
      <c r="F4" s="1606">
        <f>'Revenues 9-14'!F109</f>
        <v>210358</v>
      </c>
      <c r="G4" s="1606">
        <f>'Revenues 9-14'!G109</f>
        <v>145682</v>
      </c>
      <c r="H4" s="1606">
        <f>'Revenues 9-14'!H109</f>
        <v>8632</v>
      </c>
      <c r="I4" s="1606">
        <f>'Revenues 9-14'!I109</f>
        <v>97360</v>
      </c>
      <c r="J4" s="1606">
        <f>'Revenues 9-14'!J109</f>
        <v>376121</v>
      </c>
      <c r="K4" s="1606">
        <f>'Revenues 9-14'!K109</f>
        <v>100514</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1298725</v>
      </c>
      <c r="D6" s="1607">
        <f>'Revenues 9-14'!D170</f>
        <v>0</v>
      </c>
      <c r="E6" s="1607">
        <f>'Revenues 9-14'!E170</f>
        <v>0</v>
      </c>
      <c r="F6" s="1607">
        <f>'Revenues 9-14'!F170</f>
        <v>162946</v>
      </c>
      <c r="G6" s="1607">
        <f>'Revenues 9-14'!G170</f>
        <v>0</v>
      </c>
      <c r="H6" s="1607">
        <f>'Revenues 9-14'!H170</f>
        <v>3105631</v>
      </c>
      <c r="I6" s="1607">
        <f>'Revenues 9-14'!I170</f>
        <v>0</v>
      </c>
      <c r="J6" s="1607">
        <f>'Revenues 9-14'!J170</f>
        <v>0</v>
      </c>
      <c r="K6" s="1607">
        <f>'Revenues 9-14'!K170</f>
        <v>0</v>
      </c>
      <c r="L6" s="325"/>
      <c r="M6" s="448"/>
    </row>
    <row r="7" spans="1:13" ht="15.75" customHeight="1" x14ac:dyDescent="0.2">
      <c r="A7" s="1314" t="s">
        <v>1488</v>
      </c>
      <c r="B7" s="1316">
        <v>4000</v>
      </c>
      <c r="C7" s="1607">
        <f>'Revenues 9-14'!C267</f>
        <v>349903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5396408</v>
      </c>
      <c r="D8" s="1594">
        <f t="shared" ref="D8:K8" si="0">SUM(D4:D7)</f>
        <v>1025852</v>
      </c>
      <c r="E8" s="1594">
        <f t="shared" si="0"/>
        <v>1842658</v>
      </c>
      <c r="F8" s="1594">
        <f t="shared" si="0"/>
        <v>373304</v>
      </c>
      <c r="G8" s="1594">
        <f t="shared" si="0"/>
        <v>145682</v>
      </c>
      <c r="H8" s="1594">
        <f t="shared" si="0"/>
        <v>3114263</v>
      </c>
      <c r="I8" s="1594">
        <f t="shared" si="0"/>
        <v>97360</v>
      </c>
      <c r="J8" s="1594">
        <f t="shared" si="0"/>
        <v>376121</v>
      </c>
      <c r="K8" s="1594">
        <f t="shared" si="0"/>
        <v>100514</v>
      </c>
      <c r="L8" s="325"/>
    </row>
    <row r="9" spans="1:13" ht="15.75" thickTop="1" x14ac:dyDescent="0.2">
      <c r="A9" s="449" t="s">
        <v>1637</v>
      </c>
      <c r="B9" s="450">
        <v>3998</v>
      </c>
      <c r="C9" s="1586">
        <v>3037009</v>
      </c>
      <c r="D9" s="1613"/>
      <c r="E9" s="1586"/>
      <c r="F9" s="1586"/>
      <c r="G9" s="1614"/>
      <c r="H9" s="1586"/>
      <c r="I9" s="1609" t="s">
        <v>1161</v>
      </c>
      <c r="J9" s="1583"/>
      <c r="K9" s="1586"/>
      <c r="L9" s="325"/>
    </row>
    <row r="10" spans="1:13" s="452" customFormat="1" ht="13.5" thickBot="1" x14ac:dyDescent="0.25">
      <c r="A10" s="1426" t="s">
        <v>1165</v>
      </c>
      <c r="B10" s="1407"/>
      <c r="C10" s="1594">
        <f>SUM(C8:C9)</f>
        <v>8433417</v>
      </c>
      <c r="D10" s="1594">
        <f t="shared" ref="D10:K10" si="1">SUM(D8:D9)</f>
        <v>1025852</v>
      </c>
      <c r="E10" s="1594">
        <f t="shared" si="1"/>
        <v>1842658</v>
      </c>
      <c r="F10" s="1594">
        <f t="shared" si="1"/>
        <v>373304</v>
      </c>
      <c r="G10" s="1594">
        <f t="shared" si="1"/>
        <v>145682</v>
      </c>
      <c r="H10" s="1594">
        <f t="shared" si="1"/>
        <v>3114263</v>
      </c>
      <c r="I10" s="1594">
        <f t="shared" si="1"/>
        <v>97360</v>
      </c>
      <c r="J10" s="1594">
        <f t="shared" si="1"/>
        <v>376121</v>
      </c>
      <c r="K10" s="1594">
        <f t="shared" si="1"/>
        <v>100514</v>
      </c>
      <c r="L10" s="451"/>
    </row>
    <row r="11" spans="1:13" s="452" customFormat="1" ht="16.7" customHeight="1" thickTop="1" x14ac:dyDescent="0.2">
      <c r="A11" s="2233" t="s">
        <v>1168</v>
      </c>
      <c r="B11" s="2234"/>
      <c r="C11" s="1602"/>
      <c r="D11" s="1603"/>
      <c r="E11" s="1603"/>
      <c r="F11" s="1603"/>
      <c r="G11" s="1603"/>
      <c r="H11" s="1603"/>
      <c r="I11" s="1603"/>
      <c r="J11" s="1603"/>
      <c r="K11" s="1615"/>
      <c r="L11" s="451"/>
    </row>
    <row r="12" spans="1:13" ht="15.75" customHeight="1" x14ac:dyDescent="0.2">
      <c r="A12" s="1314" t="s">
        <v>453</v>
      </c>
      <c r="B12" s="1316">
        <v>1000</v>
      </c>
      <c r="C12" s="1606">
        <f>'Expenditures 15-22'!K33</f>
        <v>4032489</v>
      </c>
      <c r="D12" s="1616" t="s">
        <v>1161</v>
      </c>
      <c r="E12" s="1575" t="s">
        <v>1161</v>
      </c>
      <c r="F12" s="1575" t="s">
        <v>1161</v>
      </c>
      <c r="G12" s="1606">
        <f>'Expenditures 15-22'!K229</f>
        <v>92260</v>
      </c>
      <c r="H12" s="1617"/>
      <c r="I12" s="1575" t="s">
        <v>1161</v>
      </c>
      <c r="J12" s="1575" t="s">
        <v>1161</v>
      </c>
      <c r="K12" s="1617" t="s">
        <v>1161</v>
      </c>
      <c r="L12" s="325"/>
    </row>
    <row r="13" spans="1:13" ht="15.75" customHeight="1" x14ac:dyDescent="0.2">
      <c r="A13" s="1314" t="s">
        <v>454</v>
      </c>
      <c r="B13" s="1316">
        <v>2000</v>
      </c>
      <c r="C13" s="1607">
        <f>'Expenditures 15-22'!K74</f>
        <v>1229550</v>
      </c>
      <c r="D13" s="1607">
        <f>'Expenditures 15-22'!K129</f>
        <v>931198</v>
      </c>
      <c r="E13" s="1576" t="s">
        <v>1161</v>
      </c>
      <c r="F13" s="1607">
        <f>'Expenditures 15-22'!K184</f>
        <v>329707</v>
      </c>
      <c r="G13" s="1607">
        <f>'Expenditures 15-22'!K279</f>
        <v>99867</v>
      </c>
      <c r="H13" s="1607">
        <f>'Expenditures 15-22'!K303</f>
        <v>2616609</v>
      </c>
      <c r="I13" s="1575" t="s">
        <v>1161</v>
      </c>
      <c r="J13" s="1607">
        <f>'Expenditures 15-22'!K330</f>
        <v>319235</v>
      </c>
      <c r="K13" s="1618">
        <f>'Expenditures 15-22'!K352</f>
        <v>0</v>
      </c>
      <c r="L13" s="325"/>
    </row>
    <row r="14" spans="1:13" ht="15.75" customHeight="1" x14ac:dyDescent="0.2">
      <c r="A14" s="1314" t="s">
        <v>446</v>
      </c>
      <c r="B14" s="1316">
        <v>3000</v>
      </c>
      <c r="C14" s="1607">
        <f>'Expenditures 15-22'!K75</f>
        <v>117827</v>
      </c>
      <c r="D14" s="1607">
        <f>'Expenditures 15-22'!K130</f>
        <v>0</v>
      </c>
      <c r="E14" s="1616" t="s">
        <v>1161</v>
      </c>
      <c r="F14" s="1607">
        <f>'Expenditures 15-22'!K185</f>
        <v>0</v>
      </c>
      <c r="G14" s="1607">
        <f>'Expenditures 15-22'!K280</f>
        <v>11057</v>
      </c>
      <c r="H14" s="1612"/>
      <c r="I14" s="1575" t="s">
        <v>1161</v>
      </c>
      <c r="J14" s="1575" t="s">
        <v>1161</v>
      </c>
      <c r="K14" s="1612" t="s">
        <v>1161</v>
      </c>
      <c r="L14" s="325"/>
    </row>
    <row r="15" spans="1:13" ht="15.75" customHeight="1" x14ac:dyDescent="0.2">
      <c r="A15" s="1314" t="s">
        <v>107</v>
      </c>
      <c r="B15" s="1316">
        <v>4000</v>
      </c>
      <c r="C15" s="1607">
        <f>'Expenditures 15-22'!K102</f>
        <v>420976</v>
      </c>
      <c r="D15" s="1607">
        <f>'Expenditures 15-22'!K139</f>
        <v>0</v>
      </c>
      <c r="E15" s="1607">
        <f>'Expenditures 15-22'!K160</f>
        <v>0</v>
      </c>
      <c r="F15" s="1607">
        <f>'Expenditures 15-22'!K196</f>
        <v>0</v>
      </c>
      <c r="G15" s="1607">
        <f>'Expenditures 15-22'!K285</f>
        <v>120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2098760</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5800842</v>
      </c>
      <c r="D17" s="1594">
        <f t="shared" si="2"/>
        <v>931198</v>
      </c>
      <c r="E17" s="1594">
        <f t="shared" si="2"/>
        <v>2098760</v>
      </c>
      <c r="F17" s="1594">
        <f t="shared" si="2"/>
        <v>329707</v>
      </c>
      <c r="G17" s="1594">
        <f t="shared" si="2"/>
        <v>203304</v>
      </c>
      <c r="H17" s="1594">
        <f t="shared" si="2"/>
        <v>2616609</v>
      </c>
      <c r="I17" s="1575"/>
      <c r="J17" s="1594">
        <f>SUM(J12:J16)</f>
        <v>319235</v>
      </c>
      <c r="K17" s="1594">
        <f>SUM(K12:K16)</f>
        <v>0</v>
      </c>
      <c r="L17" s="325"/>
    </row>
    <row r="18" spans="1:12" ht="15" customHeight="1" thickTop="1" x14ac:dyDescent="0.2">
      <c r="A18" s="1430" t="s">
        <v>1638</v>
      </c>
      <c r="B18" s="1431">
        <v>4180</v>
      </c>
      <c r="C18" s="1606">
        <f t="shared" ref="C18:H18" si="3">C9</f>
        <v>3037009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8837851</v>
      </c>
      <c r="D19" s="1594">
        <f t="shared" si="4"/>
        <v>931198</v>
      </c>
      <c r="E19" s="1594">
        <f t="shared" si="4"/>
        <v>2098760</v>
      </c>
      <c r="F19" s="1594">
        <f t="shared" si="4"/>
        <v>329707</v>
      </c>
      <c r="G19" s="1594">
        <f t="shared" si="4"/>
        <v>203304</v>
      </c>
      <c r="H19" s="1594">
        <f t="shared" si="4"/>
        <v>2616609</v>
      </c>
      <c r="I19" s="1575"/>
      <c r="J19" s="1594">
        <f>SUM(J17:J18)</f>
        <v>319235</v>
      </c>
      <c r="K19" s="1594">
        <f>SUM(K17:K18)</f>
        <v>0</v>
      </c>
      <c r="L19" s="325"/>
    </row>
    <row r="20" spans="1:12" ht="16.5" thickTop="1" thickBot="1" x14ac:dyDescent="0.25">
      <c r="A20" s="2249" t="s">
        <v>1639</v>
      </c>
      <c r="B20" s="2250"/>
      <c r="C20" s="1622">
        <f>C8-C17</f>
        <v>-404434</v>
      </c>
      <c r="D20" s="1622">
        <f t="shared" ref="D20:K20" si="5">D8-D17</f>
        <v>94654</v>
      </c>
      <c r="E20" s="1622">
        <f t="shared" si="5"/>
        <v>-256102</v>
      </c>
      <c r="F20" s="1622">
        <f t="shared" si="5"/>
        <v>43597</v>
      </c>
      <c r="G20" s="1622">
        <f t="shared" si="5"/>
        <v>-57622</v>
      </c>
      <c r="H20" s="1622">
        <f t="shared" si="5"/>
        <v>497654</v>
      </c>
      <c r="I20" s="1622">
        <f t="shared" si="5"/>
        <v>97360</v>
      </c>
      <c r="J20" s="1622">
        <f t="shared" si="5"/>
        <v>56886</v>
      </c>
      <c r="K20" s="1622">
        <f t="shared" si="5"/>
        <v>100514</v>
      </c>
      <c r="L20" s="325"/>
    </row>
    <row r="21" spans="1:12" ht="16.7" customHeight="1" thickTop="1" x14ac:dyDescent="0.2">
      <c r="A21" s="2261" t="s">
        <v>591</v>
      </c>
      <c r="B21" s="2262"/>
      <c r="C21" s="1602"/>
      <c r="D21" s="1603"/>
      <c r="E21" s="1603"/>
      <c r="F21" s="1603"/>
      <c r="G21" s="1603"/>
      <c r="H21" s="1603"/>
      <c r="I21" s="1603"/>
      <c r="J21" s="1603"/>
      <c r="K21" s="1615"/>
      <c r="L21" s="453"/>
    </row>
    <row r="22" spans="1:12" ht="15.75" customHeight="1" collapsed="1" x14ac:dyDescent="0.2">
      <c r="A22" s="2257" t="s">
        <v>592</v>
      </c>
      <c r="B22" s="2258"/>
      <c r="C22" s="1582"/>
      <c r="D22" s="1582"/>
      <c r="E22" s="1582"/>
      <c r="F22" s="1582"/>
      <c r="G22" s="1582"/>
      <c r="H22" s="1582"/>
      <c r="I22" s="1582"/>
      <c r="J22" s="1582"/>
      <c r="K22" s="1582"/>
      <c r="L22" s="325"/>
    </row>
    <row r="23" spans="1:12" s="433" customFormat="1" ht="15.75" customHeight="1" x14ac:dyDescent="0.2">
      <c r="A23" s="2253" t="s">
        <v>290</v>
      </c>
      <c r="B23" s="2254"/>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v>350000</v>
      </c>
      <c r="D25" s="1574">
        <v>1500000</v>
      </c>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55" t="s">
        <v>974</v>
      </c>
      <c r="B32" s="2256"/>
      <c r="C32" s="1582"/>
      <c r="D32" s="1582"/>
      <c r="E32" s="1580"/>
      <c r="F32" s="1582"/>
      <c r="G32" s="1582"/>
      <c r="H32" s="1582"/>
      <c r="I32" s="1582"/>
      <c r="J32" s="1582"/>
      <c r="K32" s="1582"/>
      <c r="L32" s="453"/>
    </row>
    <row r="33" spans="1:12" s="433" customFormat="1" x14ac:dyDescent="0.2">
      <c r="A33" s="1260" t="s">
        <v>409</v>
      </c>
      <c r="B33" s="454">
        <v>7210</v>
      </c>
      <c r="C33" s="1574">
        <v>68218</v>
      </c>
      <c r="D33" s="1574"/>
      <c r="E33" s="1574"/>
      <c r="F33" s="1574"/>
      <c r="G33" s="1582"/>
      <c r="H33" s="1574"/>
      <c r="I33" s="1574">
        <v>872992</v>
      </c>
      <c r="J33" s="1574"/>
      <c r="K33" s="1574">
        <v>8220000</v>
      </c>
      <c r="L33" s="453"/>
    </row>
    <row r="34" spans="1:12" s="433" customFormat="1" x14ac:dyDescent="0.2">
      <c r="A34" s="1260" t="s">
        <v>994</v>
      </c>
      <c r="B34" s="454">
        <v>7220</v>
      </c>
      <c r="C34" s="1574"/>
      <c r="D34" s="1574"/>
      <c r="E34" s="1574">
        <v>223643</v>
      </c>
      <c r="F34" s="1574"/>
      <c r="G34" s="1582"/>
      <c r="H34" s="1583"/>
      <c r="I34" s="1583">
        <v>17786</v>
      </c>
      <c r="J34" s="1583"/>
      <c r="K34" s="1583">
        <v>445848</v>
      </c>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v>863039</v>
      </c>
      <c r="I36" s="1580"/>
      <c r="J36" s="1574"/>
      <c r="K36" s="1574"/>
      <c r="L36" s="453"/>
    </row>
    <row r="37" spans="1:12" s="433" customFormat="1" x14ac:dyDescent="0.2">
      <c r="A37" s="1260" t="s">
        <v>438</v>
      </c>
      <c r="B37" s="454">
        <v>7400</v>
      </c>
      <c r="C37" s="1580"/>
      <c r="D37" s="1580"/>
      <c r="E37" s="1607">
        <f>SUM(C54:D57,H54:H57)</f>
        <v>24128</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63" t="s">
        <v>371</v>
      </c>
      <c r="B44" s="2264"/>
      <c r="C44" s="1624">
        <f>SUM(C24:C43)</f>
        <v>418218</v>
      </c>
      <c r="D44" s="1624">
        <f t="shared" ref="D44:K44" si="6">SUM(D24:D43)</f>
        <v>1500000</v>
      </c>
      <c r="E44" s="1624">
        <f t="shared" si="6"/>
        <v>247771</v>
      </c>
      <c r="F44" s="1624">
        <f t="shared" si="6"/>
        <v>0</v>
      </c>
      <c r="G44" s="1624">
        <f t="shared" si="6"/>
        <v>0</v>
      </c>
      <c r="H44" s="1624">
        <f t="shared" si="6"/>
        <v>863039</v>
      </c>
      <c r="I44" s="1624">
        <f t="shared" si="6"/>
        <v>890778</v>
      </c>
      <c r="J44" s="1624">
        <f t="shared" si="6"/>
        <v>0</v>
      </c>
      <c r="K44" s="1624">
        <f t="shared" si="6"/>
        <v>8665848</v>
      </c>
      <c r="L44" s="453"/>
    </row>
    <row r="45" spans="1:12" ht="15.75" customHeight="1" thickTop="1" x14ac:dyDescent="0.2">
      <c r="A45" s="2257" t="s">
        <v>108</v>
      </c>
      <c r="B45" s="2258"/>
      <c r="C45" s="1625"/>
      <c r="D45" s="1625"/>
      <c r="E45" s="1625"/>
      <c r="F45" s="1625"/>
      <c r="G45" s="1625"/>
      <c r="H45" s="1625"/>
      <c r="I45" s="1625"/>
      <c r="J45" s="1625"/>
      <c r="K45" s="1625"/>
      <c r="L45" s="325"/>
    </row>
    <row r="46" spans="1:12" s="433" customFormat="1" ht="15.75" customHeight="1" x14ac:dyDescent="0.2">
      <c r="A46" s="2265" t="s">
        <v>109</v>
      </c>
      <c r="B46" s="2266"/>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1850000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24128</v>
      </c>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17778</v>
      </c>
      <c r="J75" s="1626"/>
      <c r="K75" s="1628">
        <v>165848</v>
      </c>
      <c r="L75" s="453"/>
    </row>
    <row r="76" spans="1:12" s="433" customFormat="1" ht="14.25" thickTop="1" thickBot="1" x14ac:dyDescent="0.25">
      <c r="A76" s="2239" t="s">
        <v>437</v>
      </c>
      <c r="B76" s="2240"/>
      <c r="C76" s="1624">
        <f t="shared" ref="C76:K76" si="7">SUM(C47:C75)</f>
        <v>24128</v>
      </c>
      <c r="D76" s="1624">
        <f t="shared" si="7"/>
        <v>0</v>
      </c>
      <c r="E76" s="1624">
        <f t="shared" si="7"/>
        <v>0</v>
      </c>
      <c r="F76" s="1624">
        <f t="shared" si="7"/>
        <v>0</v>
      </c>
      <c r="G76" s="1624">
        <f t="shared" si="7"/>
        <v>0</v>
      </c>
      <c r="H76" s="1624">
        <f t="shared" si="7"/>
        <v>0</v>
      </c>
      <c r="I76" s="1624">
        <f t="shared" si="7"/>
        <v>1867778</v>
      </c>
      <c r="J76" s="1624">
        <f t="shared" si="7"/>
        <v>0</v>
      </c>
      <c r="K76" s="1624">
        <f t="shared" si="7"/>
        <v>165848</v>
      </c>
      <c r="L76" s="453"/>
    </row>
    <row r="77" spans="1:12" ht="14.25" thickTop="1" thickBot="1" x14ac:dyDescent="0.25">
      <c r="A77" s="2241" t="s">
        <v>1169</v>
      </c>
      <c r="B77" s="2242"/>
      <c r="C77" s="1624">
        <f t="shared" ref="C77:K77" si="8">C44-C76</f>
        <v>394090</v>
      </c>
      <c r="D77" s="1624">
        <f t="shared" si="8"/>
        <v>1500000</v>
      </c>
      <c r="E77" s="1624">
        <f t="shared" si="8"/>
        <v>247771</v>
      </c>
      <c r="F77" s="1624">
        <f t="shared" si="8"/>
        <v>0</v>
      </c>
      <c r="G77" s="1624">
        <f t="shared" si="8"/>
        <v>0</v>
      </c>
      <c r="H77" s="1624">
        <f t="shared" si="8"/>
        <v>863039</v>
      </c>
      <c r="I77" s="1624">
        <f t="shared" si="8"/>
        <v>-977000</v>
      </c>
      <c r="J77" s="1624">
        <f t="shared" si="8"/>
        <v>0</v>
      </c>
      <c r="K77" s="1624">
        <f t="shared" si="8"/>
        <v>8500000</v>
      </c>
      <c r="L77" s="325"/>
    </row>
    <row r="78" spans="1:12" ht="21.75" customHeight="1" thickTop="1" thickBot="1" x14ac:dyDescent="0.25">
      <c r="A78" s="2245" t="s">
        <v>593</v>
      </c>
      <c r="B78" s="2246"/>
      <c r="C78" s="1629">
        <f t="shared" ref="C78:K78" si="9">C20+C77</f>
        <v>-10344</v>
      </c>
      <c r="D78" s="1629">
        <f t="shared" si="9"/>
        <v>1594654</v>
      </c>
      <c r="E78" s="1629">
        <f t="shared" si="9"/>
        <v>-8331</v>
      </c>
      <c r="F78" s="1629">
        <f t="shared" si="9"/>
        <v>43597</v>
      </c>
      <c r="G78" s="1629">
        <f t="shared" si="9"/>
        <v>-57622</v>
      </c>
      <c r="H78" s="1629">
        <f t="shared" si="9"/>
        <v>1360693</v>
      </c>
      <c r="I78" s="1629">
        <f t="shared" si="9"/>
        <v>-879640</v>
      </c>
      <c r="J78" s="1629">
        <f t="shared" si="9"/>
        <v>56886</v>
      </c>
      <c r="K78" s="1629">
        <f t="shared" si="9"/>
        <v>8600514</v>
      </c>
      <c r="L78" s="457"/>
    </row>
    <row r="79" spans="1:12" ht="13.5" thickTop="1" x14ac:dyDescent="0.2">
      <c r="A79" s="1844" t="str">
        <f>"Fund Balances - July 1, "&amp;'AFR20'!E2-1</f>
        <v>Fund Balances - July 1, 2019</v>
      </c>
      <c r="B79" s="458"/>
      <c r="C79" s="1583">
        <v>73405</v>
      </c>
      <c r="D79" s="1630">
        <v>1666439</v>
      </c>
      <c r="E79" s="1630">
        <v>125215</v>
      </c>
      <c r="F79" s="1630">
        <v>499590</v>
      </c>
      <c r="G79" s="1630">
        <v>219849</v>
      </c>
      <c r="H79" s="1630">
        <v>0</v>
      </c>
      <c r="I79" s="1630">
        <v>2740011</v>
      </c>
      <c r="J79" s="1630">
        <v>222770</v>
      </c>
      <c r="K79" s="1630">
        <v>383550</v>
      </c>
      <c r="L79" s="325"/>
    </row>
    <row r="80" spans="1:12" x14ac:dyDescent="0.2">
      <c r="A80" s="2251" t="s">
        <v>1775</v>
      </c>
      <c r="B80" s="2252"/>
      <c r="C80" s="1574"/>
      <c r="D80" s="1574"/>
      <c r="E80" s="1574"/>
      <c r="F80" s="1574"/>
      <c r="G80" s="1574"/>
      <c r="H80" s="1574"/>
      <c r="I80" s="1574"/>
      <c r="J80" s="1574"/>
      <c r="K80" s="1574"/>
      <c r="L80" s="325"/>
    </row>
    <row r="81" spans="1:12" ht="13.5" thickBot="1" x14ac:dyDescent="0.25">
      <c r="A81" s="2243" t="str">
        <f>"Fund Balances - June 30, "&amp;'AFR20'!E2</f>
        <v>Fund Balances - June 30, 2020</v>
      </c>
      <c r="B81" s="2244"/>
      <c r="C81" s="1594">
        <f>(SUM(C78:C80))</f>
        <v>63061</v>
      </c>
      <c r="D81" s="1594">
        <f>SUM(D78:D80)</f>
        <v>3261093</v>
      </c>
      <c r="E81" s="1594">
        <f t="shared" ref="E81:K81" si="10">SUM(E78:E80)</f>
        <v>116884</v>
      </c>
      <c r="F81" s="1594">
        <f t="shared" si="10"/>
        <v>543187</v>
      </c>
      <c r="G81" s="1594">
        <f t="shared" si="10"/>
        <v>162227</v>
      </c>
      <c r="H81" s="1594">
        <f t="shared" si="10"/>
        <v>1360693</v>
      </c>
      <c r="I81" s="1594">
        <f t="shared" si="10"/>
        <v>1860371</v>
      </c>
      <c r="J81" s="1594">
        <f t="shared" si="10"/>
        <v>279656</v>
      </c>
      <c r="K81" s="1594">
        <f t="shared" si="10"/>
        <v>8984064</v>
      </c>
      <c r="L81" s="325"/>
    </row>
    <row r="82" spans="1:12" ht="0.75" customHeight="1" thickTop="1" thickBot="1" x14ac:dyDescent="0.25">
      <c r="A82" s="459" t="s">
        <v>340</v>
      </c>
      <c r="B82" s="460"/>
      <c r="C82" s="461">
        <f>(C81-C79)</f>
        <v>-10344</v>
      </c>
      <c r="D82" s="461">
        <f t="shared" ref="D82:K82" si="11">(D81-D79)</f>
        <v>1594654</v>
      </c>
      <c r="E82" s="461">
        <f t="shared" si="11"/>
        <v>-8331</v>
      </c>
      <c r="F82" s="461">
        <f t="shared" si="11"/>
        <v>43597</v>
      </c>
      <c r="G82" s="461">
        <f t="shared" si="11"/>
        <v>-57622</v>
      </c>
      <c r="H82" s="461">
        <f t="shared" si="11"/>
        <v>1360693</v>
      </c>
      <c r="I82" s="461">
        <f t="shared" si="11"/>
        <v>-879640</v>
      </c>
      <c r="J82" s="461">
        <f t="shared" si="11"/>
        <v>56886</v>
      </c>
      <c r="K82" s="461">
        <f t="shared" si="11"/>
        <v>8600514</v>
      </c>
    </row>
    <row r="83" spans="1:12" ht="14.25" hidden="1" thickTop="1" thickBot="1" x14ac:dyDescent="0.25">
      <c r="A83" s="462" t="s">
        <v>341</v>
      </c>
      <c r="B83" s="428"/>
      <c r="C83" s="463">
        <f>C82/C81</f>
        <v>-0.1640316518926119</v>
      </c>
      <c r="D83" s="463">
        <f t="shared" ref="D83:K83" si="12">D82/D81</f>
        <v>0.48899372081691628</v>
      </c>
      <c r="E83" s="463">
        <f t="shared" si="12"/>
        <v>-7.1275794805105916E-2</v>
      </c>
      <c r="F83" s="463">
        <f t="shared" si="12"/>
        <v>8.0261493739724993E-2</v>
      </c>
      <c r="G83" s="463">
        <f t="shared" si="12"/>
        <v>-0.35519364840624557</v>
      </c>
      <c r="H83" s="463">
        <f t="shared" si="12"/>
        <v>1</v>
      </c>
      <c r="I83" s="463">
        <f t="shared" si="12"/>
        <v>-0.47283041930883679</v>
      </c>
      <c r="J83" s="463">
        <f t="shared" si="12"/>
        <v>0.20341419458191493</v>
      </c>
      <c r="K83" s="463">
        <f t="shared" si="12"/>
        <v>0.95730773957086679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7" activePane="bottomLeft" state="frozen"/>
      <selection pane="bottomLeft" activeCell="C100" sqref="C1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1782</v>
      </c>
      <c r="B1" s="416"/>
      <c r="C1" s="417" t="s">
        <v>422</v>
      </c>
      <c r="D1" s="417" t="s">
        <v>423</v>
      </c>
      <c r="E1" s="417" t="s">
        <v>424</v>
      </c>
      <c r="F1" s="417" t="s">
        <v>425</v>
      </c>
      <c r="G1" s="417" t="s">
        <v>426</v>
      </c>
      <c r="H1" s="417" t="s">
        <v>427</v>
      </c>
      <c r="I1" s="417" t="s">
        <v>428</v>
      </c>
      <c r="J1" s="417" t="s">
        <v>429</v>
      </c>
      <c r="K1" s="417" t="s">
        <v>751</v>
      </c>
    </row>
    <row r="2" spans="1:12" ht="36" x14ac:dyDescent="0.2">
      <c r="A2" s="224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3178830</v>
      </c>
      <c r="D5" s="1586">
        <v>999055</v>
      </c>
      <c r="E5" s="1573">
        <v>1838994</v>
      </c>
      <c r="F5" s="1631">
        <v>206711</v>
      </c>
      <c r="G5" s="1573">
        <v>69391</v>
      </c>
      <c r="H5" s="1573"/>
      <c r="I5" s="1573">
        <v>90822</v>
      </c>
      <c r="J5" s="1574">
        <v>372741</v>
      </c>
      <c r="K5" s="1573">
        <v>90822</v>
      </c>
    </row>
    <row r="6" spans="1:12" ht="15" x14ac:dyDescent="0.2">
      <c r="A6" s="427" t="s">
        <v>1646</v>
      </c>
      <c r="B6" s="429">
        <v>1130</v>
      </c>
      <c r="C6" s="1573">
        <v>65870</v>
      </c>
      <c r="D6" s="1573">
        <v>9331</v>
      </c>
      <c r="E6" s="1580"/>
      <c r="F6" s="1580"/>
      <c r="G6" s="1575"/>
      <c r="H6" s="1575"/>
      <c r="I6" s="1575"/>
      <c r="J6" s="1575"/>
      <c r="K6" s="1575"/>
    </row>
    <row r="7" spans="1:12" x14ac:dyDescent="0.2">
      <c r="A7" s="427" t="s">
        <v>110</v>
      </c>
      <c r="B7" s="471">
        <v>1140</v>
      </c>
      <c r="C7" s="1573">
        <v>36327</v>
      </c>
      <c r="D7" s="1573"/>
      <c r="E7" s="1575"/>
      <c r="F7" s="1574"/>
      <c r="G7" s="1574"/>
      <c r="H7" s="1574"/>
      <c r="I7" s="1575"/>
      <c r="J7" s="1575"/>
      <c r="K7" s="1575"/>
    </row>
    <row r="8" spans="1:12" x14ac:dyDescent="0.2">
      <c r="A8" s="427" t="s">
        <v>410</v>
      </c>
      <c r="B8" s="429">
        <v>1150</v>
      </c>
      <c r="C8" s="1580"/>
      <c r="D8" s="1580"/>
      <c r="E8" s="1582"/>
      <c r="F8" s="1582"/>
      <c r="G8" s="1586">
        <v>74476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3281027</v>
      </c>
      <c r="D12" s="1633">
        <f t="shared" si="0"/>
        <v>1008386</v>
      </c>
      <c r="E12" s="1633">
        <f t="shared" si="0"/>
        <v>1838994</v>
      </c>
      <c r="F12" s="1633">
        <f t="shared" si="0"/>
        <v>206711</v>
      </c>
      <c r="G12" s="1633">
        <f t="shared" si="0"/>
        <v>143867</v>
      </c>
      <c r="H12" s="1633">
        <f t="shared" si="0"/>
        <v>0</v>
      </c>
      <c r="I12" s="1633">
        <f t="shared" si="0"/>
        <v>90822</v>
      </c>
      <c r="J12" s="1633">
        <f t="shared" si="0"/>
        <v>372741</v>
      </c>
      <c r="K12" s="1594">
        <f t="shared" si="0"/>
        <v>90822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28746</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28746</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7585</v>
      </c>
      <c r="D65" s="1573">
        <v>14066</v>
      </c>
      <c r="E65" s="1573">
        <v>3664</v>
      </c>
      <c r="F65" s="1574">
        <v>3647</v>
      </c>
      <c r="G65" s="1573">
        <v>1815</v>
      </c>
      <c r="H65" s="1573">
        <v>8632</v>
      </c>
      <c r="I65" s="1573">
        <v>6538</v>
      </c>
      <c r="J65" s="1574">
        <v>1721</v>
      </c>
      <c r="K65" s="1573">
        <v>9692</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7585</v>
      </c>
      <c r="D67" s="1594">
        <f t="shared" ref="D67:K67" si="2">SUM(D65:D66)</f>
        <v>14066</v>
      </c>
      <c r="E67" s="1594">
        <f t="shared" si="2"/>
        <v>3664</v>
      </c>
      <c r="F67" s="1594">
        <f t="shared" si="2"/>
        <v>3647</v>
      </c>
      <c r="G67" s="1594">
        <f t="shared" si="2"/>
        <v>1815</v>
      </c>
      <c r="H67" s="1594">
        <f t="shared" si="2"/>
        <v>8632</v>
      </c>
      <c r="I67" s="1594">
        <f t="shared" si="2"/>
        <v>6538</v>
      </c>
      <c r="J67" s="1594">
        <f t="shared" si="2"/>
        <v>1721</v>
      </c>
      <c r="K67" s="1594">
        <f t="shared" si="2"/>
        <v>9692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102087</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3363</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105450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f>750+29868+88077</f>
        <v>118695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6824</v>
      </c>
      <c r="D81" s="1573"/>
      <c r="E81" s="1575"/>
      <c r="F81" s="1575"/>
      <c r="G81" s="1575"/>
      <c r="H81" s="1575"/>
      <c r="I81" s="1575"/>
      <c r="J81" s="1575"/>
      <c r="K81" s="1575"/>
    </row>
    <row r="82" spans="1:11" ht="12.75" customHeight="1" thickBot="1" x14ac:dyDescent="0.25">
      <c r="A82" s="1406" t="s">
        <v>239</v>
      </c>
      <c r="B82" s="1407"/>
      <c r="C82" s="1633">
        <f>SUM(C77:C81)</f>
        <v>125519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f>26570+59113</f>
        <v>85683</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f>3985+6762</f>
        <v>10747</v>
      </c>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v>1262</v>
      </c>
      <c r="D92" s="1575"/>
      <c r="E92" s="1575"/>
      <c r="F92" s="1575"/>
      <c r="G92" s="1575"/>
      <c r="H92" s="1575"/>
      <c r="I92" s="1575"/>
      <c r="J92" s="1575"/>
      <c r="K92" s="1575"/>
    </row>
    <row r="93" spans="1:11" ht="12.75" customHeight="1" thickBot="1" x14ac:dyDescent="0.25">
      <c r="A93" s="1406" t="s">
        <v>241</v>
      </c>
      <c r="B93" s="1407"/>
      <c r="C93" s="1594">
        <f>SUM(C84:C92)</f>
        <v>97692</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v>4000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10900</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v>85432</v>
      </c>
      <c r="D106" s="1598"/>
      <c r="E106" s="1574"/>
      <c r="F106" s="1574"/>
      <c r="G106" s="1574"/>
      <c r="H106" s="1574"/>
      <c r="I106" s="1617"/>
      <c r="J106" s="1574"/>
      <c r="K106" s="1574"/>
    </row>
    <row r="107" spans="1:12" ht="12.75" customHeight="1" x14ac:dyDescent="0.2">
      <c r="A107" s="427" t="s">
        <v>78</v>
      </c>
      <c r="B107" s="429">
        <v>1999</v>
      </c>
      <c r="C107" s="1632">
        <v>1429</v>
      </c>
      <c r="D107" s="1573">
        <v>3400</v>
      </c>
      <c r="E107" s="1573"/>
      <c r="F107" s="1573"/>
      <c r="G107" s="1573"/>
      <c r="H107" s="1573"/>
      <c r="I107" s="1573"/>
      <c r="J107" s="1574">
        <v>1659</v>
      </c>
      <c r="K107" s="1573"/>
    </row>
    <row r="108" spans="1:12" ht="12.75" customHeight="1" thickBot="1" x14ac:dyDescent="0.25">
      <c r="A108" s="1406" t="s">
        <v>484</v>
      </c>
      <c r="B108" s="1408"/>
      <c r="C108" s="1633">
        <f>SUM(C95:C107)</f>
        <v>101761</v>
      </c>
      <c r="D108" s="1633">
        <f t="shared" ref="D108:K108" si="3">SUM(D95:D107)</f>
        <v>3400</v>
      </c>
      <c r="E108" s="1633">
        <f t="shared" si="3"/>
        <v>0</v>
      </c>
      <c r="F108" s="1633">
        <f t="shared" si="3"/>
        <v>0</v>
      </c>
      <c r="G108" s="1633">
        <f t="shared" si="3"/>
        <v>0</v>
      </c>
      <c r="H108" s="1633">
        <f t="shared" si="3"/>
        <v>0</v>
      </c>
      <c r="I108" s="1633">
        <f t="shared" si="3"/>
        <v>0</v>
      </c>
      <c r="J108" s="1633">
        <f t="shared" si="3"/>
        <v>1659</v>
      </c>
      <c r="K108" s="1594">
        <f t="shared" si="3"/>
        <v>0</v>
      </c>
    </row>
    <row r="109" spans="1:12" ht="14.25" thickTop="1" thickBot="1" x14ac:dyDescent="0.25">
      <c r="A109" s="1409" t="s">
        <v>246</v>
      </c>
      <c r="B109" s="1410" t="s">
        <v>566</v>
      </c>
      <c r="C109" s="1641">
        <f t="shared" ref="C109:K109" si="4">SUM(C12,C18,C40,C63,C67,C75,C82,C93,C108,)</f>
        <v>3747780</v>
      </c>
      <c r="D109" s="1641">
        <f t="shared" si="4"/>
        <v>1025852</v>
      </c>
      <c r="E109" s="1641">
        <f t="shared" si="4"/>
        <v>1842658</v>
      </c>
      <c r="F109" s="1641">
        <f t="shared" si="4"/>
        <v>210358</v>
      </c>
      <c r="G109" s="1641">
        <f t="shared" si="4"/>
        <v>145682</v>
      </c>
      <c r="H109" s="1641">
        <f t="shared" si="4"/>
        <v>8632</v>
      </c>
      <c r="I109" s="1641">
        <f t="shared" si="4"/>
        <v>97360</v>
      </c>
      <c r="J109" s="1641">
        <f t="shared" si="4"/>
        <v>376121</v>
      </c>
      <c r="K109" s="1629">
        <f t="shared" si="4"/>
        <v>100514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1229282</v>
      </c>
      <c r="D117" s="1586"/>
      <c r="E117" s="1573"/>
      <c r="F117" s="1586"/>
      <c r="G117" s="1586"/>
      <c r="H117" s="1573"/>
      <c r="I117" s="1575"/>
      <c r="J117" s="1574"/>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1229282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32247</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f>4059+32512</f>
        <v>36571</v>
      </c>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68818</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625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25931</v>
      </c>
      <c r="G152" s="1574"/>
      <c r="H152" s="1575"/>
      <c r="I152" s="1575"/>
      <c r="J152" s="1575"/>
      <c r="K152" s="1575"/>
    </row>
    <row r="153" spans="1:11" ht="12.75" customHeight="1" x14ac:dyDescent="0.2">
      <c r="A153" s="427" t="s">
        <v>1050</v>
      </c>
      <c r="B153" s="478">
        <v>3510</v>
      </c>
      <c r="C153" s="1632"/>
      <c r="D153" s="1573"/>
      <c r="E153" s="1640"/>
      <c r="F153" s="1573">
        <v>137015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162946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v>3105631</v>
      </c>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67" t="s">
        <v>395</v>
      </c>
      <c r="B169" s="2268"/>
      <c r="C169" s="1658">
        <f t="shared" ref="C169:K169" si="6">SUM(C132,C141,C145,C146:C150,C155,C156:C167,C168)</f>
        <v>69443</v>
      </c>
      <c r="D169" s="1658">
        <f t="shared" si="6"/>
        <v>0</v>
      </c>
      <c r="E169" s="1658">
        <f t="shared" si="6"/>
        <v>0</v>
      </c>
      <c r="F169" s="1658">
        <f t="shared" si="6"/>
        <v>162946</v>
      </c>
      <c r="G169" s="1658">
        <f t="shared" si="6"/>
        <v>0</v>
      </c>
      <c r="H169" s="1658">
        <f t="shared" si="6"/>
        <v>3105631</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1298725</v>
      </c>
      <c r="D170" s="1641">
        <f t="shared" si="7"/>
        <v>0</v>
      </c>
      <c r="E170" s="1641">
        <f t="shared" si="7"/>
        <v>0</v>
      </c>
      <c r="F170" s="1641">
        <f t="shared" si="7"/>
        <v>162946</v>
      </c>
      <c r="G170" s="1641">
        <f t="shared" si="7"/>
        <v>0</v>
      </c>
      <c r="H170" s="1641">
        <f t="shared" si="7"/>
        <v>3105631</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9" t="s">
        <v>1478</v>
      </c>
      <c r="B172" s="2270"/>
      <c r="C172" s="1616"/>
      <c r="D172" s="1616"/>
      <c r="E172" s="1609"/>
      <c r="F172" s="1575"/>
      <c r="G172" s="1575"/>
      <c r="H172" s="1575"/>
      <c r="I172" s="1575"/>
      <c r="J172" s="1575"/>
      <c r="K172" s="1575"/>
    </row>
    <row r="173" spans="1:11" ht="12.6" customHeight="1" x14ac:dyDescent="0.2">
      <c r="A173" s="436" t="s">
        <v>1037</v>
      </c>
      <c r="B173" s="435">
        <v>4001</v>
      </c>
      <c r="C173" s="1613">
        <v>21679</v>
      </c>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73" t="s">
        <v>1649</v>
      </c>
      <c r="B175" s="2274"/>
      <c r="C175" s="1633">
        <f>SUM(C173:C174)</f>
        <v>21679</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7" t="s">
        <v>1648</v>
      </c>
      <c r="B176" s="2278"/>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75" t="s">
        <v>780</v>
      </c>
      <c r="B181" s="227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1" t="s">
        <v>1783</v>
      </c>
      <c r="B182" s="2272"/>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70916</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c r="D193" s="1575"/>
      <c r="E193" s="1640"/>
      <c r="F193" s="1575"/>
      <c r="G193" s="1664"/>
      <c r="H193" s="1575"/>
      <c r="I193" s="1575"/>
      <c r="J193" s="1575"/>
      <c r="K193" s="1575"/>
    </row>
    <row r="194" spans="1:11" ht="12.75" customHeight="1" x14ac:dyDescent="0.2">
      <c r="A194" s="427" t="s">
        <v>1437</v>
      </c>
      <c r="B194" s="429">
        <v>4225</v>
      </c>
      <c r="C194" s="1632"/>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70916</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83707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83707</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3639</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116524</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120163</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24730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18708</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328224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349903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5396408</v>
      </c>
      <c r="D268" s="1641">
        <f t="shared" si="12"/>
        <v>1025852</v>
      </c>
      <c r="E268" s="1641">
        <f t="shared" si="12"/>
        <v>1842658</v>
      </c>
      <c r="F268" s="1641">
        <f t="shared" si="12"/>
        <v>373304</v>
      </c>
      <c r="G268" s="1641">
        <f t="shared" si="12"/>
        <v>145682</v>
      </c>
      <c r="H268" s="1641">
        <f t="shared" si="12"/>
        <v>3114263</v>
      </c>
      <c r="I268" s="1641">
        <f t="shared" si="12"/>
        <v>97360</v>
      </c>
      <c r="J268" s="1641">
        <f t="shared" si="12"/>
        <v>376121</v>
      </c>
      <c r="K268" s="1629">
        <f t="shared" si="12"/>
        <v>100514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7" activePane="bottomLeft" state="frozen"/>
      <selection pane="bottomLeft" activeCell="E108" sqref="E10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5" t="s">
        <v>294</v>
      </c>
      <c r="B3" s="228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1426815+1124650</f>
        <v>2551465</v>
      </c>
      <c r="D5" s="1573">
        <f>315302+290981</f>
        <v>606283</v>
      </c>
      <c r="E5" s="1573">
        <f>75+395</f>
        <v>470</v>
      </c>
      <c r="F5" s="1573">
        <f>77315+22587</f>
        <v>99902</v>
      </c>
      <c r="G5" s="1573">
        <f>38065+16679+68218-24128-974-395</f>
        <v>97465</v>
      </c>
      <c r="H5" s="1573"/>
      <c r="I5" s="1574">
        <f>974</f>
        <v>974</v>
      </c>
      <c r="J5" s="1574"/>
      <c r="K5" s="1672">
        <f>SUM(C5:J5)</f>
        <v>3356559</v>
      </c>
      <c r="L5" s="1573">
        <v>3466633</v>
      </c>
    </row>
    <row r="6" spans="1:14" x14ac:dyDescent="0.2">
      <c r="A6" s="1274" t="s">
        <v>1419</v>
      </c>
      <c r="B6" s="503" t="s">
        <v>1417</v>
      </c>
      <c r="C6" s="1582"/>
      <c r="D6" s="1582"/>
      <c r="E6" s="1573"/>
      <c r="F6" s="1582"/>
      <c r="G6" s="1582"/>
      <c r="H6" s="1582"/>
      <c r="I6" s="1582"/>
      <c r="J6" s="1582"/>
      <c r="K6" s="1672">
        <f>SUM(C6,E6)</f>
        <v>0</v>
      </c>
      <c r="L6" s="1573"/>
    </row>
    <row r="7" spans="1:14" x14ac:dyDescent="0.2">
      <c r="A7" s="1274" t="s">
        <v>162</v>
      </c>
      <c r="B7" s="503" t="s">
        <v>961</v>
      </c>
      <c r="C7" s="1574">
        <v>70321</v>
      </c>
      <c r="D7" s="1574">
        <v>3463</v>
      </c>
      <c r="E7" s="1574"/>
      <c r="F7" s="1574">
        <v>1272</v>
      </c>
      <c r="G7" s="1574"/>
      <c r="H7" s="1574"/>
      <c r="I7" s="1574"/>
      <c r="J7" s="1574"/>
      <c r="K7" s="1672">
        <f t="shared" ref="K7:K32" si="0">SUM(C7:J7)</f>
        <v>75056</v>
      </c>
      <c r="L7" s="1573">
        <v>87524</v>
      </c>
    </row>
    <row r="8" spans="1:14" x14ac:dyDescent="0.2">
      <c r="A8" s="1274" t="s">
        <v>163</v>
      </c>
      <c r="B8" s="503">
        <v>1200</v>
      </c>
      <c r="C8" s="1573">
        <v>360923</v>
      </c>
      <c r="D8" s="1573">
        <v>74284</v>
      </c>
      <c r="E8" s="1573"/>
      <c r="F8" s="1573">
        <v>23</v>
      </c>
      <c r="G8" s="1573"/>
      <c r="H8" s="1573"/>
      <c r="I8" s="1574"/>
      <c r="J8" s="1574"/>
      <c r="K8" s="1672">
        <f t="shared" si="0"/>
        <v>435230</v>
      </c>
      <c r="L8" s="1573">
        <v>437888</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80960</v>
      </c>
      <c r="D10" s="1573">
        <v>6278</v>
      </c>
      <c r="E10" s="1573">
        <v>7384</v>
      </c>
      <c r="F10" s="1573"/>
      <c r="G10" s="1573"/>
      <c r="H10" s="1573"/>
      <c r="I10" s="1574"/>
      <c r="J10" s="1574"/>
      <c r="K10" s="1672">
        <f t="shared" si="0"/>
        <v>94622</v>
      </c>
      <c r="L10" s="1573">
        <v>84768</v>
      </c>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58263</v>
      </c>
      <c r="D14" s="1573">
        <v>5579</v>
      </c>
      <c r="E14" s="1573"/>
      <c r="F14" s="1573"/>
      <c r="G14" s="1573"/>
      <c r="H14" s="1573"/>
      <c r="I14" s="1574"/>
      <c r="J14" s="1574"/>
      <c r="K14" s="1672">
        <f t="shared" si="0"/>
        <v>63842</v>
      </c>
      <c r="L14" s="1573">
        <v>68585</v>
      </c>
    </row>
    <row r="15" spans="1:14" x14ac:dyDescent="0.2">
      <c r="A15" s="1274" t="s">
        <v>958</v>
      </c>
      <c r="B15" s="503">
        <v>1600</v>
      </c>
      <c r="C15" s="1573">
        <v>6588</v>
      </c>
      <c r="D15" s="1573">
        <v>592</v>
      </c>
      <c r="E15" s="1573"/>
      <c r="F15" s="1573"/>
      <c r="G15" s="1573"/>
      <c r="H15" s="1573"/>
      <c r="I15" s="1574"/>
      <c r="J15" s="1574"/>
      <c r="K15" s="1672">
        <f t="shared" si="0"/>
        <v>7180</v>
      </c>
      <c r="L15" s="1573">
        <v>3400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3128520</v>
      </c>
      <c r="D33" s="1674">
        <f t="shared" ref="D33:L33" si="1">SUM(D5:D32)</f>
        <v>696479</v>
      </c>
      <c r="E33" s="1674">
        <f t="shared" si="1"/>
        <v>7854</v>
      </c>
      <c r="F33" s="1674">
        <f t="shared" si="1"/>
        <v>101197</v>
      </c>
      <c r="G33" s="1674">
        <f t="shared" si="1"/>
        <v>97465</v>
      </c>
      <c r="H33" s="1674">
        <f t="shared" si="1"/>
        <v>0</v>
      </c>
      <c r="I33" s="1674">
        <f t="shared" si="1"/>
        <v>974</v>
      </c>
      <c r="J33" s="1674">
        <f t="shared" si="1"/>
        <v>0</v>
      </c>
      <c r="K33" s="1674">
        <f t="shared" si="1"/>
        <v>4032489</v>
      </c>
      <c r="L33" s="1674">
        <f t="shared" si="1"/>
        <v>4148798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80280</v>
      </c>
      <c r="D36" s="1586">
        <v>29831</v>
      </c>
      <c r="E36" s="1586"/>
      <c r="F36" s="1586">
        <v>100</v>
      </c>
      <c r="G36" s="1586"/>
      <c r="H36" s="1586"/>
      <c r="I36" s="1574"/>
      <c r="J36" s="1574"/>
      <c r="K36" s="1672">
        <f t="shared" ref="K36:K41" si="2">SUM(C36:J36)</f>
        <v>110211</v>
      </c>
      <c r="L36" s="1573">
        <v>108476</v>
      </c>
    </row>
    <row r="37" spans="1:14" x14ac:dyDescent="0.2">
      <c r="A37" s="1274" t="s">
        <v>1083</v>
      </c>
      <c r="B37" s="503">
        <v>2120</v>
      </c>
      <c r="C37" s="1573"/>
      <c r="D37" s="1573"/>
      <c r="E37" s="1573"/>
      <c r="F37" s="1573"/>
      <c r="G37" s="1573"/>
      <c r="H37" s="1573"/>
      <c r="I37" s="1574"/>
      <c r="J37" s="1574"/>
      <c r="K37" s="1672">
        <f t="shared" si="2"/>
        <v>0</v>
      </c>
      <c r="L37" s="1573"/>
    </row>
    <row r="38" spans="1:14" x14ac:dyDescent="0.2">
      <c r="A38" s="1274" t="s">
        <v>196</v>
      </c>
      <c r="B38" s="503">
        <v>2130</v>
      </c>
      <c r="C38" s="1573">
        <v>33806</v>
      </c>
      <c r="D38" s="1573"/>
      <c r="E38" s="1573">
        <v>34856</v>
      </c>
      <c r="F38" s="1573">
        <v>2584</v>
      </c>
      <c r="G38" s="1573"/>
      <c r="H38" s="1573"/>
      <c r="I38" s="1574"/>
      <c r="J38" s="1574"/>
      <c r="K38" s="1672">
        <f t="shared" si="2"/>
        <v>71246</v>
      </c>
      <c r="L38" s="1573">
        <v>83123</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79901</v>
      </c>
      <c r="D40" s="1573">
        <v>19598</v>
      </c>
      <c r="E40" s="1573"/>
      <c r="F40" s="1573"/>
      <c r="G40" s="1573"/>
      <c r="H40" s="1573"/>
      <c r="I40" s="1574"/>
      <c r="J40" s="1574"/>
      <c r="K40" s="1672">
        <f t="shared" si="2"/>
        <v>99499</v>
      </c>
      <c r="L40" s="1573">
        <v>99573</v>
      </c>
    </row>
    <row r="41" spans="1:14" x14ac:dyDescent="0.2">
      <c r="A41" s="1274" t="s">
        <v>1653</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193987</v>
      </c>
      <c r="D42" s="1674">
        <f t="shared" ref="D42:L42" si="3">SUM(D36:D41)</f>
        <v>49429</v>
      </c>
      <c r="E42" s="1674">
        <f t="shared" si="3"/>
        <v>34856</v>
      </c>
      <c r="F42" s="1674">
        <f t="shared" si="3"/>
        <v>2684</v>
      </c>
      <c r="G42" s="1674">
        <f t="shared" si="3"/>
        <v>0</v>
      </c>
      <c r="H42" s="1674">
        <f t="shared" si="3"/>
        <v>0</v>
      </c>
      <c r="I42" s="1674">
        <f t="shared" si="3"/>
        <v>0</v>
      </c>
      <c r="J42" s="1674">
        <f t="shared" si="3"/>
        <v>0</v>
      </c>
      <c r="K42" s="1674">
        <f t="shared" si="3"/>
        <v>280956</v>
      </c>
      <c r="L42" s="1674">
        <f t="shared" si="3"/>
        <v>291172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17794</v>
      </c>
      <c r="D44" s="1586">
        <v>1258</v>
      </c>
      <c r="E44" s="1586">
        <v>9331</v>
      </c>
      <c r="F44" s="1586">
        <f>9734+1100</f>
        <v>10834</v>
      </c>
      <c r="G44" s="1586"/>
      <c r="H44" s="1586"/>
      <c r="I44" s="1574"/>
      <c r="J44" s="1574"/>
      <c r="K44" s="1678">
        <f>SUM(C44:J44)</f>
        <v>39217</v>
      </c>
      <c r="L44" s="1586">
        <v>35776</v>
      </c>
    </row>
    <row r="45" spans="1:14" x14ac:dyDescent="0.2">
      <c r="A45" s="1274" t="s">
        <v>810</v>
      </c>
      <c r="B45" s="503">
        <v>2220</v>
      </c>
      <c r="C45" s="1573">
        <v>13770</v>
      </c>
      <c r="D45" s="1573"/>
      <c r="E45" s="1573"/>
      <c r="F45" s="1573"/>
      <c r="G45" s="1573"/>
      <c r="H45" s="1573"/>
      <c r="I45" s="1574"/>
      <c r="J45" s="1574"/>
      <c r="K45" s="1678">
        <f>SUM(C45:J45)</f>
        <v>13770</v>
      </c>
      <c r="L45" s="1573">
        <v>14746</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31564</v>
      </c>
      <c r="D47" s="1674">
        <f t="shared" ref="D47:K47" si="4">SUM(D44:D46)</f>
        <v>1258</v>
      </c>
      <c r="E47" s="1674">
        <f t="shared" si="4"/>
        <v>9331</v>
      </c>
      <c r="F47" s="1674">
        <f t="shared" si="4"/>
        <v>10834</v>
      </c>
      <c r="G47" s="1674">
        <f t="shared" si="4"/>
        <v>0</v>
      </c>
      <c r="H47" s="1674">
        <f t="shared" si="4"/>
        <v>0</v>
      </c>
      <c r="I47" s="1674">
        <f t="shared" si="4"/>
        <v>0</v>
      </c>
      <c r="J47" s="1674">
        <f t="shared" si="4"/>
        <v>0</v>
      </c>
      <c r="K47" s="1674">
        <f t="shared" si="4"/>
        <v>52987</v>
      </c>
      <c r="L47" s="1674">
        <f>SUM(L44:L46)</f>
        <v>50522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1500</v>
      </c>
      <c r="D49" s="1586"/>
      <c r="E49" s="1586">
        <v>18480</v>
      </c>
      <c r="F49" s="1586">
        <v>12373</v>
      </c>
      <c r="G49" s="1586"/>
      <c r="H49" s="1586">
        <v>9771</v>
      </c>
      <c r="I49" s="1574"/>
      <c r="J49" s="1574"/>
      <c r="K49" s="1678">
        <f>SUM(C49:J49)</f>
        <v>42124</v>
      </c>
      <c r="L49" s="1586">
        <v>46500</v>
      </c>
    </row>
    <row r="50" spans="1:14" x14ac:dyDescent="0.2">
      <c r="A50" s="1274" t="s">
        <v>813</v>
      </c>
      <c r="B50" s="503">
        <v>2320</v>
      </c>
      <c r="C50" s="1573">
        <v>173083</v>
      </c>
      <c r="D50" s="1573">
        <v>41822</v>
      </c>
      <c r="E50" s="1573">
        <v>1474</v>
      </c>
      <c r="F50" s="1573">
        <v>1678</v>
      </c>
      <c r="G50" s="1573"/>
      <c r="H50" s="1573">
        <v>1063</v>
      </c>
      <c r="I50" s="1574"/>
      <c r="J50" s="1574"/>
      <c r="K50" s="1678">
        <f>SUM(C50:J50)</f>
        <v>219120</v>
      </c>
      <c r="L50" s="1573">
        <v>214324</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174583</v>
      </c>
      <c r="D53" s="1674">
        <f t="shared" ref="D53:L53" si="5">SUM(D49:D52)</f>
        <v>41822</v>
      </c>
      <c r="E53" s="1674">
        <f t="shared" si="5"/>
        <v>19954</v>
      </c>
      <c r="F53" s="1674">
        <f t="shared" si="5"/>
        <v>14051</v>
      </c>
      <c r="G53" s="1674">
        <f t="shared" si="5"/>
        <v>0</v>
      </c>
      <c r="H53" s="1674">
        <f t="shared" si="5"/>
        <v>10834</v>
      </c>
      <c r="I53" s="1674">
        <f t="shared" si="5"/>
        <v>0</v>
      </c>
      <c r="J53" s="1674">
        <f t="shared" si="5"/>
        <v>0</v>
      </c>
      <c r="K53" s="1674">
        <f t="shared" si="5"/>
        <v>261244</v>
      </c>
      <c r="L53" s="1674">
        <f t="shared" si="5"/>
        <v>260824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330863</v>
      </c>
      <c r="D55" s="1586">
        <v>86639</v>
      </c>
      <c r="E55" s="1586">
        <v>26477</v>
      </c>
      <c r="F55" s="1586">
        <v>7659</v>
      </c>
      <c r="G55" s="1586">
        <f>2074-170</f>
        <v>1904</v>
      </c>
      <c r="H55" s="1586">
        <v>1328</v>
      </c>
      <c r="I55" s="1574">
        <v>170</v>
      </c>
      <c r="J55" s="1574"/>
      <c r="K55" s="1678">
        <f>SUM(C55:J55)</f>
        <v>455040</v>
      </c>
      <c r="L55" s="1586">
        <v>458584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330863</v>
      </c>
      <c r="D57" s="1679">
        <f t="shared" ref="D57:K57" si="6">SUM(D55:D56)</f>
        <v>86639</v>
      </c>
      <c r="E57" s="1679">
        <f t="shared" si="6"/>
        <v>26477</v>
      </c>
      <c r="F57" s="1679">
        <f t="shared" si="6"/>
        <v>7659</v>
      </c>
      <c r="G57" s="1679">
        <f t="shared" si="6"/>
        <v>1904</v>
      </c>
      <c r="H57" s="1679">
        <f t="shared" si="6"/>
        <v>1328</v>
      </c>
      <c r="I57" s="1679">
        <f t="shared" si="6"/>
        <v>170</v>
      </c>
      <c r="J57" s="1679">
        <f t="shared" si="6"/>
        <v>0</v>
      </c>
      <c r="K57" s="1679">
        <f t="shared" si="6"/>
        <v>455040</v>
      </c>
      <c r="L57" s="1674">
        <f>SUM(L55:L56)</f>
        <v>458584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31989</v>
      </c>
      <c r="D60" s="1573">
        <v>5545</v>
      </c>
      <c r="E60" s="1573"/>
      <c r="F60" s="1573">
        <v>1424</v>
      </c>
      <c r="G60" s="1573"/>
      <c r="H60" s="1573"/>
      <c r="I60" s="1574"/>
      <c r="J60" s="1574"/>
      <c r="K60" s="1678">
        <f t="shared" si="7"/>
        <v>38958</v>
      </c>
      <c r="L60" s="1573">
        <v>40424</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138434</v>
      </c>
      <c r="F63" s="1573">
        <v>1931</v>
      </c>
      <c r="G63" s="1573"/>
      <c r="H63" s="1573"/>
      <c r="I63" s="1574"/>
      <c r="J63" s="1574"/>
      <c r="K63" s="1678">
        <f t="shared" si="7"/>
        <v>140365</v>
      </c>
      <c r="L63" s="1573">
        <v>178340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31989</v>
      </c>
      <c r="D65" s="1674">
        <f t="shared" ref="D65:L65" si="8">SUM(D59:D64)</f>
        <v>5545</v>
      </c>
      <c r="E65" s="1674">
        <f t="shared" si="8"/>
        <v>138434</v>
      </c>
      <c r="F65" s="1674">
        <f t="shared" si="8"/>
        <v>3355</v>
      </c>
      <c r="G65" s="1674">
        <f t="shared" si="8"/>
        <v>0</v>
      </c>
      <c r="H65" s="1674">
        <f t="shared" si="8"/>
        <v>0</v>
      </c>
      <c r="I65" s="1674">
        <f t="shared" si="8"/>
        <v>0</v>
      </c>
      <c r="J65" s="1674">
        <f t="shared" si="8"/>
        <v>0</v>
      </c>
      <c r="K65" s="1674">
        <f t="shared" si="8"/>
        <v>179323</v>
      </c>
      <c r="L65" s="1674">
        <f t="shared" si="8"/>
        <v>218764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762986</v>
      </c>
      <c r="D74" s="1681">
        <f t="shared" ref="D74:K74" si="10">SUM(D42,D47,D53,D57,D65,D72,D73)</f>
        <v>184693</v>
      </c>
      <c r="E74" s="1681">
        <f t="shared" si="10"/>
        <v>229052</v>
      </c>
      <c r="F74" s="1681">
        <f t="shared" si="10"/>
        <v>38583</v>
      </c>
      <c r="G74" s="1681">
        <f t="shared" si="10"/>
        <v>1904</v>
      </c>
      <c r="H74" s="1681">
        <f t="shared" si="10"/>
        <v>12162</v>
      </c>
      <c r="I74" s="1681">
        <f t="shared" si="10"/>
        <v>170</v>
      </c>
      <c r="J74" s="1681">
        <f t="shared" si="10"/>
        <v>0</v>
      </c>
      <c r="K74" s="1681">
        <f t="shared" si="10"/>
        <v>1229550</v>
      </c>
      <c r="L74" s="1681">
        <f>SUM(L42,L47,L53,L57,L65,L72,L73)</f>
        <v>1279866</v>
      </c>
    </row>
    <row r="75" spans="1:14" s="254" customFormat="1" ht="15.75" customHeight="1" thickTop="1" thickBot="1" x14ac:dyDescent="0.25">
      <c r="A75" s="1348" t="s">
        <v>47</v>
      </c>
      <c r="B75" s="1349" t="s">
        <v>571</v>
      </c>
      <c r="C75" s="1649">
        <v>100787</v>
      </c>
      <c r="D75" s="1649">
        <v>4255</v>
      </c>
      <c r="E75" s="1649">
        <v>1554</v>
      </c>
      <c r="F75" s="1649">
        <v>11231</v>
      </c>
      <c r="G75" s="1649"/>
      <c r="H75" s="1649"/>
      <c r="I75" s="1627"/>
      <c r="J75" s="1627"/>
      <c r="K75" s="1674">
        <f>SUM(C75:J75)</f>
        <v>117827</v>
      </c>
      <c r="L75" s="1651">
        <v>116394</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f>31612+13731</f>
        <v>45343</v>
      </c>
      <c r="F79" s="1673"/>
      <c r="G79" s="1673"/>
      <c r="H79" s="1573">
        <v>11408</v>
      </c>
      <c r="I79" s="1582"/>
      <c r="J79" s="1582"/>
      <c r="K79" s="1672">
        <f t="shared" si="11"/>
        <v>56751</v>
      </c>
      <c r="L79" s="1573">
        <v>46625</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1471</v>
      </c>
      <c r="B84" s="1385">
        <v>4100</v>
      </c>
      <c r="C84" s="1673"/>
      <c r="D84" s="1673"/>
      <c r="E84" s="1674">
        <f>SUM(E78:E83)</f>
        <v>45343</v>
      </c>
      <c r="F84" s="1673"/>
      <c r="G84" s="1673"/>
      <c r="H84" s="1674">
        <f>SUM(H78:H83)</f>
        <v>11408</v>
      </c>
      <c r="I84" s="1582"/>
      <c r="J84" s="1582"/>
      <c r="K84" s="1674">
        <f>SUM(K78:K83)</f>
        <v>56751</v>
      </c>
      <c r="L84" s="1674">
        <f>SUM(L78:L83)</f>
        <v>46625</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364225</v>
      </c>
      <c r="I86" s="1582"/>
      <c r="J86" s="1582"/>
      <c r="K86" s="1681">
        <f t="shared" ref="K86:K98" si="12">H86</f>
        <v>364225</v>
      </c>
      <c r="L86" s="1626">
        <v>284000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364225</v>
      </c>
      <c r="I92" s="1582"/>
      <c r="J92" s="1582"/>
      <c r="K92" s="1681">
        <f t="shared" si="12"/>
        <v>364225</v>
      </c>
      <c r="L92" s="1674">
        <f>SUM(L85:L91)</f>
        <v>284000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45343</v>
      </c>
      <c r="F102" s="1673"/>
      <c r="G102" s="1673"/>
      <c r="H102" s="1681">
        <f>SUM(H84,H92,H100,H101)</f>
        <v>375633</v>
      </c>
      <c r="I102" s="1582"/>
      <c r="J102" s="1582"/>
      <c r="K102" s="1681">
        <f>SUM(K84,K92,K100,K101)</f>
        <v>420976</v>
      </c>
      <c r="L102" s="1681">
        <f>SUM(L84,L92,L100,L101)</f>
        <v>330625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3992293</v>
      </c>
      <c r="D114" s="1674">
        <f t="shared" ref="D114:K114" si="13">SUM(D33,D74,D75,D102,D112,D113)</f>
        <v>885427</v>
      </c>
      <c r="E114" s="1674">
        <f t="shared" si="13"/>
        <v>283803</v>
      </c>
      <c r="F114" s="1674">
        <f t="shared" si="13"/>
        <v>151011</v>
      </c>
      <c r="G114" s="1674">
        <f t="shared" si="13"/>
        <v>99369</v>
      </c>
      <c r="H114" s="1674">
        <f>SUM(H33,H74,H75,H102,H112,H113)</f>
        <v>387795</v>
      </c>
      <c r="I114" s="1674">
        <f t="shared" si="13"/>
        <v>1144</v>
      </c>
      <c r="J114" s="1674">
        <f t="shared" si="13"/>
        <v>0</v>
      </c>
      <c r="K114" s="1674">
        <f t="shared" si="13"/>
        <v>5800842</v>
      </c>
      <c r="L114" s="1674">
        <f>SUM(L33,L74,L75,L102,L112,L113)</f>
        <v>5875683</v>
      </c>
    </row>
    <row r="115" spans="1:14" ht="13.5" thickTop="1" x14ac:dyDescent="0.2">
      <c r="A115" s="2304" t="s">
        <v>989</v>
      </c>
      <c r="B115" s="2305"/>
      <c r="C115" s="1675"/>
      <c r="D115" s="1675"/>
      <c r="E115" s="1675"/>
      <c r="F115" s="1675"/>
      <c r="G115" s="1675"/>
      <c r="H115" s="1675"/>
      <c r="I115" s="1675"/>
      <c r="J115" s="1675"/>
      <c r="K115" s="1689">
        <f>'Revenues 9-14'!C268-'Expenditures 15-22'!K114</f>
        <v>-404434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2" t="s">
        <v>293</v>
      </c>
      <c r="B117" s="228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293141</v>
      </c>
      <c r="D124" s="1573">
        <v>52481</v>
      </c>
      <c r="E124" s="1573">
        <v>307535</v>
      </c>
      <c r="F124" s="1573">
        <v>229832</v>
      </c>
      <c r="G124" s="1573">
        <v>48209</v>
      </c>
      <c r="H124" s="1573"/>
      <c r="I124" s="1574"/>
      <c r="J124" s="1574"/>
      <c r="K124" s="1674">
        <f>SUM(C124:J124)</f>
        <v>931198</v>
      </c>
      <c r="L124" s="1573">
        <v>1200861</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293141</v>
      </c>
      <c r="D127" s="1674">
        <f t="shared" ref="D127:L127" si="14">SUM(D122:D126)</f>
        <v>52481</v>
      </c>
      <c r="E127" s="1674">
        <f t="shared" si="14"/>
        <v>307535</v>
      </c>
      <c r="F127" s="1674">
        <f t="shared" si="14"/>
        <v>229832</v>
      </c>
      <c r="G127" s="1674">
        <f t="shared" si="14"/>
        <v>48209</v>
      </c>
      <c r="H127" s="1674">
        <f t="shared" si="14"/>
        <v>0</v>
      </c>
      <c r="I127" s="1674">
        <f t="shared" si="14"/>
        <v>0</v>
      </c>
      <c r="J127" s="1674">
        <f t="shared" si="14"/>
        <v>0</v>
      </c>
      <c r="K127" s="1674">
        <f t="shared" si="14"/>
        <v>931198</v>
      </c>
      <c r="L127" s="1674">
        <f t="shared" si="14"/>
        <v>1200861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293141</v>
      </c>
      <c r="D129" s="1681">
        <f t="shared" ref="D129:L129" si="15">SUM(D120,D127,D128)</f>
        <v>52481</v>
      </c>
      <c r="E129" s="1681">
        <f t="shared" si="15"/>
        <v>307535</v>
      </c>
      <c r="F129" s="1681">
        <f t="shared" si="15"/>
        <v>229832</v>
      </c>
      <c r="G129" s="1681">
        <f t="shared" si="15"/>
        <v>48209</v>
      </c>
      <c r="H129" s="1681">
        <f t="shared" si="15"/>
        <v>0</v>
      </c>
      <c r="I129" s="1681">
        <f t="shared" si="15"/>
        <v>0</v>
      </c>
      <c r="J129" s="1681">
        <f t="shared" si="15"/>
        <v>0</v>
      </c>
      <c r="K129" s="1681">
        <f t="shared" si="15"/>
        <v>931198</v>
      </c>
      <c r="L129" s="1681">
        <f t="shared" si="15"/>
        <v>1200861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94" t="s">
        <v>616</v>
      </c>
      <c r="B151" s="2276"/>
      <c r="C151" s="1674">
        <f>SUM(C129,C130,C139,C149,C150)</f>
        <v>293141</v>
      </c>
      <c r="D151" s="1674">
        <f t="shared" ref="D151:K151" si="16">SUM(D129,D130,D139,D149,D150)</f>
        <v>52481</v>
      </c>
      <c r="E151" s="1674">
        <f t="shared" si="16"/>
        <v>307535</v>
      </c>
      <c r="F151" s="1674">
        <f t="shared" si="16"/>
        <v>229832</v>
      </c>
      <c r="G151" s="1674">
        <f t="shared" si="16"/>
        <v>48209</v>
      </c>
      <c r="H151" s="1674">
        <f t="shared" si="16"/>
        <v>0</v>
      </c>
      <c r="I151" s="1674">
        <f t="shared" si="16"/>
        <v>0</v>
      </c>
      <c r="J151" s="1674">
        <f t="shared" si="16"/>
        <v>0</v>
      </c>
      <c r="K151" s="1674">
        <f t="shared" si="16"/>
        <v>931198</v>
      </c>
      <c r="L151" s="1674">
        <f>SUM(L129,L130,L139,L149,L150)</f>
        <v>1200861</v>
      </c>
    </row>
    <row r="152" spans="1:14" ht="12.75" customHeight="1" thickTop="1" x14ac:dyDescent="0.2">
      <c r="A152" s="2297" t="s">
        <v>1170</v>
      </c>
      <c r="B152" s="2298"/>
      <c r="C152" s="1675"/>
      <c r="D152" s="1675"/>
      <c r="E152" s="1675"/>
      <c r="F152" s="1675"/>
      <c r="G152" s="1675"/>
      <c r="H152" s="1675"/>
      <c r="I152" s="1675"/>
      <c r="J152" s="1673"/>
      <c r="K152" s="1689">
        <f>'Revenues 9-14'!D268-'Expenditures 15-22'!K151</f>
        <v>94654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2" t="s">
        <v>617</v>
      </c>
      <c r="B154" s="228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1300</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1300</v>
      </c>
    </row>
    <row r="169" spans="1:14" ht="15.75" customHeight="1" thickTop="1" x14ac:dyDescent="0.2">
      <c r="A169" s="543" t="s">
        <v>83</v>
      </c>
      <c r="B169" s="544" t="s">
        <v>38</v>
      </c>
      <c r="C169" s="1673"/>
      <c r="D169" s="1673"/>
      <c r="E169" s="1673"/>
      <c r="F169" s="1673"/>
      <c r="G169" s="1673"/>
      <c r="H169" s="1695">
        <v>282419</v>
      </c>
      <c r="I169" s="1673"/>
      <c r="J169" s="1673"/>
      <c r="K169" s="1672">
        <f>SUM(C169:H169)</f>
        <v>282419</v>
      </c>
      <c r="L169" s="1695">
        <v>1837000</v>
      </c>
    </row>
    <row r="170" spans="1:14" ht="33.75" customHeight="1" x14ac:dyDescent="0.2">
      <c r="A170" s="543" t="s">
        <v>1654</v>
      </c>
      <c r="B170" s="545" t="s">
        <v>31</v>
      </c>
      <c r="C170" s="1673"/>
      <c r="D170" s="1673"/>
      <c r="E170" s="1673"/>
      <c r="F170" s="1673"/>
      <c r="G170" s="1673"/>
      <c r="H170" s="1646">
        <f>24128+1792000</f>
        <v>1816128</v>
      </c>
      <c r="I170" s="1673"/>
      <c r="J170" s="1673"/>
      <c r="K170" s="1672">
        <f>SUM(C170:J170)</f>
        <v>1816128</v>
      </c>
      <c r="L170" s="1646"/>
    </row>
    <row r="171" spans="1:14" ht="15.75" customHeight="1" x14ac:dyDescent="0.2">
      <c r="A171" s="507" t="s">
        <v>761</v>
      </c>
      <c r="B171" s="546" t="s">
        <v>84</v>
      </c>
      <c r="C171" s="1673"/>
      <c r="D171" s="1673"/>
      <c r="E171" s="1573">
        <v>213</v>
      </c>
      <c r="F171" s="1673"/>
      <c r="G171" s="1673"/>
      <c r="H171" s="1646"/>
      <c r="I171" s="1582"/>
      <c r="J171" s="1673"/>
      <c r="K171" s="1672">
        <f>SUM(C171:J171)</f>
        <v>213</v>
      </c>
      <c r="L171" s="1646"/>
    </row>
    <row r="172" spans="1:14" ht="12.75" customHeight="1" thickBot="1" x14ac:dyDescent="0.25">
      <c r="A172" s="1380" t="s">
        <v>633</v>
      </c>
      <c r="B172" s="1381" t="s">
        <v>489</v>
      </c>
      <c r="C172" s="1673"/>
      <c r="D172" s="1673"/>
      <c r="E172" s="1681">
        <f>SUM(E168,E169,E170,E171)</f>
        <v>213</v>
      </c>
      <c r="F172" s="1673"/>
      <c r="G172" s="1673"/>
      <c r="H172" s="1681">
        <f>SUM(H168,H169,H170,H171)</f>
        <v>2098547</v>
      </c>
      <c r="I172" s="1684"/>
      <c r="J172" s="1673"/>
      <c r="K172" s="1681">
        <f>SUM(K168,K169,K170,K171)</f>
        <v>2098760</v>
      </c>
      <c r="L172" s="1681">
        <f>SUM(L168,L169,L170,L171)</f>
        <v>1838300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213</v>
      </c>
      <c r="F174" s="1673"/>
      <c r="G174" s="1673"/>
      <c r="H174" s="1681">
        <f>SUM(H160,H172,H173)</f>
        <v>2098547</v>
      </c>
      <c r="I174" s="1684"/>
      <c r="J174" s="1673"/>
      <c r="K174" s="1681">
        <f>SUM(K160,K172,K173)</f>
        <v>2098760</v>
      </c>
      <c r="L174" s="1681">
        <f>SUM(L160,L172,L173)</f>
        <v>1838300</v>
      </c>
    </row>
    <row r="175" spans="1:14" ht="13.5" thickTop="1" x14ac:dyDescent="0.2">
      <c r="A175" s="2304" t="s">
        <v>989</v>
      </c>
      <c r="B175" s="2305"/>
      <c r="C175" s="1673"/>
      <c r="D175" s="1673"/>
      <c r="E175" s="1673"/>
      <c r="F175" s="1673"/>
      <c r="G175" s="1673"/>
      <c r="H175" s="1675"/>
      <c r="I175" s="1673"/>
      <c r="J175" s="1673"/>
      <c r="K175" s="1689">
        <f>'Revenues 9-14'!E268-'Expenditures 15-22'!K174</f>
        <v>-256102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329707</v>
      </c>
      <c r="F182" s="1573"/>
      <c r="G182" s="1573"/>
      <c r="H182" s="1573"/>
      <c r="I182" s="1574"/>
      <c r="J182" s="1574"/>
      <c r="K182" s="1672">
        <f>SUM(C182:J182)</f>
        <v>329707</v>
      </c>
      <c r="L182" s="1573">
        <v>381000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329707</v>
      </c>
      <c r="F184" s="1681">
        <f t="shared" si="17"/>
        <v>0</v>
      </c>
      <c r="G184" s="1681">
        <f t="shared" si="17"/>
        <v>0</v>
      </c>
      <c r="H184" s="1681">
        <f t="shared" si="17"/>
        <v>0</v>
      </c>
      <c r="I184" s="1681">
        <f t="shared" si="17"/>
        <v>0</v>
      </c>
      <c r="J184" s="1681">
        <f t="shared" si="17"/>
        <v>0</v>
      </c>
      <c r="K184" s="1681">
        <f>SUM(K180,K182,K183)</f>
        <v>329707</v>
      </c>
      <c r="L184" s="1681">
        <f>SUM(L180, L182:L183)</f>
        <v>381000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329707</v>
      </c>
      <c r="F210" s="1674">
        <f>SUM(F184,F185)</f>
        <v>0</v>
      </c>
      <c r="G210" s="1674">
        <f>SUM(G184,G185)</f>
        <v>0</v>
      </c>
      <c r="H210" s="1674">
        <f>SUM(H184,H185,H196,H208,H209)</f>
        <v>0</v>
      </c>
      <c r="I210" s="1674">
        <f>SUM(I184,I185)</f>
        <v>0</v>
      </c>
      <c r="J210" s="1674">
        <f>SUM(J184,J185)</f>
        <v>0</v>
      </c>
      <c r="K210" s="1672">
        <f>SUM(K184,K185,K196,K208,K209)</f>
        <v>329707</v>
      </c>
      <c r="L210" s="1674">
        <f>SUM(L184,L185,L196,L208,L209)</f>
        <v>381000</v>
      </c>
    </row>
    <row r="211" spans="1:14" ht="13.5" thickTop="1" x14ac:dyDescent="0.2">
      <c r="A211" s="2304" t="s">
        <v>989</v>
      </c>
      <c r="B211" s="2305"/>
      <c r="C211" s="1675"/>
      <c r="D211" s="1675"/>
      <c r="E211" s="1675"/>
      <c r="F211" s="1675"/>
      <c r="G211" s="1675"/>
      <c r="H211" s="1675"/>
      <c r="I211" s="1673"/>
      <c r="J211" s="1673"/>
      <c r="K211" s="1689">
        <f>'Revenues 9-14'!F268-'Expenditures 15-22'!K210</f>
        <v>43597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9" t="s">
        <v>959</v>
      </c>
      <c r="B213" s="230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f>26625+16553</f>
        <v>43178</v>
      </c>
      <c r="E215" s="1673"/>
      <c r="F215" s="1673"/>
      <c r="G215" s="1673"/>
      <c r="H215" s="1673"/>
      <c r="I215" s="1673"/>
      <c r="J215" s="1673"/>
      <c r="K215" s="1672">
        <f>D215</f>
        <v>43178</v>
      </c>
      <c r="L215" s="1573">
        <v>46279</v>
      </c>
    </row>
    <row r="216" spans="1:14" x14ac:dyDescent="0.2">
      <c r="A216" s="1274" t="s">
        <v>162</v>
      </c>
      <c r="B216" s="503" t="s">
        <v>961</v>
      </c>
      <c r="C216" s="1673"/>
      <c r="D216" s="1574">
        <v>10904</v>
      </c>
      <c r="E216" s="1673"/>
      <c r="F216" s="1673"/>
      <c r="G216" s="1673"/>
      <c r="H216" s="1673"/>
      <c r="I216" s="1673"/>
      <c r="J216" s="1673"/>
      <c r="K216" s="1672">
        <f t="shared" ref="K216:K228" si="19">D216</f>
        <v>10904</v>
      </c>
      <c r="L216" s="1573">
        <v>10494</v>
      </c>
    </row>
    <row r="217" spans="1:14" x14ac:dyDescent="0.2">
      <c r="A217" s="1274" t="s">
        <v>163</v>
      </c>
      <c r="B217" s="503">
        <v>1200</v>
      </c>
      <c r="C217" s="1673"/>
      <c r="D217" s="1573">
        <v>22349</v>
      </c>
      <c r="E217" s="1673"/>
      <c r="F217" s="1673"/>
      <c r="G217" s="1673"/>
      <c r="H217" s="1673"/>
      <c r="I217" s="1673"/>
      <c r="J217" s="1673"/>
      <c r="K217" s="1672">
        <f t="shared" si="19"/>
        <v>22349</v>
      </c>
      <c r="L217" s="1573">
        <v>19600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13452</v>
      </c>
      <c r="E219" s="1673"/>
      <c r="F219" s="1673"/>
      <c r="G219" s="1673"/>
      <c r="H219" s="1673"/>
      <c r="I219" s="1673"/>
      <c r="J219" s="1673"/>
      <c r="K219" s="1672">
        <f t="shared" si="19"/>
        <v>13452</v>
      </c>
      <c r="L219" s="1573">
        <v>13130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2160</v>
      </c>
      <c r="E223" s="1673"/>
      <c r="F223" s="1673"/>
      <c r="G223" s="1673"/>
      <c r="H223" s="1673"/>
      <c r="I223" s="1673"/>
      <c r="J223" s="1673"/>
      <c r="K223" s="1672">
        <f t="shared" si="19"/>
        <v>2160</v>
      </c>
      <c r="L223" s="1573">
        <v>2750</v>
      </c>
    </row>
    <row r="224" spans="1:14" x14ac:dyDescent="0.2">
      <c r="A224" s="1274" t="s">
        <v>958</v>
      </c>
      <c r="B224" s="503">
        <v>1600</v>
      </c>
      <c r="C224" s="1673"/>
      <c r="D224" s="1573">
        <v>217</v>
      </c>
      <c r="E224" s="1673"/>
      <c r="F224" s="1673"/>
      <c r="G224" s="1673"/>
      <c r="H224" s="1673"/>
      <c r="I224" s="1673"/>
      <c r="J224" s="1673"/>
      <c r="K224" s="1672">
        <f t="shared" si="19"/>
        <v>217</v>
      </c>
      <c r="L224" s="1573">
        <v>50</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92260</v>
      </c>
      <c r="E229" s="1673"/>
      <c r="F229" s="1673"/>
      <c r="G229" s="1673"/>
      <c r="H229" s="1673"/>
      <c r="I229" s="1673"/>
      <c r="J229" s="1673"/>
      <c r="K229" s="1674">
        <f>SUM(K215:K228)</f>
        <v>92260</v>
      </c>
      <c r="L229" s="1674">
        <f>SUM(L215:L228)</f>
        <v>92303</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1041</v>
      </c>
      <c r="E232" s="1673"/>
      <c r="F232" s="1673"/>
      <c r="G232" s="1673"/>
      <c r="H232" s="1673"/>
      <c r="I232" s="1673"/>
      <c r="J232" s="1673"/>
      <c r="K232" s="1672">
        <f t="shared" ref="K232:K237" si="20">D232</f>
        <v>1041</v>
      </c>
      <c r="L232" s="1573">
        <v>2500</v>
      </c>
    </row>
    <row r="233" spans="1:12" x14ac:dyDescent="0.2">
      <c r="A233" s="1274" t="s">
        <v>1083</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5719</v>
      </c>
      <c r="E234" s="1673"/>
      <c r="F234" s="1673"/>
      <c r="G234" s="1673"/>
      <c r="H234" s="1673"/>
      <c r="I234" s="1673"/>
      <c r="J234" s="1673"/>
      <c r="K234" s="1672">
        <f t="shared" si="20"/>
        <v>5719</v>
      </c>
      <c r="L234" s="1573">
        <v>6000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1029</v>
      </c>
      <c r="E236" s="1673"/>
      <c r="F236" s="1673"/>
      <c r="G236" s="1673"/>
      <c r="H236" s="1673"/>
      <c r="I236" s="1673"/>
      <c r="J236" s="1673"/>
      <c r="K236" s="1672">
        <f t="shared" si="20"/>
        <v>1029</v>
      </c>
      <c r="L236" s="1573">
        <v>1153</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7789</v>
      </c>
      <c r="E238" s="1673"/>
      <c r="F238" s="1673"/>
      <c r="G238" s="1673"/>
      <c r="H238" s="1673"/>
      <c r="I238" s="1673"/>
      <c r="J238" s="1673"/>
      <c r="K238" s="1674">
        <f>SUM(K232:K237)</f>
        <v>7789</v>
      </c>
      <c r="L238" s="1674">
        <f>SUM(L232:L237)</f>
        <v>9653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2101</v>
      </c>
      <c r="E240" s="1673"/>
      <c r="F240" s="1673"/>
      <c r="G240" s="1673"/>
      <c r="H240" s="1673"/>
      <c r="I240" s="1673"/>
      <c r="J240" s="1673"/>
      <c r="K240" s="1678">
        <f>D240</f>
        <v>2101</v>
      </c>
      <c r="L240" s="1586">
        <v>1991</v>
      </c>
    </row>
    <row r="241" spans="1:12" x14ac:dyDescent="0.2">
      <c r="A241" s="1274" t="s">
        <v>810</v>
      </c>
      <c r="B241" s="503">
        <v>2220</v>
      </c>
      <c r="C241" s="1673"/>
      <c r="D241" s="1573">
        <v>2349</v>
      </c>
      <c r="E241" s="1673"/>
      <c r="F241" s="1673"/>
      <c r="G241" s="1673"/>
      <c r="H241" s="1673"/>
      <c r="I241" s="1673"/>
      <c r="J241" s="1673"/>
      <c r="K241" s="1678">
        <f>D241</f>
        <v>2349</v>
      </c>
      <c r="L241" s="1573">
        <v>2600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4450</v>
      </c>
      <c r="E243" s="1673"/>
      <c r="F243" s="1673"/>
      <c r="G243" s="1673"/>
      <c r="H243" s="1673"/>
      <c r="I243" s="1673"/>
      <c r="J243" s="1673"/>
      <c r="K243" s="1674">
        <f>SUM(K240:K242)</f>
        <v>4450</v>
      </c>
      <c r="L243" s="1674">
        <f>SUM(L240:L242)</f>
        <v>4591</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115</v>
      </c>
      <c r="E245" s="1673"/>
      <c r="F245" s="1673"/>
      <c r="G245" s="1673"/>
      <c r="H245" s="1673"/>
      <c r="I245" s="1673"/>
      <c r="J245" s="1673"/>
      <c r="K245" s="1678">
        <f>D245</f>
        <v>115</v>
      </c>
      <c r="L245" s="1586">
        <v>200</v>
      </c>
    </row>
    <row r="246" spans="1:12" x14ac:dyDescent="0.2">
      <c r="A246" s="1274" t="s">
        <v>813</v>
      </c>
      <c r="B246" s="503">
        <v>2320</v>
      </c>
      <c r="C246" s="1673"/>
      <c r="D246" s="1573">
        <v>9804</v>
      </c>
      <c r="E246" s="1673"/>
      <c r="F246" s="1673"/>
      <c r="G246" s="1673"/>
      <c r="H246" s="1673"/>
      <c r="I246" s="1673"/>
      <c r="J246" s="1673"/>
      <c r="K246" s="1678">
        <f t="shared" ref="K246:K256" si="21">D246</f>
        <v>9804</v>
      </c>
      <c r="L246" s="1573">
        <v>9650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1785</v>
      </c>
      <c r="B249" s="557" t="s">
        <v>280</v>
      </c>
      <c r="C249" s="1673"/>
      <c r="D249" s="1579"/>
      <c r="E249" s="1673"/>
      <c r="F249" s="1673"/>
      <c r="G249" s="1673"/>
      <c r="H249" s="1673"/>
      <c r="I249" s="1673"/>
      <c r="J249" s="1673"/>
      <c r="K249" s="1678">
        <f t="shared" si="21"/>
        <v>0</v>
      </c>
      <c r="L249" s="1573"/>
    </row>
    <row r="250" spans="1:12" x14ac:dyDescent="0.2">
      <c r="A250" s="1275" t="s">
        <v>1786</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v>7061</v>
      </c>
      <c r="E252" s="1673"/>
      <c r="F252" s="1673"/>
      <c r="G252" s="1673"/>
      <c r="H252" s="1673"/>
      <c r="I252" s="1673"/>
      <c r="J252" s="1673"/>
      <c r="K252" s="1678">
        <f t="shared" si="21"/>
        <v>7061</v>
      </c>
      <c r="L252" s="1573">
        <v>7902</v>
      </c>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16980</v>
      </c>
      <c r="E257" s="1673"/>
      <c r="F257" s="1673"/>
      <c r="G257" s="1673"/>
      <c r="H257" s="1673"/>
      <c r="I257" s="1673"/>
      <c r="J257" s="1673"/>
      <c r="K257" s="1674">
        <f>SUM(K245:K256)</f>
        <v>16980</v>
      </c>
      <c r="L257" s="1674">
        <f>SUM(L245:L256)</f>
        <v>17752</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17131</v>
      </c>
      <c r="E259" s="1673"/>
      <c r="F259" s="1673"/>
      <c r="G259" s="1673"/>
      <c r="H259" s="1673"/>
      <c r="I259" s="1673"/>
      <c r="J259" s="1673"/>
      <c r="K259" s="1678">
        <f>D259</f>
        <v>17131</v>
      </c>
      <c r="L259" s="1586">
        <v>18664</v>
      </c>
    </row>
    <row r="260" spans="1:14" s="493" customFormat="1" x14ac:dyDescent="0.2">
      <c r="A260" s="1292" t="s">
        <v>1784</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17131</v>
      </c>
      <c r="E261" s="1673"/>
      <c r="F261" s="1673"/>
      <c r="G261" s="1673"/>
      <c r="H261" s="1673"/>
      <c r="I261" s="1673"/>
      <c r="J261" s="1673"/>
      <c r="K261" s="1674">
        <f>SUM(K259:K260)</f>
        <v>17131</v>
      </c>
      <c r="L261" s="1674">
        <f>SUM(L259:L260)</f>
        <v>18664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5555</v>
      </c>
      <c r="E264" s="1673"/>
      <c r="F264" s="1673"/>
      <c r="G264" s="1673"/>
      <c r="H264" s="1673"/>
      <c r="I264" s="1673"/>
      <c r="J264" s="1673"/>
      <c r="K264" s="1678">
        <f t="shared" ref="K264:K269" si="22">D264</f>
        <v>5555</v>
      </c>
      <c r="L264" s="1573">
        <v>5500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47962</v>
      </c>
      <c r="E266" s="1673"/>
      <c r="F266" s="1673"/>
      <c r="G266" s="1673"/>
      <c r="H266" s="1673"/>
      <c r="I266" s="1673"/>
      <c r="J266" s="1673"/>
      <c r="K266" s="1678">
        <f t="shared" si="22"/>
        <v>47962</v>
      </c>
      <c r="L266" s="1573">
        <v>60000</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53517</v>
      </c>
      <c r="E270" s="1673"/>
      <c r="F270" s="1673"/>
      <c r="G270" s="1673"/>
      <c r="H270" s="1673"/>
      <c r="I270" s="1673"/>
      <c r="J270" s="1673"/>
      <c r="K270" s="1674">
        <f>SUM(K263:K269)</f>
        <v>53517</v>
      </c>
      <c r="L270" s="1674">
        <f>SUM(L263:L269)</f>
        <v>65500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99867</v>
      </c>
      <c r="E279" s="1673"/>
      <c r="F279" s="1673"/>
      <c r="G279" s="1673"/>
      <c r="H279" s="1673"/>
      <c r="I279" s="1673"/>
      <c r="J279" s="1673"/>
      <c r="K279" s="1681">
        <f>SUM(K238,K243,K257,K261,K270,K277,K278)</f>
        <v>99867</v>
      </c>
      <c r="L279" s="1681">
        <f>SUM(L238,L243,L257,L261,L270,L277,L278)</f>
        <v>116160</v>
      </c>
    </row>
    <row r="280" spans="1:12" ht="15.75" customHeight="1" thickTop="1" thickBot="1" x14ac:dyDescent="0.25">
      <c r="A280" s="1362" t="s">
        <v>870</v>
      </c>
      <c r="B280" s="1351">
        <v>3000</v>
      </c>
      <c r="C280" s="1673"/>
      <c r="D280" s="1651">
        <v>11057</v>
      </c>
      <c r="E280" s="1673"/>
      <c r="F280" s="1673"/>
      <c r="G280" s="1673"/>
      <c r="H280" s="1673"/>
      <c r="I280" s="1673"/>
      <c r="J280" s="1673"/>
      <c r="K280" s="1687">
        <f>D280</f>
        <v>11057</v>
      </c>
      <c r="L280" s="1651">
        <v>12000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row>
    <row r="283" spans="1:12" x14ac:dyDescent="0.2">
      <c r="A283" s="1274" t="s">
        <v>301</v>
      </c>
      <c r="B283" s="503">
        <v>4120</v>
      </c>
      <c r="C283" s="1673"/>
      <c r="D283" s="1573">
        <v>120</v>
      </c>
      <c r="E283" s="1673"/>
      <c r="F283" s="1673"/>
      <c r="G283" s="1673"/>
      <c r="H283" s="1673"/>
      <c r="I283" s="1673"/>
      <c r="J283" s="1673"/>
      <c r="K283" s="1672">
        <f>D283</f>
        <v>120</v>
      </c>
      <c r="L283" s="1573">
        <v>1500</v>
      </c>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120</v>
      </c>
      <c r="E285" s="1673"/>
      <c r="F285" s="1673"/>
      <c r="G285" s="1673"/>
      <c r="H285" s="1673"/>
      <c r="I285" s="1673"/>
      <c r="J285" s="1673"/>
      <c r="K285" s="1674">
        <f>SUM(K282:K284)</f>
        <v>120</v>
      </c>
      <c r="L285" s="1674">
        <f>SUM(L282:L284)</f>
        <v>1500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95" t="s">
        <v>502</v>
      </c>
      <c r="B295" s="2296"/>
      <c r="C295" s="1673"/>
      <c r="D295" s="1674">
        <f>SUM(D229,D279,D280,D285)</f>
        <v>203304</v>
      </c>
      <c r="E295" s="1673"/>
      <c r="F295" s="1673"/>
      <c r="G295" s="1673"/>
      <c r="H295" s="1674">
        <f>H293</f>
        <v>0</v>
      </c>
      <c r="I295" s="1673"/>
      <c r="J295" s="1673"/>
      <c r="K295" s="1674">
        <f>SUM(K229,K279,K280,K285,K293,K294)</f>
        <v>203304</v>
      </c>
      <c r="L295" s="1674">
        <f>SUM(L229,L279,L280,L285,L293,L294)</f>
        <v>221963</v>
      </c>
    </row>
    <row r="296" spans="1:14" ht="13.5" thickTop="1" x14ac:dyDescent="0.2">
      <c r="A296" s="2304" t="s">
        <v>989</v>
      </c>
      <c r="B296" s="2305"/>
      <c r="C296" s="1673"/>
      <c r="D296" s="1675"/>
      <c r="E296" s="1673"/>
      <c r="F296" s="1673"/>
      <c r="G296" s="1673"/>
      <c r="H296" s="1707"/>
      <c r="I296" s="1673"/>
      <c r="J296" s="1673"/>
      <c r="K296" s="1689">
        <f>'Revenues 9-14'!G268-'Expenditures 15-22'!K295</f>
        <v>-57622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7" t="s">
        <v>142</v>
      </c>
      <c r="B298" s="228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2616609</v>
      </c>
      <c r="H301" s="1573"/>
      <c r="I301" s="1574"/>
      <c r="J301" s="1574"/>
      <c r="K301" s="1672">
        <f>SUM(C301:J301)</f>
        <v>2616609</v>
      </c>
      <c r="L301" s="1574">
        <v>9205000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2616609</v>
      </c>
      <c r="H303" s="1681">
        <f t="shared" si="23"/>
        <v>0</v>
      </c>
      <c r="I303" s="1681">
        <f t="shared" si="23"/>
        <v>0</v>
      </c>
      <c r="J303" s="1681">
        <f t="shared" si="23"/>
        <v>0</v>
      </c>
      <c r="K303" s="1681">
        <f t="shared" si="23"/>
        <v>2616609</v>
      </c>
      <c r="L303" s="1681">
        <f t="shared" si="23"/>
        <v>9205000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92" t="s">
        <v>275</v>
      </c>
      <c r="B312" s="2293"/>
      <c r="C312" s="1674">
        <f>SUM(C303)</f>
        <v>0</v>
      </c>
      <c r="D312" s="1674">
        <f>SUM(D303)</f>
        <v>0</v>
      </c>
      <c r="E312" s="1674">
        <f>SUM(E303,E310)</f>
        <v>0</v>
      </c>
      <c r="F312" s="1674">
        <f>SUM(F303)</f>
        <v>0</v>
      </c>
      <c r="G312" s="1674">
        <f>SUM(G303)</f>
        <v>2616609</v>
      </c>
      <c r="H312" s="1674">
        <f>SUM(H303,H310)</f>
        <v>0</v>
      </c>
      <c r="I312" s="1674">
        <f>SUM(I303)</f>
        <v>0</v>
      </c>
      <c r="J312" s="1674">
        <f>SUM(J303)</f>
        <v>0</v>
      </c>
      <c r="K312" s="1674">
        <f>SUM(K303,K310,K311)</f>
        <v>2616609</v>
      </c>
      <c r="L312" s="1674">
        <f>SUM(L303,L310,L311)</f>
        <v>9205000</v>
      </c>
      <c r="M312" s="539"/>
      <c r="N312" s="539"/>
    </row>
    <row r="313" spans="1:14" ht="13.5" thickTop="1" x14ac:dyDescent="0.2">
      <c r="A313" s="2288" t="s">
        <v>989</v>
      </c>
      <c r="B313" s="2289"/>
      <c r="C313" s="1677"/>
      <c r="D313" s="1677"/>
      <c r="E313" s="1677"/>
      <c r="F313" s="1677"/>
      <c r="G313" s="1677"/>
      <c r="H313" s="1677"/>
      <c r="I313" s="1677"/>
      <c r="J313" s="1677"/>
      <c r="K313" s="1696">
        <f>'Revenues 9-14'!H268-'Expenditures 15-22'!K312</f>
        <v>497654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1" t="s">
        <v>148</v>
      </c>
      <c r="B315" s="230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3" t="s">
        <v>892</v>
      </c>
      <c r="B317" s="230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1785</v>
      </c>
      <c r="B320" s="568" t="s">
        <v>280</v>
      </c>
      <c r="C320" s="1574"/>
      <c r="D320" s="1574"/>
      <c r="E320" s="1574">
        <v>35993</v>
      </c>
      <c r="F320" s="1574"/>
      <c r="G320" s="1574"/>
      <c r="H320" s="1574"/>
      <c r="I320" s="1574"/>
      <c r="J320" s="1574"/>
      <c r="K320" s="1672">
        <f t="shared" ref="K320:K327" si="24">SUM(C320:J320)</f>
        <v>35993</v>
      </c>
      <c r="L320" s="1574">
        <v>25000</v>
      </c>
      <c r="M320" s="539"/>
      <c r="N320" s="539"/>
    </row>
    <row r="321" spans="1:14" s="548" customFormat="1" x14ac:dyDescent="0.2">
      <c r="A321" s="1289" t="s">
        <v>297</v>
      </c>
      <c r="B321" s="567" t="s">
        <v>281</v>
      </c>
      <c r="C321" s="1574"/>
      <c r="D321" s="1574"/>
      <c r="E321" s="1574">
        <v>4896</v>
      </c>
      <c r="F321" s="1574"/>
      <c r="G321" s="1574"/>
      <c r="H321" s="1574"/>
      <c r="I321" s="1574"/>
      <c r="J321" s="1574"/>
      <c r="K321" s="1672">
        <f t="shared" si="24"/>
        <v>4896</v>
      </c>
      <c r="L321" s="1574">
        <v>10000</v>
      </c>
      <c r="M321" s="539"/>
      <c r="N321" s="539"/>
    </row>
    <row r="322" spans="1:14" s="548" customFormat="1" x14ac:dyDescent="0.2">
      <c r="A322" s="1289" t="s">
        <v>236</v>
      </c>
      <c r="B322" s="567" t="s">
        <v>282</v>
      </c>
      <c r="C322" s="1574"/>
      <c r="D322" s="1574"/>
      <c r="E322" s="1574">
        <v>38619</v>
      </c>
      <c r="F322" s="1574"/>
      <c r="G322" s="1574"/>
      <c r="H322" s="1574"/>
      <c r="I322" s="1574"/>
      <c r="J322" s="1574"/>
      <c r="K322" s="1672">
        <f t="shared" si="24"/>
        <v>38619</v>
      </c>
      <c r="L322" s="1574">
        <v>40000</v>
      </c>
      <c r="M322" s="539"/>
      <c r="N322" s="539"/>
    </row>
    <row r="323" spans="1:14" s="548" customFormat="1" x14ac:dyDescent="0.2">
      <c r="A323" s="1289" t="s">
        <v>697</v>
      </c>
      <c r="B323" s="567" t="s">
        <v>283</v>
      </c>
      <c r="C323" s="1574"/>
      <c r="D323" s="1574"/>
      <c r="E323" s="1574"/>
      <c r="F323" s="1574"/>
      <c r="G323" s="1574"/>
      <c r="H323" s="1574">
        <v>6808</v>
      </c>
      <c r="I323" s="1574"/>
      <c r="J323" s="1574"/>
      <c r="K323" s="1672">
        <f t="shared" si="24"/>
        <v>6808</v>
      </c>
      <c r="L323" s="1574">
        <v>8000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182479</v>
      </c>
      <c r="D325" s="1574">
        <v>19761</v>
      </c>
      <c r="E325" s="1574">
        <v>500</v>
      </c>
      <c r="F325" s="1574">
        <v>7085</v>
      </c>
      <c r="G325" s="1574"/>
      <c r="H325" s="1574"/>
      <c r="I325" s="1574"/>
      <c r="J325" s="1574"/>
      <c r="K325" s="1672">
        <f t="shared" si="24"/>
        <v>209825</v>
      </c>
      <c r="L325" s="1574">
        <v>257180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23094</v>
      </c>
      <c r="F327" s="1574"/>
      <c r="G327" s="1574"/>
      <c r="H327" s="1574"/>
      <c r="I327" s="1574"/>
      <c r="J327" s="1574"/>
      <c r="K327" s="1672">
        <f t="shared" si="24"/>
        <v>23094</v>
      </c>
      <c r="L327" s="1574">
        <v>35000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182479</v>
      </c>
      <c r="D330" s="1674">
        <f t="shared" ref="D330:J330" si="25">SUM(D319:D329)</f>
        <v>19761</v>
      </c>
      <c r="E330" s="1674">
        <f t="shared" si="25"/>
        <v>103102</v>
      </c>
      <c r="F330" s="1674">
        <f t="shared" si="25"/>
        <v>7085</v>
      </c>
      <c r="G330" s="1674">
        <f t="shared" si="25"/>
        <v>0</v>
      </c>
      <c r="H330" s="1674">
        <f t="shared" si="25"/>
        <v>6808</v>
      </c>
      <c r="I330" s="1674">
        <f t="shared" si="25"/>
        <v>0</v>
      </c>
      <c r="J330" s="1674">
        <f t="shared" si="25"/>
        <v>0</v>
      </c>
      <c r="K330" s="1674">
        <f>SUM(K319:K329)</f>
        <v>319235</v>
      </c>
      <c r="L330" s="1674">
        <f>SUM(L319:L329)</f>
        <v>375180</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182479</v>
      </c>
      <c r="D342" s="1674">
        <f>SUM(D330)</f>
        <v>19761</v>
      </c>
      <c r="E342" s="1674">
        <f>SUM(E330)</f>
        <v>103102</v>
      </c>
      <c r="F342" s="1674">
        <f>SUM(F330)</f>
        <v>7085</v>
      </c>
      <c r="G342" s="1674">
        <f>SUM(G330)</f>
        <v>0</v>
      </c>
      <c r="H342" s="1674">
        <f>SUM(H330,H334,H340)</f>
        <v>6808</v>
      </c>
      <c r="I342" s="1674">
        <f>SUM(I330)</f>
        <v>0</v>
      </c>
      <c r="J342" s="1674">
        <f>SUM(J330)</f>
        <v>0</v>
      </c>
      <c r="K342" s="1674">
        <f>SUM(K330,K334,K340)</f>
        <v>319235</v>
      </c>
      <c r="L342" s="1681">
        <f>SUM(L330,L334,L340,L341)</f>
        <v>375180</v>
      </c>
    </row>
    <row r="343" spans="1:14" ht="12.75" customHeight="1" thickTop="1" x14ac:dyDescent="0.2">
      <c r="A343" s="2290" t="s">
        <v>989</v>
      </c>
      <c r="B343" s="2291"/>
      <c r="C343" s="1673"/>
      <c r="D343" s="1673"/>
      <c r="E343" s="1673"/>
      <c r="F343" s="1673"/>
      <c r="G343" s="1673"/>
      <c r="H343" s="1673"/>
      <c r="I343" s="1673"/>
      <c r="J343" s="1673"/>
      <c r="K343" s="1689">
        <f>'Revenues 9-14'!J268-'Expenditures 15-22'!K342</f>
        <v>56886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0" t="s">
        <v>960</v>
      </c>
      <c r="B345" s="228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10590000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10590000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10590000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row>
    <row r="355" spans="1:14" ht="12.75" customHeight="1" x14ac:dyDescent="0.2">
      <c r="A355" s="1283" t="s">
        <v>1828</v>
      </c>
      <c r="B355" s="562" t="s">
        <v>1821</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10590000</v>
      </c>
    </row>
    <row r="368" spans="1:14" ht="13.5" thickTop="1" x14ac:dyDescent="0.2">
      <c r="A368" s="2304" t="s">
        <v>989</v>
      </c>
      <c r="B368" s="2305"/>
      <c r="C368" s="1694"/>
      <c r="D368" s="1694"/>
      <c r="E368" s="1677"/>
      <c r="F368" s="1677"/>
      <c r="G368" s="1677"/>
      <c r="H368" s="1677"/>
      <c r="I368" s="1677"/>
      <c r="J368" s="1676"/>
      <c r="K368" s="1672">
        <f>'Revenues 9-14'!K268-'Expenditures 15-22'!K367</f>
        <v>100514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6" sqref="E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6"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7"/>
      <c r="B3" s="1294"/>
      <c r="C3" s="1295"/>
      <c r="D3" s="1296" t="s">
        <v>254</v>
      </c>
      <c r="E3" s="1295"/>
      <c r="F3" s="1296" t="s">
        <v>255</v>
      </c>
    </row>
    <row r="4" spans="1:8" ht="13.7" customHeight="1" x14ac:dyDescent="0.2">
      <c r="A4" s="579" t="s">
        <v>1147</v>
      </c>
      <c r="B4" s="1721">
        <f>'Revenues 9-14'!C5</f>
        <v>3178830</v>
      </c>
      <c r="C4" s="1722"/>
      <c r="D4" s="1723">
        <f>B4-C4</f>
        <v>3178830</v>
      </c>
      <c r="E4" s="1722">
        <v>3272263</v>
      </c>
      <c r="F4" s="1723">
        <f>E4-C4</f>
        <v>3272263</v>
      </c>
    </row>
    <row r="5" spans="1:8" ht="13.7" customHeight="1" x14ac:dyDescent="0.2">
      <c r="A5" s="579" t="s">
        <v>865</v>
      </c>
      <c r="B5" s="1724">
        <f>'Revenues 9-14'!D5</f>
        <v>999055</v>
      </c>
      <c r="C5" s="1664"/>
      <c r="D5" s="1725">
        <f t="shared" ref="D5:D18" si="0">B5-C5</f>
        <v>999055</v>
      </c>
      <c r="E5" s="1664">
        <v>1028425</v>
      </c>
      <c r="F5" s="1725">
        <f>E5-C5</f>
        <v>1028425</v>
      </c>
    </row>
    <row r="6" spans="1:8" ht="13.7" customHeight="1" x14ac:dyDescent="0.2">
      <c r="A6" s="579" t="s">
        <v>408</v>
      </c>
      <c r="B6" s="1724">
        <f>'Revenues 9-14'!E5</f>
        <v>1838994</v>
      </c>
      <c r="C6" s="1664"/>
      <c r="D6" s="1725">
        <f t="shared" si="0"/>
        <v>1838994</v>
      </c>
      <c r="E6" s="1664">
        <v>1851540</v>
      </c>
      <c r="F6" s="1725">
        <f t="shared" ref="F6:F18" si="1">E6-C6</f>
        <v>1851540</v>
      </c>
    </row>
    <row r="7" spans="1:8" ht="13.7" customHeight="1" x14ac:dyDescent="0.2">
      <c r="A7" s="579" t="s">
        <v>154</v>
      </c>
      <c r="B7" s="1724">
        <f>'Revenues 9-14'!F5</f>
        <v>206711</v>
      </c>
      <c r="C7" s="1664"/>
      <c r="D7" s="1725">
        <f t="shared" si="0"/>
        <v>206711</v>
      </c>
      <c r="E7" s="1664">
        <v>222701</v>
      </c>
      <c r="F7" s="1725">
        <f t="shared" si="1"/>
        <v>222701</v>
      </c>
    </row>
    <row r="8" spans="1:8" ht="13.7" customHeight="1" x14ac:dyDescent="0.2">
      <c r="A8" s="579" t="s">
        <v>1171</v>
      </c>
      <c r="B8" s="1724">
        <f>'Revenues 9-14'!G5</f>
        <v>69391</v>
      </c>
      <c r="C8" s="1664"/>
      <c r="D8" s="1725">
        <f t="shared" si="0"/>
        <v>69391</v>
      </c>
      <c r="E8" s="1664">
        <v>70120</v>
      </c>
      <c r="F8" s="1725">
        <f t="shared" si="1"/>
        <v>70120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90822</v>
      </c>
      <c r="C10" s="1664"/>
      <c r="D10" s="1725">
        <f t="shared" si="0"/>
        <v>90822</v>
      </c>
      <c r="E10" s="1664">
        <v>93493</v>
      </c>
      <c r="F10" s="1725">
        <f t="shared" si="1"/>
        <v>93493</v>
      </c>
    </row>
    <row r="11" spans="1:8" x14ac:dyDescent="0.2">
      <c r="A11" s="579" t="s">
        <v>406</v>
      </c>
      <c r="B11" s="1724">
        <f>'Revenues 9-14'!J5</f>
        <v>372741</v>
      </c>
      <c r="C11" s="1664"/>
      <c r="D11" s="1725">
        <f t="shared" si="0"/>
        <v>372741</v>
      </c>
      <c r="E11" s="1664">
        <v>390054</v>
      </c>
      <c r="F11" s="1725">
        <f t="shared" si="1"/>
        <v>390054</v>
      </c>
    </row>
    <row r="12" spans="1:8" ht="13.7" customHeight="1" x14ac:dyDescent="0.2">
      <c r="A12" s="579" t="s">
        <v>156</v>
      </c>
      <c r="B12" s="1724">
        <f>'Revenues 9-14'!K5</f>
        <v>90822</v>
      </c>
      <c r="C12" s="1664"/>
      <c r="D12" s="1725">
        <f t="shared" si="0"/>
        <v>90822</v>
      </c>
      <c r="E12" s="1664">
        <v>93493</v>
      </c>
      <c r="F12" s="1725">
        <f t="shared" si="1"/>
        <v>93493</v>
      </c>
    </row>
    <row r="13" spans="1:8" ht="13.7" customHeight="1" x14ac:dyDescent="0.2">
      <c r="A13" s="579" t="s">
        <v>930</v>
      </c>
      <c r="B13" s="1724">
        <f>SUM('Revenues 9-14'!C6:D6)</f>
        <v>75201</v>
      </c>
      <c r="C13" s="1664"/>
      <c r="D13" s="1725">
        <f t="shared" si="0"/>
        <v>75201</v>
      </c>
      <c r="E13" s="1664">
        <v>69559</v>
      </c>
      <c r="F13" s="1725">
        <f t="shared" si="1"/>
        <v>69559</v>
      </c>
    </row>
    <row r="14" spans="1:8" ht="13.7" customHeight="1" x14ac:dyDescent="0.2">
      <c r="A14" s="579" t="s">
        <v>407</v>
      </c>
      <c r="B14" s="1724">
        <f>SUM('Revenues 9-14'!C7:D7,'Revenues 9-14'!F7:H7)</f>
        <v>36327</v>
      </c>
      <c r="C14" s="1664"/>
      <c r="D14" s="1725">
        <f t="shared" si="0"/>
        <v>36327</v>
      </c>
      <c r="E14" s="1664">
        <v>37397</v>
      </c>
      <c r="F14" s="1725">
        <f t="shared" si="1"/>
        <v>37397</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74476</v>
      </c>
      <c r="C16" s="1664"/>
      <c r="D16" s="1725">
        <f t="shared" si="0"/>
        <v>74476</v>
      </c>
      <c r="E16" s="1664">
        <v>74046</v>
      </c>
      <c r="F16" s="1725">
        <f t="shared" si="1"/>
        <v>74046</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7033370</v>
      </c>
      <c r="C19" s="1726">
        <f>SUM(C4:C18)</f>
        <v>0</v>
      </c>
      <c r="D19" s="1726">
        <f>SUM(D4:D18)</f>
        <v>7033370</v>
      </c>
      <c r="E19" s="1726">
        <f>SUM(E4:E18)</f>
        <v>7203091</v>
      </c>
      <c r="F19" s="1726">
        <f>SUM(F4:F18)</f>
        <v>7203091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3"/>
      <c r="C1" s="585"/>
    </row>
    <row r="2" spans="1:7" ht="33.75" x14ac:dyDescent="0.2">
      <c r="A2" s="2321" t="s">
        <v>1782</v>
      </c>
      <c r="B2" s="232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1106</v>
      </c>
      <c r="B3" s="2326"/>
      <c r="C3" s="2314"/>
      <c r="D3" s="2315"/>
      <c r="E3" s="2315"/>
      <c r="F3" s="2316"/>
    </row>
    <row r="4" spans="1:7" ht="12.75" customHeight="1" thickBot="1" x14ac:dyDescent="0.25">
      <c r="A4" s="2323" t="s">
        <v>626</v>
      </c>
      <c r="B4" s="2324"/>
      <c r="C4" s="1656"/>
      <c r="D4" s="1656"/>
      <c r="E4" s="1656"/>
      <c r="F4" s="1732">
        <f>SUM(C4+D4)-E4</f>
        <v>0</v>
      </c>
    </row>
    <row r="5" spans="1:7" ht="15.75" customHeight="1" thickTop="1" x14ac:dyDescent="0.2">
      <c r="A5" s="2308" t="s">
        <v>1103</v>
      </c>
      <c r="B5" s="2309"/>
      <c r="C5" s="2317"/>
      <c r="D5" s="2318"/>
      <c r="E5" s="2318"/>
      <c r="F5" s="231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0" t="s">
        <v>627</v>
      </c>
      <c r="B15" s="2311"/>
      <c r="C15" s="1732">
        <f>SUM(C6:C14)</f>
        <v>0</v>
      </c>
      <c r="D15" s="1732">
        <f>SUM(D6:D14)</f>
        <v>0</v>
      </c>
      <c r="E15" s="1732">
        <f>SUM(E6:E14)</f>
        <v>0</v>
      </c>
      <c r="F15" s="1732">
        <f>SUM(F6:F14)</f>
        <v>0</v>
      </c>
      <c r="G15" s="473"/>
    </row>
    <row r="16" spans="1:7" s="197" customFormat="1" ht="15.75" customHeight="1" thickTop="1" x14ac:dyDescent="0.2">
      <c r="A16" s="2320" t="s">
        <v>1104</v>
      </c>
      <c r="B16" s="2309"/>
      <c r="C16" s="2317"/>
      <c r="D16" s="2318"/>
      <c r="E16" s="2318"/>
      <c r="F16" s="2319"/>
    </row>
    <row r="17" spans="1:11" ht="12.75" customHeight="1" thickBot="1" x14ac:dyDescent="0.25">
      <c r="A17" s="2333" t="s">
        <v>64</v>
      </c>
      <c r="B17" s="2334"/>
      <c r="C17" s="1733"/>
      <c r="D17" s="1664"/>
      <c r="E17" s="1733"/>
      <c r="F17" s="1732">
        <f>SUM(C17+D17)-E17</f>
        <v>0</v>
      </c>
    </row>
    <row r="18" spans="1:11" ht="12.75" customHeight="1" thickTop="1" thickBot="1" x14ac:dyDescent="0.25">
      <c r="A18" s="2333" t="s">
        <v>6</v>
      </c>
      <c r="B18" s="2334"/>
      <c r="C18" s="1733"/>
      <c r="D18" s="1664"/>
      <c r="E18" s="1733"/>
      <c r="F18" s="1732">
        <f>SUM(C18+D18)-E18</f>
        <v>0</v>
      </c>
    </row>
    <row r="19" spans="1:11" ht="12.75" customHeight="1" thickTop="1" thickBot="1" x14ac:dyDescent="0.25">
      <c r="A19" s="2333" t="s">
        <v>385</v>
      </c>
      <c r="B19" s="2334"/>
      <c r="C19" s="1733"/>
      <c r="D19" s="1664"/>
      <c r="E19" s="1733"/>
      <c r="F19" s="1732">
        <f>SUM(C19+D19)-E19</f>
        <v>0</v>
      </c>
    </row>
    <row r="20" spans="1:11" ht="12.75" customHeight="1" thickTop="1" thickBot="1" x14ac:dyDescent="0.25">
      <c r="A20" s="2333" t="s">
        <v>445</v>
      </c>
      <c r="B20" s="2334"/>
      <c r="C20" s="1733"/>
      <c r="D20" s="1664"/>
      <c r="E20" s="1733"/>
      <c r="F20" s="1732">
        <f>SUM(C20+D20)-E20</f>
        <v>0</v>
      </c>
    </row>
    <row r="21" spans="1:11" ht="14.25" thickTop="1" thickBot="1" x14ac:dyDescent="0.25">
      <c r="A21" s="2310" t="s">
        <v>628</v>
      </c>
      <c r="B21" s="2311"/>
      <c r="C21" s="1732">
        <f>SUM(C17:C20)</f>
        <v>0</v>
      </c>
      <c r="D21" s="1732">
        <f>SUM(D17:D20)</f>
        <v>0</v>
      </c>
      <c r="E21" s="1732">
        <f>SUM(E17:E20)</f>
        <v>0</v>
      </c>
      <c r="F21" s="1732">
        <f>SUM(F17:F20)</f>
        <v>0</v>
      </c>
      <c r="G21" s="473"/>
    </row>
    <row r="22" spans="1:11" ht="15.75" customHeight="1" thickTop="1" x14ac:dyDescent="0.2">
      <c r="A22" s="2335" t="s">
        <v>1105</v>
      </c>
      <c r="B22" s="2309"/>
      <c r="C22" s="2317"/>
      <c r="D22" s="2318"/>
      <c r="E22" s="2318"/>
      <c r="F22" s="2319"/>
    </row>
    <row r="23" spans="1:11" ht="13.5" thickBot="1" x14ac:dyDescent="0.25">
      <c r="A23" s="2323" t="s">
        <v>629</v>
      </c>
      <c r="B23" s="2324"/>
      <c r="C23" s="1656"/>
      <c r="D23" s="1656"/>
      <c r="E23" s="1656"/>
      <c r="F23" s="1732">
        <f>SUM(C23+D23)-E23</f>
        <v>0</v>
      </c>
      <c r="G23" s="473"/>
    </row>
    <row r="24" spans="1:11" ht="15.75" customHeight="1" thickTop="1" x14ac:dyDescent="0.2">
      <c r="A24" s="2335" t="s">
        <v>2009</v>
      </c>
      <c r="B24" s="2309"/>
      <c r="C24" s="2317"/>
      <c r="D24" s="2318"/>
      <c r="E24" s="2318"/>
      <c r="F24" s="2319"/>
    </row>
    <row r="25" spans="1:11" ht="13.5" thickBot="1" x14ac:dyDescent="0.25">
      <c r="A25" s="2323" t="s">
        <v>2010</v>
      </c>
      <c r="B25" s="2324"/>
      <c r="C25" s="1656"/>
      <c r="D25" s="1656"/>
      <c r="E25" s="1656"/>
      <c r="F25" s="1732">
        <f>SUM(C25+D25)-E25</f>
        <v>0</v>
      </c>
      <c r="G25" s="473"/>
    </row>
    <row r="26" spans="1:11" ht="15.75" customHeight="1" thickTop="1" x14ac:dyDescent="0.2">
      <c r="A26" s="2308" t="s">
        <v>652</v>
      </c>
      <c r="B26" s="2309"/>
      <c r="C26" s="589"/>
      <c r="D26" s="589"/>
      <c r="E26" s="589"/>
      <c r="F26" s="590"/>
    </row>
    <row r="27" spans="1:11" ht="13.5" thickBot="1" x14ac:dyDescent="0.25">
      <c r="A27" s="2310" t="s">
        <v>1063</v>
      </c>
      <c r="B27" s="2311"/>
      <c r="C27" s="1664"/>
      <c r="D27" s="1664"/>
      <c r="E27" s="1664"/>
      <c r="F27" s="1732">
        <f>SUM(C27+D27)-E27</f>
        <v>0</v>
      </c>
      <c r="G27" s="473"/>
    </row>
    <row r="28" spans="1:11" ht="7.5" customHeight="1" thickTop="1" x14ac:dyDescent="0.2">
      <c r="A28" s="489"/>
    </row>
    <row r="29" spans="1:11" ht="23.25" customHeight="1" x14ac:dyDescent="0.2">
      <c r="A29" s="2336" t="s">
        <v>578</v>
      </c>
      <c r="B29" s="2313"/>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2063</v>
      </c>
      <c r="B31" s="595">
        <v>42104</v>
      </c>
      <c r="C31" s="1734">
        <v>245000</v>
      </c>
      <c r="D31" s="1735">
        <v>4</v>
      </c>
      <c r="E31" s="1734">
        <v>245000</v>
      </c>
      <c r="F31" s="1734"/>
      <c r="G31" s="1734"/>
      <c r="H31" s="1734">
        <v>245000</v>
      </c>
      <c r="I31" s="1736">
        <f>((E31+F31)-H31)+G31</f>
        <v>0</v>
      </c>
      <c r="J31" s="1734"/>
      <c r="K31" s="596"/>
    </row>
    <row r="32" spans="1:11" ht="12" customHeight="1" x14ac:dyDescent="0.2">
      <c r="A32" s="594" t="s">
        <v>2064</v>
      </c>
      <c r="B32" s="595">
        <v>43525</v>
      </c>
      <c r="C32" s="1734">
        <v>1547000</v>
      </c>
      <c r="D32" s="1735">
        <v>1</v>
      </c>
      <c r="E32" s="1734">
        <v>1547000</v>
      </c>
      <c r="F32" s="1734"/>
      <c r="G32" s="1734"/>
      <c r="H32" s="1734">
        <v>1547000</v>
      </c>
      <c r="I32" s="1736">
        <f>((E32+F32)-H32)+G32</f>
        <v>0</v>
      </c>
      <c r="J32" s="1734"/>
      <c r="K32" s="596"/>
    </row>
    <row r="33" spans="1:11" ht="12" customHeight="1" x14ac:dyDescent="0.2">
      <c r="A33" s="594" t="s">
        <v>2065</v>
      </c>
      <c r="B33" s="595">
        <v>43617</v>
      </c>
      <c r="C33" s="1734">
        <v>8220000</v>
      </c>
      <c r="D33" s="1735">
        <v>4</v>
      </c>
      <c r="E33" s="1734"/>
      <c r="F33" s="1734">
        <v>8220000</v>
      </c>
      <c r="G33" s="1734"/>
      <c r="H33" s="1734"/>
      <c r="I33" s="1736">
        <f t="shared" ref="I33:I48" si="1">((E33+F33)-H33)+G33</f>
        <v>8220000</v>
      </c>
      <c r="J33" s="1734">
        <f>+I33-'Assets-Liab 5-6'!E39</f>
        <v>8103116</v>
      </c>
      <c r="K33" s="596"/>
    </row>
    <row r="34" spans="1:11" ht="12" customHeight="1" x14ac:dyDescent="0.2">
      <c r="A34" s="594" t="s">
        <v>2066</v>
      </c>
      <c r="B34" s="595">
        <v>43617</v>
      </c>
      <c r="C34" s="1734">
        <v>872992</v>
      </c>
      <c r="D34" s="1735">
        <v>1</v>
      </c>
      <c r="E34" s="1734"/>
      <c r="F34" s="1734">
        <v>872992</v>
      </c>
      <c r="G34" s="1734"/>
      <c r="H34" s="1734"/>
      <c r="I34" s="1736">
        <f t="shared" si="1"/>
        <v>872992</v>
      </c>
      <c r="J34" s="1734">
        <v>872992</v>
      </c>
      <c r="K34" s="597"/>
    </row>
    <row r="35" spans="1:11" ht="12" customHeight="1" x14ac:dyDescent="0.2">
      <c r="A35" s="594" t="s">
        <v>2067</v>
      </c>
      <c r="B35" s="595">
        <v>43678</v>
      </c>
      <c r="C35" s="1737">
        <v>68218</v>
      </c>
      <c r="D35" s="1735">
        <v>7</v>
      </c>
      <c r="E35" s="1737"/>
      <c r="F35" s="1737">
        <v>68218</v>
      </c>
      <c r="G35" s="1737"/>
      <c r="H35" s="1737">
        <v>24128</v>
      </c>
      <c r="I35" s="1736">
        <f t="shared" si="1"/>
        <v>44090</v>
      </c>
      <c r="J35" s="1737">
        <v>44090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10953210</v>
      </c>
      <c r="D49" s="1742"/>
      <c r="E49" s="1736">
        <f t="shared" ref="E49:J49" si="2">SUM(E31:E48)</f>
        <v>1792000</v>
      </c>
      <c r="F49" s="1736">
        <f t="shared" si="2"/>
        <v>9161210</v>
      </c>
      <c r="G49" s="1736">
        <f t="shared" si="2"/>
        <v>0</v>
      </c>
      <c r="H49" s="1736">
        <f t="shared" si="2"/>
        <v>1816128</v>
      </c>
      <c r="I49" s="1736">
        <f t="shared" si="2"/>
        <v>9137082</v>
      </c>
      <c r="J49" s="1736">
        <f t="shared" si="2"/>
        <v>9020198</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27" t="s">
        <v>580</v>
      </c>
      <c r="C52" s="2328"/>
      <c r="D52" s="2328"/>
      <c r="E52" s="603" t="s">
        <v>840</v>
      </c>
      <c r="F52" s="2329" t="s">
        <v>2067</v>
      </c>
      <c r="G52" s="2330"/>
      <c r="H52" s="596"/>
      <c r="I52" s="596"/>
      <c r="J52" s="600"/>
    </row>
    <row r="53" spans="1:11" ht="11.25" customHeight="1" x14ac:dyDescent="0.2">
      <c r="A53" s="604" t="s">
        <v>907</v>
      </c>
      <c r="B53" s="605" t="s">
        <v>945</v>
      </c>
      <c r="C53" s="600"/>
      <c r="D53" s="597"/>
      <c r="E53" s="603" t="s">
        <v>494</v>
      </c>
      <c r="F53" s="2331"/>
      <c r="G53" s="2332"/>
      <c r="H53" s="596"/>
      <c r="I53" s="596"/>
      <c r="J53" s="600"/>
    </row>
    <row r="54" spans="1:11" ht="11.25" customHeight="1" x14ac:dyDescent="0.2">
      <c r="A54" s="606" t="s">
        <v>908</v>
      </c>
      <c r="B54" s="601" t="s">
        <v>946</v>
      </c>
      <c r="C54" s="600"/>
      <c r="D54" s="597"/>
      <c r="E54" s="603" t="s">
        <v>495</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0" sqref="D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851</v>
      </c>
      <c r="B1" s="2364"/>
      <c r="C1" s="2364"/>
      <c r="D1" s="2364"/>
      <c r="E1" s="2364"/>
      <c r="F1" s="2364"/>
      <c r="G1" s="2365"/>
      <c r="H1" s="1298"/>
      <c r="I1" s="614"/>
      <c r="J1" s="400"/>
    </row>
    <row r="2" spans="1:11" ht="26.25" x14ac:dyDescent="0.2">
      <c r="A2" s="2340" t="s">
        <v>1661</v>
      </c>
      <c r="B2" s="2341"/>
      <c r="C2" s="2341"/>
      <c r="D2" s="2341"/>
      <c r="E2" s="2342"/>
      <c r="F2" s="615" t="s">
        <v>898</v>
      </c>
      <c r="G2" s="616" t="s">
        <v>1658</v>
      </c>
      <c r="H2" s="616" t="s">
        <v>407</v>
      </c>
      <c r="I2" s="616" t="s">
        <v>1150</v>
      </c>
      <c r="J2" s="616" t="s">
        <v>1792</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366</v>
      </c>
      <c r="B4" s="2347"/>
      <c r="C4" s="2347"/>
      <c r="D4" s="2347"/>
      <c r="E4" s="2328"/>
      <c r="F4" s="620"/>
      <c r="G4" s="1746"/>
      <c r="H4" s="1747"/>
      <c r="I4" s="1746"/>
      <c r="J4" s="1748"/>
      <c r="K4" s="1748"/>
    </row>
    <row r="5" spans="1:11" x14ac:dyDescent="0.2">
      <c r="A5" s="2366" t="s">
        <v>1062</v>
      </c>
      <c r="B5" s="2337"/>
      <c r="C5" s="2337"/>
      <c r="D5" s="2337"/>
      <c r="E5" s="2367"/>
      <c r="F5" s="622" t="s">
        <v>843</v>
      </c>
      <c r="G5" s="1749"/>
      <c r="H5" s="1744">
        <f>+'Revenues 9-14'!C7</f>
        <v>36327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66" t="s">
        <v>1793</v>
      </c>
      <c r="B10" s="2337"/>
      <c r="C10" s="2337"/>
      <c r="D10" s="2337"/>
      <c r="E10" s="2368"/>
      <c r="F10" s="633" t="s">
        <v>857</v>
      </c>
      <c r="G10" s="1753"/>
      <c r="H10" s="1754"/>
      <c r="I10" s="1744"/>
      <c r="J10" s="1745"/>
      <c r="K10" s="1745"/>
    </row>
    <row r="11" spans="1:11" x14ac:dyDescent="0.2">
      <c r="A11" s="2366" t="s">
        <v>159</v>
      </c>
      <c r="B11" s="2337"/>
      <c r="C11" s="2337"/>
      <c r="D11" s="2337"/>
      <c r="E11" s="2367"/>
      <c r="F11" s="622" t="s">
        <v>847</v>
      </c>
      <c r="G11" s="1749"/>
      <c r="H11" s="1744"/>
      <c r="I11" s="1744"/>
      <c r="J11" s="1745"/>
      <c r="K11" s="1751"/>
    </row>
    <row r="12" spans="1:11" ht="13.5" thickBot="1" x14ac:dyDescent="0.25">
      <c r="A12" s="2354" t="s">
        <v>899</v>
      </c>
      <c r="B12" s="2355"/>
      <c r="C12" s="2355"/>
      <c r="D12" s="2355"/>
      <c r="E12" s="2356"/>
      <c r="F12" s="1433"/>
      <c r="G12" s="1755">
        <f>SUM(G5:G11)</f>
        <v>0</v>
      </c>
      <c r="H12" s="1755">
        <f>SUM(H5:H11)</f>
        <v>36327</v>
      </c>
      <c r="I12" s="1755">
        <f>SUM(I5:I11)</f>
        <v>0</v>
      </c>
      <c r="J12" s="1755">
        <f>SUM(J5:J11)</f>
        <v>0</v>
      </c>
      <c r="K12" s="1755">
        <f>SUM(K5:K11)</f>
        <v>0</v>
      </c>
    </row>
    <row r="13" spans="1:11" ht="13.5" thickTop="1" x14ac:dyDescent="0.2">
      <c r="A13" s="2348" t="s">
        <v>367</v>
      </c>
      <c r="B13" s="2349"/>
      <c r="C13" s="2349"/>
      <c r="D13" s="2349"/>
      <c r="E13" s="2350"/>
      <c r="F13" s="634"/>
      <c r="G13" s="1756"/>
      <c r="H13" s="1757"/>
      <c r="I13" s="1758"/>
      <c r="J13" s="1758"/>
      <c r="K13" s="1758"/>
    </row>
    <row r="14" spans="1:11" x14ac:dyDescent="0.2">
      <c r="A14" s="2372" t="s">
        <v>453</v>
      </c>
      <c r="B14" s="2372"/>
      <c r="C14" s="2372"/>
      <c r="D14" s="2372"/>
      <c r="E14" s="2373"/>
      <c r="F14" s="635" t="s">
        <v>849</v>
      </c>
      <c r="G14" s="1753"/>
      <c r="H14" s="1744">
        <f>+H5</f>
        <v>36327</v>
      </c>
      <c r="I14" s="1749"/>
      <c r="J14" s="1751"/>
      <c r="K14" s="1745"/>
    </row>
    <row r="15" spans="1:11" x14ac:dyDescent="0.2">
      <c r="A15" s="2337" t="s">
        <v>4</v>
      </c>
      <c r="B15" s="2337"/>
      <c r="C15" s="2337"/>
      <c r="D15" s="2337"/>
      <c r="E15" s="2367"/>
      <c r="F15" s="635" t="s">
        <v>850</v>
      </c>
      <c r="G15" s="1749"/>
      <c r="H15" s="1744"/>
      <c r="I15" s="1744"/>
      <c r="J15" s="1745"/>
      <c r="K15" s="1745"/>
    </row>
    <row r="16" spans="1:11" x14ac:dyDescent="0.2">
      <c r="A16" s="2337" t="s">
        <v>295</v>
      </c>
      <c r="B16" s="2337"/>
      <c r="C16" s="2337"/>
      <c r="D16" s="2337"/>
      <c r="E16" s="2367"/>
      <c r="F16" s="635" t="s">
        <v>917</v>
      </c>
      <c r="G16" s="1750"/>
      <c r="H16" s="1746"/>
      <c r="I16" s="1746"/>
      <c r="J16" s="1748"/>
      <c r="K16" s="1748"/>
    </row>
    <row r="17" spans="1:15" x14ac:dyDescent="0.2">
      <c r="A17" s="2361" t="s">
        <v>929</v>
      </c>
      <c r="B17" s="2361"/>
      <c r="C17" s="2361"/>
      <c r="D17" s="2361"/>
      <c r="E17" s="2362"/>
      <c r="F17" s="636"/>
      <c r="G17" s="1759"/>
      <c r="H17" s="1760"/>
      <c r="I17" s="1760"/>
      <c r="J17" s="1761"/>
      <c r="K17" s="1762"/>
    </row>
    <row r="18" spans="1:15" x14ac:dyDescent="0.2">
      <c r="A18" s="2351" t="s">
        <v>365</v>
      </c>
      <c r="B18" s="2352"/>
      <c r="C18" s="2352"/>
      <c r="D18" s="2352"/>
      <c r="E18" s="2353"/>
      <c r="F18" s="635" t="s">
        <v>926</v>
      </c>
      <c r="G18" s="1753"/>
      <c r="H18" s="1753"/>
      <c r="I18" s="1753"/>
      <c r="J18" s="1745"/>
      <c r="K18" s="1763"/>
    </row>
    <row r="19" spans="1:15" ht="21.75" customHeight="1" x14ac:dyDescent="0.2">
      <c r="A19" s="2374" t="s">
        <v>1789</v>
      </c>
      <c r="B19" s="2374"/>
      <c r="C19" s="2374"/>
      <c r="D19" s="2374"/>
      <c r="E19" s="2375"/>
      <c r="F19" s="635" t="s">
        <v>927</v>
      </c>
      <c r="G19" s="1753"/>
      <c r="H19" s="1753"/>
      <c r="I19" s="1753"/>
      <c r="J19" s="1745"/>
      <c r="K19" s="1763"/>
    </row>
    <row r="20" spans="1:15" x14ac:dyDescent="0.2">
      <c r="A20" s="2351" t="s">
        <v>1794</v>
      </c>
      <c r="B20" s="2352"/>
      <c r="C20" s="2352"/>
      <c r="D20" s="2352"/>
      <c r="E20" s="2353"/>
      <c r="F20" s="635" t="s">
        <v>928</v>
      </c>
      <c r="G20" s="1753"/>
      <c r="H20" s="1753"/>
      <c r="I20" s="1753"/>
      <c r="J20" s="1745"/>
      <c r="K20" s="1763"/>
    </row>
    <row r="21" spans="1:15" ht="13.5" thickBot="1" x14ac:dyDescent="0.25">
      <c r="A21" s="2357" t="s">
        <v>633</v>
      </c>
      <c r="B21" s="2357"/>
      <c r="C21" s="2357"/>
      <c r="D21" s="2357"/>
      <c r="E21" s="2357"/>
      <c r="F21" s="1434"/>
      <c r="G21" s="1760"/>
      <c r="H21" s="1764"/>
      <c r="I21" s="1764"/>
      <c r="J21" s="1765">
        <f>SUM(J18:J20)</f>
        <v>0</v>
      </c>
      <c r="K21" s="1761"/>
    </row>
    <row r="22" spans="1:15" ht="13.5" thickTop="1" x14ac:dyDescent="0.2">
      <c r="A22" s="2337" t="s">
        <v>1795</v>
      </c>
      <c r="B22" s="2337"/>
      <c r="C22" s="2337"/>
      <c r="D22" s="2337"/>
      <c r="E22" s="2367"/>
      <c r="F22" s="635" t="s">
        <v>857</v>
      </c>
      <c r="G22" s="1753"/>
      <c r="H22" s="1744"/>
      <c r="I22" s="1744"/>
      <c r="J22" s="1766"/>
      <c r="K22" s="1745"/>
    </row>
    <row r="23" spans="1:15" ht="13.5" thickBot="1" x14ac:dyDescent="0.25">
      <c r="A23" s="2358" t="s">
        <v>900</v>
      </c>
      <c r="B23" s="2357"/>
      <c r="C23" s="2357"/>
      <c r="D23" s="2357"/>
      <c r="E23" s="2357"/>
      <c r="F23" s="1436"/>
      <c r="G23" s="1755">
        <f>SUM(G14:G16,G21,G22)</f>
        <v>0</v>
      </c>
      <c r="H23" s="1755">
        <f>SUM(H14:H16,H21,H22)</f>
        <v>36327</v>
      </c>
      <c r="I23" s="1755">
        <f>SUM(I14:I16,I21,I22)</f>
        <v>0</v>
      </c>
      <c r="J23" s="1755">
        <f>SUM(J14:J16,J21,J22)</f>
        <v>0</v>
      </c>
      <c r="K23" s="1755">
        <f>SUM(K14:K16,K21,K22)</f>
        <v>0</v>
      </c>
      <c r="M23" s="1846"/>
      <c r="N23" s="1846"/>
      <c r="O23" s="1846"/>
    </row>
    <row r="24" spans="1:15" ht="14.25" thickTop="1" thickBot="1" x14ac:dyDescent="0.25">
      <c r="A24" s="2359" t="str">
        <f>"Ending Cash Basis Fund Balance as of June 30, "&amp;'AFR20'!E2</f>
        <v>Ending Cash Basis Fund Balance as of June 30, 2020</v>
      </c>
      <c r="B24" s="2360"/>
      <c r="C24" s="2360"/>
      <c r="D24" s="2360"/>
      <c r="E24" s="236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69"/>
      <c r="I31" s="2370"/>
      <c r="J31" s="2370"/>
      <c r="K31" s="2370"/>
    </row>
    <row r="32" spans="1:15" x14ac:dyDescent="0.2">
      <c r="A32" s="649"/>
      <c r="B32" s="232"/>
      <c r="C32" s="232"/>
      <c r="D32" s="232"/>
      <c r="E32" s="645"/>
      <c r="F32" s="651" t="s">
        <v>537</v>
      </c>
      <c r="G32" s="618"/>
      <c r="H32" s="2371"/>
      <c r="I32" s="2370"/>
      <c r="J32" s="2370"/>
      <c r="K32" s="2370"/>
    </row>
    <row r="33" spans="1:11" ht="1.5" customHeight="1" x14ac:dyDescent="0.2">
      <c r="A33" s="652" t="s">
        <v>1161</v>
      </c>
      <c r="B33" s="341"/>
      <c r="C33" s="341"/>
      <c r="D33" s="341"/>
      <c r="E33" s="341"/>
      <c r="F33" s="341"/>
      <c r="G33" s="653"/>
      <c r="H33" s="2371"/>
      <c r="I33" s="2370"/>
      <c r="J33" s="2370"/>
      <c r="K33" s="237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7"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0" sqref="I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1878</v>
      </c>
      <c r="B1" s="2379"/>
      <c r="C1" s="2380"/>
      <c r="D1" s="666"/>
      <c r="E1" s="667"/>
      <c r="F1" s="667"/>
      <c r="G1" s="668"/>
      <c r="H1" s="669"/>
      <c r="I1" s="670"/>
      <c r="J1" s="2376"/>
      <c r="K1" s="2377"/>
      <c r="L1" s="2377"/>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393889</v>
      </c>
      <c r="D5" s="1770"/>
      <c r="E5" s="1770"/>
      <c r="F5" s="1765">
        <f>(C5+D5)-E5</f>
        <v>393889</v>
      </c>
      <c r="G5" s="676"/>
      <c r="H5" s="680"/>
      <c r="I5" s="680"/>
      <c r="J5" s="680"/>
      <c r="K5" s="637"/>
      <c r="L5" s="1442">
        <f>F5-K5</f>
        <v>393889</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27568827</v>
      </c>
      <c r="D8" s="1771"/>
      <c r="E8" s="1771"/>
      <c r="F8" s="1765">
        <f>(C8+D8)-E8</f>
        <v>27568827</v>
      </c>
      <c r="G8" s="681">
        <v>50</v>
      </c>
      <c r="H8" s="619">
        <v>10295863</v>
      </c>
      <c r="I8" s="619">
        <v>315768</v>
      </c>
      <c r="J8" s="619"/>
      <c r="K8" s="1442">
        <f>(H8+I8)-J8</f>
        <v>10611631</v>
      </c>
      <c r="L8" s="1442">
        <f>F8-K8</f>
        <v>16957196</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1702080</v>
      </c>
      <c r="D10" s="1772"/>
      <c r="E10" s="1772"/>
      <c r="F10" s="1773">
        <f>(C10+D10)-E10</f>
        <v>1702080</v>
      </c>
      <c r="G10" s="681">
        <v>20</v>
      </c>
      <c r="H10" s="683">
        <v>1146259</v>
      </c>
      <c r="I10" s="683">
        <v>20189</v>
      </c>
      <c r="J10" s="683"/>
      <c r="K10" s="1442">
        <f>(H10+I10)-J10</f>
        <v>1166448</v>
      </c>
      <c r="L10" s="1442">
        <f>F10-K10</f>
        <v>535632</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1021144</v>
      </c>
      <c r="D12" s="1771">
        <f>147578-104629</f>
        <v>42949</v>
      </c>
      <c r="E12" s="1771">
        <v>73536</v>
      </c>
      <c r="F12" s="1765">
        <f>(C12+D12)-E12</f>
        <v>990557</v>
      </c>
      <c r="G12" s="681">
        <v>10</v>
      </c>
      <c r="H12" s="619">
        <v>865903</v>
      </c>
      <c r="I12" s="619">
        <f>67569-25235</f>
        <v>42334</v>
      </c>
      <c r="J12" s="619">
        <v>73536</v>
      </c>
      <c r="K12" s="1442">
        <f>(H12+I12)-J12</f>
        <v>834701</v>
      </c>
      <c r="L12" s="1442">
        <f>F12-K12</f>
        <v>155856</v>
      </c>
    </row>
    <row r="13" spans="1:14" ht="14.25" thickTop="1" thickBot="1" x14ac:dyDescent="0.25">
      <c r="A13" s="684" t="s">
        <v>1114</v>
      </c>
      <c r="B13" s="679">
        <v>252</v>
      </c>
      <c r="C13" s="1771">
        <v>124089</v>
      </c>
      <c r="D13" s="1771">
        <v>104629</v>
      </c>
      <c r="E13" s="1771"/>
      <c r="F13" s="1765">
        <f>(C13+D13)-E13</f>
        <v>228718</v>
      </c>
      <c r="G13" s="681">
        <v>5</v>
      </c>
      <c r="H13" s="619">
        <v>119780</v>
      </c>
      <c r="I13" s="619">
        <v>25235</v>
      </c>
      <c r="J13" s="619"/>
      <c r="K13" s="1442">
        <f>(H13+I13)-J13</f>
        <v>145015</v>
      </c>
      <c r="L13" s="1442">
        <f>F13-K13</f>
        <v>83703</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2616609</v>
      </c>
      <c r="E15" s="1771"/>
      <c r="F15" s="1765">
        <f>(C15+D15)-E15</f>
        <v>2616609</v>
      </c>
      <c r="G15" s="685" t="s">
        <v>857</v>
      </c>
      <c r="H15" s="632"/>
      <c r="I15" s="632"/>
      <c r="J15" s="632"/>
      <c r="K15" s="632"/>
      <c r="L15" s="1442">
        <f>F15-K15</f>
        <v>2616609</v>
      </c>
    </row>
    <row r="16" spans="1:14" ht="15" customHeight="1" thickTop="1" thickBot="1" x14ac:dyDescent="0.25">
      <c r="A16" s="1438" t="s">
        <v>638</v>
      </c>
      <c r="B16" s="1439">
        <v>200</v>
      </c>
      <c r="C16" s="1765">
        <f>SUM(C3,C5:C6,C8:C10,C12:C15)</f>
        <v>30810029</v>
      </c>
      <c r="D16" s="1765">
        <f>SUM(D3,D5:D6,D8:D10,D12:D15)</f>
        <v>2764187</v>
      </c>
      <c r="E16" s="1765">
        <f>SUM(E3,E5:E6,E8:E10,E12:E15)</f>
        <v>73536</v>
      </c>
      <c r="F16" s="1765">
        <f>SUM(F3,F5:F6,F8:F10,F12:F15)</f>
        <v>33500680</v>
      </c>
      <c r="G16" s="681"/>
      <c r="H16" s="1435">
        <f>SUM(H3,H6,H8:H10,H12:H14,)</f>
        <v>12427805</v>
      </c>
      <c r="I16" s="1435">
        <f>SUM(I3,I6,I8:I10,I12:I14,)</f>
        <v>403526</v>
      </c>
      <c r="J16" s="1435">
        <f>SUM(J3,J6,J8:J10,J12:J14,)</f>
        <v>73536</v>
      </c>
      <c r="K16" s="1435">
        <f>(H16+I16)-J16</f>
        <v>12757795</v>
      </c>
      <c r="L16" s="1435">
        <f>F16-K16</f>
        <v>20742885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1144</v>
      </c>
      <c r="G17" s="676">
        <v>10</v>
      </c>
      <c r="H17" s="621"/>
      <c r="I17" s="1442">
        <f>F17/G17</f>
        <v>114.4</v>
      </c>
      <c r="J17" s="621"/>
      <c r="K17" s="638"/>
      <c r="L17" s="638"/>
    </row>
    <row r="18" spans="1:12" ht="14.25" thickTop="1" thickBot="1" x14ac:dyDescent="0.25">
      <c r="A18" s="1440" t="s">
        <v>680</v>
      </c>
      <c r="B18" s="1441"/>
      <c r="C18" s="623"/>
      <c r="D18" s="623"/>
      <c r="E18" s="623"/>
      <c r="F18" s="686"/>
      <c r="G18" s="687"/>
      <c r="H18" s="624"/>
      <c r="I18" s="1435">
        <f>SUM(I16,I17)</f>
        <v>403640.4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2"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474</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90"/>
      <c r="B5" s="2391"/>
      <c r="C5" s="2391"/>
      <c r="D5" s="2391"/>
      <c r="E5" s="2391"/>
      <c r="F5" s="2391"/>
    </row>
    <row r="6" spans="1:9" ht="13.5" customHeight="1" thickBot="1" x14ac:dyDescent="0.25">
      <c r="A6" s="2381" t="s">
        <v>1097</v>
      </c>
      <c r="B6" s="2382"/>
      <c r="C6" s="2382"/>
      <c r="D6" s="2382"/>
      <c r="E6" s="2382"/>
      <c r="F6" s="238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5800842</v>
      </c>
      <c r="G8" s="701"/>
    </row>
    <row r="9" spans="1:9" x14ac:dyDescent="0.2">
      <c r="A9" s="705" t="s">
        <v>457</v>
      </c>
      <c r="B9" s="706" t="s">
        <v>1851</v>
      </c>
      <c r="C9" s="707"/>
      <c r="D9" s="705" t="s">
        <v>498</v>
      </c>
      <c r="E9" s="704"/>
      <c r="F9" s="1775">
        <f>'Expenditures 15-22'!K151</f>
        <v>931198</v>
      </c>
      <c r="G9" s="708"/>
    </row>
    <row r="10" spans="1:9" x14ac:dyDescent="0.2">
      <c r="A10" s="705" t="s">
        <v>496</v>
      </c>
      <c r="B10" s="706" t="s">
        <v>1852</v>
      </c>
      <c r="C10" s="707"/>
      <c r="D10" s="705" t="s">
        <v>498</v>
      </c>
      <c r="E10" s="704"/>
      <c r="F10" s="1775">
        <f>'Expenditures 15-22'!K174</f>
        <v>2098760</v>
      </c>
      <c r="G10" s="708"/>
    </row>
    <row r="11" spans="1:9" x14ac:dyDescent="0.2">
      <c r="A11" s="705" t="s">
        <v>458</v>
      </c>
      <c r="B11" s="706" t="s">
        <v>1853</v>
      </c>
      <c r="C11" s="707"/>
      <c r="D11" s="705" t="s">
        <v>498</v>
      </c>
      <c r="E11" s="704"/>
      <c r="F11" s="1775">
        <f>'Expenditures 15-22'!K210</f>
        <v>329707</v>
      </c>
      <c r="G11" s="708"/>
    </row>
    <row r="12" spans="1:9" x14ac:dyDescent="0.2">
      <c r="A12" s="705" t="s">
        <v>459</v>
      </c>
      <c r="B12" s="706" t="s">
        <v>1854</v>
      </c>
      <c r="C12" s="707"/>
      <c r="D12" s="705" t="s">
        <v>498</v>
      </c>
      <c r="E12" s="704"/>
      <c r="F12" s="1775">
        <f>'Expenditures 15-22'!K295</f>
        <v>203304</v>
      </c>
      <c r="G12" s="708"/>
    </row>
    <row r="13" spans="1:9" x14ac:dyDescent="0.2">
      <c r="A13" s="705" t="s">
        <v>106</v>
      </c>
      <c r="B13" s="706" t="s">
        <v>1855</v>
      </c>
      <c r="C13" s="707"/>
      <c r="D13" s="705" t="s">
        <v>498</v>
      </c>
      <c r="E13" s="704"/>
      <c r="F13" s="1775">
        <f>'Expenditures 15-22'!K342</f>
        <v>319235</v>
      </c>
      <c r="G13" s="709"/>
    </row>
    <row r="14" spans="1:9" ht="12" customHeight="1" thickBot="1" x14ac:dyDescent="0.25">
      <c r="A14" s="1443"/>
      <c r="B14" s="1444"/>
      <c r="C14" s="1445"/>
      <c r="D14" s="1446" t="s">
        <v>498</v>
      </c>
      <c r="E14" s="1447" t="s">
        <v>952</v>
      </c>
      <c r="F14" s="1776">
        <f>SUM(F8:F13)</f>
        <v>9683046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75056</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7180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117827</v>
      </c>
      <c r="G52" s="701"/>
    </row>
    <row r="53" spans="1:7" x14ac:dyDescent="0.2">
      <c r="A53" s="705" t="s">
        <v>456</v>
      </c>
      <c r="B53" s="705" t="s">
        <v>1461</v>
      </c>
      <c r="C53" s="724">
        <f>'Expenditures 15-22'!B102</f>
        <v>4000</v>
      </c>
      <c r="D53" s="723" t="str">
        <f>'Expenditures 15-22'!A102</f>
        <v>Total Payments to Other Govt Units</v>
      </c>
      <c r="E53" s="704"/>
      <c r="F53" s="1782">
        <f>'Expenditures 15-22'!K102</f>
        <v>420976</v>
      </c>
      <c r="G53" s="701"/>
    </row>
    <row r="54" spans="1:7" x14ac:dyDescent="0.2">
      <c r="A54" s="705" t="s">
        <v>456</v>
      </c>
      <c r="B54" s="705" t="s">
        <v>1462</v>
      </c>
      <c r="C54" s="724" t="s">
        <v>975</v>
      </c>
      <c r="D54" s="720" t="s">
        <v>1088</v>
      </c>
      <c r="E54" s="704"/>
      <c r="F54" s="1782">
        <f>'Expenditures 15-22'!G114</f>
        <v>99369</v>
      </c>
      <c r="G54" s="701"/>
    </row>
    <row r="55" spans="1:7" x14ac:dyDescent="0.2">
      <c r="A55" s="705" t="s">
        <v>456</v>
      </c>
      <c r="B55" s="705" t="s">
        <v>1463</v>
      </c>
      <c r="C55" s="724" t="s">
        <v>975</v>
      </c>
      <c r="D55" s="720" t="s">
        <v>288</v>
      </c>
      <c r="E55" s="704"/>
      <c r="F55" s="1782">
        <f>'Expenditures 15-22'!I114</f>
        <v>1144</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48209</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1816128</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0</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10904</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217</v>
      </c>
      <c r="G71" s="701"/>
    </row>
    <row r="72" spans="1:9" x14ac:dyDescent="0.2">
      <c r="A72" s="705" t="s">
        <v>459</v>
      </c>
      <c r="B72" s="705" t="s">
        <v>1870</v>
      </c>
      <c r="C72" s="721">
        <f>'Expenditures 15-22'!B280</f>
        <v>3000</v>
      </c>
      <c r="D72" s="712" t="s">
        <v>446</v>
      </c>
      <c r="E72" s="704"/>
      <c r="F72" s="1782">
        <f>'Expenditures 15-22'!K280</f>
        <v>11057</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120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2608187</v>
      </c>
      <c r="G77" s="701"/>
    </row>
    <row r="78" spans="1:9" s="728" customFormat="1" ht="12" customHeight="1" thickTop="1" thickBot="1" x14ac:dyDescent="0.25">
      <c r="A78" s="1450"/>
      <c r="B78" s="1448"/>
      <c r="C78" s="1445"/>
      <c r="D78" s="1449" t="s">
        <v>2015</v>
      </c>
      <c r="E78" s="1447"/>
      <c r="F78" s="1788">
        <f>(F14-F77)</f>
        <v>7074859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699.8</v>
      </c>
      <c r="G79" s="733"/>
      <c r="H79" s="705"/>
      <c r="I79" s="705"/>
    </row>
    <row r="80" spans="1:9" s="728" customFormat="1" ht="12" customHeight="1" thickBot="1" x14ac:dyDescent="0.25">
      <c r="A80" s="1452"/>
      <c r="B80" s="1448"/>
      <c r="C80" s="1445"/>
      <c r="D80" s="1449" t="s">
        <v>2016</v>
      </c>
      <c r="E80" s="1447" t="s">
        <v>952</v>
      </c>
      <c r="F80" s="1790">
        <f>IF(F79&gt;0,F78/F79," Complete Line 79")</f>
        <v>10109.829951414691</v>
      </c>
      <c r="G80" s="705"/>
    </row>
    <row r="81" spans="1:7" s="728" customFormat="1" ht="8.25" customHeight="1" thickTop="1" x14ac:dyDescent="0.2">
      <c r="A81" s="734"/>
      <c r="B81" s="705"/>
      <c r="C81" s="707"/>
      <c r="D81" s="735"/>
      <c r="E81" s="704"/>
      <c r="F81" s="1791"/>
      <c r="G81" s="705"/>
    </row>
    <row r="82" spans="1:7" s="728" customFormat="1" ht="12" thickBot="1" x14ac:dyDescent="0.25">
      <c r="A82" s="2381" t="s">
        <v>1098</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105450</v>
      </c>
      <c r="G95" s="745"/>
    </row>
    <row r="96" spans="1:7" x14ac:dyDescent="0.2">
      <c r="A96" s="741" t="s">
        <v>139</v>
      </c>
      <c r="B96" s="741" t="s">
        <v>174</v>
      </c>
      <c r="C96" s="743">
        <v>1700</v>
      </c>
      <c r="D96" s="751" t="str">
        <f>'Revenues 9-14'!A82</f>
        <v>Total District/School Activity Income</v>
      </c>
      <c r="E96" s="739"/>
      <c r="F96" s="1793">
        <f>SUM('Revenues 9-14'!C82,'Revenues 9-14'!D82)</f>
        <v>125519</v>
      </c>
      <c r="G96" s="745"/>
    </row>
    <row r="97" spans="1:7" x14ac:dyDescent="0.2">
      <c r="A97" s="741" t="s">
        <v>456</v>
      </c>
      <c r="B97" s="741" t="s">
        <v>175</v>
      </c>
      <c r="C97" s="743">
        <f>'Revenues 9-14'!B84</f>
        <v>1811</v>
      </c>
      <c r="D97" s="744" t="str">
        <f>'Revenues 9-14'!A84</f>
        <v>Rentals - Regular Textbooks</v>
      </c>
      <c r="E97" s="739"/>
      <c r="F97" s="1793">
        <f>'Revenues 9-14'!C84</f>
        <v>85683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10747</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1262</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85432</v>
      </c>
      <c r="G105" s="745"/>
    </row>
    <row r="106" spans="1:7" x14ac:dyDescent="0.2">
      <c r="A106" s="741" t="s">
        <v>500</v>
      </c>
      <c r="B106" s="741" t="s">
        <v>1913</v>
      </c>
      <c r="C106" s="746">
        <v>3100</v>
      </c>
      <c r="D106" s="752" t="str">
        <f>'Revenues 9-14'!A132</f>
        <v>Total Special Education</v>
      </c>
      <c r="E106" s="739"/>
      <c r="F106" s="1793">
        <f>SUM('Revenues 9-14'!C132:D132,'Revenues 9-14'!F132)</f>
        <v>68818</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625</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0</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162946</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70916</v>
      </c>
      <c r="G126" s="763"/>
    </row>
    <row r="127" spans="1:7" x14ac:dyDescent="0.2">
      <c r="A127" s="760" t="s">
        <v>663</v>
      </c>
      <c r="B127" s="760" t="s">
        <v>1934</v>
      </c>
      <c r="C127" s="765">
        <v>4300</v>
      </c>
      <c r="D127" s="766" t="str">
        <f>'Revenues 9-14'!A204</f>
        <v>Total Title I</v>
      </c>
      <c r="E127" s="739"/>
      <c r="F127" s="1793">
        <f>SUM('Revenues 9-14'!C204,'Revenues 9-14'!D204,'Revenues 9-14'!F204,'Revenues 9-14'!G204)</f>
        <v>83707</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116524</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24730</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18708</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v>214225</v>
      </c>
      <c r="G172" s="760"/>
    </row>
    <row r="173" spans="1:7" x14ac:dyDescent="0.2">
      <c r="A173" s="1529" t="s">
        <v>659</v>
      </c>
      <c r="B173" s="1530" t="s">
        <v>1888</v>
      </c>
      <c r="C173" s="1531">
        <v>3300</v>
      </c>
      <c r="D173" s="1532" t="s">
        <v>1891</v>
      </c>
      <c r="E173" s="739"/>
      <c r="F173" s="1794">
        <v>141</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1185433</v>
      </c>
    </row>
    <row r="176" spans="1:7" ht="12" customHeight="1" x14ac:dyDescent="0.2">
      <c r="A176" s="1443"/>
      <c r="B176" s="1453"/>
      <c r="C176" s="1454"/>
      <c r="D176" s="1455" t="s">
        <v>2017</v>
      </c>
      <c r="E176" s="1456"/>
      <c r="F176" s="1793">
        <f>'PCTC-OEPP 27-28'!F78-F175</f>
        <v>5889426</v>
      </c>
    </row>
    <row r="177" spans="1:9" ht="12" customHeight="1" x14ac:dyDescent="0.2">
      <c r="A177" s="1443"/>
      <c r="B177" s="1453"/>
      <c r="C177" s="1454"/>
      <c r="D177" s="1455" t="s">
        <v>1797</v>
      </c>
      <c r="E177" s="1456"/>
      <c r="F177" s="1793">
        <f>'Cap Outlay Deprec 26'!I18</f>
        <v>403640.4</v>
      </c>
    </row>
    <row r="178" spans="1:9" ht="12" customHeight="1" x14ac:dyDescent="0.2">
      <c r="A178" s="1443"/>
      <c r="B178" s="1453"/>
      <c r="C178" s="1454"/>
      <c r="D178" s="1455" t="s">
        <v>2018</v>
      </c>
      <c r="E178" s="1456"/>
      <c r="F178" s="1793">
        <f>F176+F177</f>
        <v>6293066.4000000004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699.8</v>
      </c>
      <c r="G179" s="763"/>
      <c r="I179" s="701"/>
    </row>
    <row r="180" spans="1:9" ht="12" customHeight="1" thickBot="1" x14ac:dyDescent="0.25">
      <c r="A180" s="1443"/>
      <c r="B180" s="1457"/>
      <c r="C180" s="1454"/>
      <c r="D180" s="1455" t="s">
        <v>2020</v>
      </c>
      <c r="E180" s="1456" t="s">
        <v>1531</v>
      </c>
      <c r="F180" s="1798">
        <f>F178/F179</f>
        <v>8992.6641897685058</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1"/>
  <sheetViews>
    <sheetView showGridLines="0" zoomScaleNormal="100" workbookViewId="0">
      <selection activeCell="B18" sqref="B18"/>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1810</v>
      </c>
      <c r="B1" s="1860"/>
      <c r="C1" s="1861"/>
      <c r="D1" s="1861"/>
      <c r="E1" s="1861"/>
      <c r="F1" s="1861"/>
    </row>
    <row r="2" spans="1:6" x14ac:dyDescent="0.25">
      <c r="A2" s="1863"/>
      <c r="B2" s="1864"/>
      <c r="C2" s="1912" t="s">
        <v>2006</v>
      </c>
      <c r="D2" s="1863"/>
      <c r="E2" s="1863"/>
      <c r="F2" s="1863"/>
    </row>
    <row r="3" spans="1:6" ht="5.25" customHeight="1" x14ac:dyDescent="0.25">
      <c r="A3" s="1865"/>
      <c r="B3" s="1866"/>
      <c r="C3" s="1865"/>
      <c r="D3" s="1865"/>
      <c r="E3" s="1865"/>
      <c r="F3" s="1865"/>
    </row>
    <row r="4" spans="1:6" ht="18.75" customHeight="1" x14ac:dyDescent="0.25">
      <c r="A4" s="2395" t="s">
        <v>1798</v>
      </c>
      <c r="B4" s="2396"/>
      <c r="C4" s="2396"/>
      <c r="D4" s="2396"/>
      <c r="E4" s="2396"/>
      <c r="F4" s="2397"/>
    </row>
    <row r="5" spans="1:6" x14ac:dyDescent="0.25">
      <c r="A5" s="2398"/>
      <c r="B5" s="2399"/>
      <c r="C5" s="2399"/>
      <c r="D5" s="2399"/>
      <c r="E5" s="2399"/>
      <c r="F5" s="2400"/>
    </row>
    <row r="6" spans="1:6" ht="18.75" x14ac:dyDescent="0.25">
      <c r="A6" s="1867" t="s">
        <v>1799</v>
      </c>
      <c r="B6" s="1868"/>
      <c r="C6" s="1869"/>
      <c r="D6" s="1869"/>
      <c r="E6" s="1869"/>
      <c r="F6" s="1870"/>
    </row>
    <row r="7" spans="1:6" ht="47.25" customHeight="1" x14ac:dyDescent="0.25">
      <c r="A7" s="2401" t="s">
        <v>1988</v>
      </c>
      <c r="B7" s="2402"/>
      <c r="C7" s="2402"/>
      <c r="D7" s="2402"/>
      <c r="E7" s="2402"/>
      <c r="F7" s="2403"/>
    </row>
    <row r="8" spans="1:6" ht="20.25" customHeight="1" x14ac:dyDescent="0.25">
      <c r="A8" s="1901" t="s">
        <v>1990</v>
      </c>
      <c r="B8" s="1902"/>
      <c r="C8" s="1902"/>
      <c r="D8" s="1902"/>
      <c r="E8" s="1871"/>
      <c r="F8" s="1872"/>
    </row>
    <row r="9" spans="1:6" ht="18" customHeight="1" x14ac:dyDescent="0.25">
      <c r="A9" s="1873" t="s">
        <v>1987</v>
      </c>
      <c r="B9" s="1875"/>
      <c r="C9" s="1875"/>
      <c r="D9" s="1875"/>
      <c r="E9" s="1871"/>
      <c r="F9" s="1872"/>
    </row>
    <row r="10" spans="1:6" ht="15.75" customHeight="1" x14ac:dyDescent="0.25">
      <c r="A10" s="2404" t="s">
        <v>1984</v>
      </c>
      <c r="B10" s="2405"/>
      <c r="C10" s="2405"/>
      <c r="D10" s="2405"/>
      <c r="E10" s="2405"/>
      <c r="F10" s="2406"/>
    </row>
    <row r="11" spans="1:6" ht="33" customHeight="1" x14ac:dyDescent="0.25">
      <c r="A11" s="2401" t="s">
        <v>1989</v>
      </c>
      <c r="B11" s="2402"/>
      <c r="C11" s="2402"/>
      <c r="D11" s="2402"/>
      <c r="E11" s="2402"/>
      <c r="F11" s="2403"/>
    </row>
    <row r="12" spans="1:6" ht="15" customHeight="1" x14ac:dyDescent="0.25">
      <c r="A12" s="1873" t="s">
        <v>1985</v>
      </c>
      <c r="B12" s="1874"/>
      <c r="C12" s="1875"/>
      <c r="D12" s="1875"/>
      <c r="E12" s="1875"/>
      <c r="F12" s="1876"/>
    </row>
    <row r="13" spans="1:6" ht="17.25" customHeight="1" x14ac:dyDescent="0.25">
      <c r="A13" s="2401" t="s">
        <v>1986</v>
      </c>
      <c r="B13" s="2402"/>
      <c r="C13" s="2402"/>
      <c r="D13" s="2402"/>
      <c r="E13" s="2402"/>
      <c r="F13" s="2403"/>
    </row>
    <row r="14" spans="1:6" ht="15" customHeight="1" x14ac:dyDescent="0.25">
      <c r="A14" s="1873" t="s">
        <v>1803</v>
      </c>
      <c r="B14" s="1874"/>
      <c r="C14" s="1875"/>
      <c r="D14" s="1875"/>
      <c r="E14" s="1875"/>
      <c r="F14" s="1876"/>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6" t="s">
        <v>1802</v>
      </c>
      <c r="C17" s="1881" t="s">
        <v>1800</v>
      </c>
      <c r="D17" s="1882">
        <v>500000</v>
      </c>
      <c r="E17" s="1882" t="str">
        <f>IF(D17&lt;25000,D17,"25,000")</f>
        <v>25,000</v>
      </c>
      <c r="F17" s="1883">
        <f>IF(D17&gt;=25000,(D17-E17),"0")</f>
        <v>475000</v>
      </c>
    </row>
    <row r="18" spans="1:7" x14ac:dyDescent="0.25">
      <c r="A18" s="2034" t="s">
        <v>2068</v>
      </c>
      <c r="B18" s="1907">
        <v>102560300</v>
      </c>
      <c r="C18" s="2035" t="s">
        <v>2069</v>
      </c>
      <c r="D18" s="1885">
        <f>138434+1931</f>
        <v>140365</v>
      </c>
      <c r="E18" s="1905" t="str">
        <f t="shared" ref="E18:E23" si="0">IF(D18&lt;25000,D18,"25,000")</f>
        <v>25,000</v>
      </c>
      <c r="F18" s="1905">
        <f t="shared" ref="F18:F23" si="1">IF(D18&gt;=25000,(D18-E18),"0")</f>
        <v>115365</v>
      </c>
      <c r="G18" s="1886"/>
    </row>
    <row r="19" spans="1:7" x14ac:dyDescent="0.25">
      <c r="A19" s="2034" t="s">
        <v>2070</v>
      </c>
      <c r="B19" s="1907">
        <v>402550300</v>
      </c>
      <c r="C19" s="2035" t="s">
        <v>2071</v>
      </c>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8"/>
      <c r="C24" s="1888"/>
      <c r="D24" s="1885"/>
      <c r="E24" s="1905">
        <f t="shared" ref="E24:E30" si="2">IF(D24&lt;25000,D24,"25,000")</f>
        <v>0</v>
      </c>
      <c r="F24" s="1905" t="str">
        <f t="shared" ref="F24:F30" si="3">IF(D24&gt;=25000,(D24-E24),"0")</f>
        <v>0</v>
      </c>
    </row>
    <row r="25" spans="1:7" x14ac:dyDescent="0.25">
      <c r="A25" s="1887"/>
      <c r="B25" s="1908"/>
      <c r="C25" s="1888"/>
      <c r="D25" s="1885"/>
      <c r="E25" s="1905">
        <f t="shared" si="2"/>
        <v>0</v>
      </c>
      <c r="F25" s="1905" t="str">
        <f t="shared" si="3"/>
        <v>0</v>
      </c>
    </row>
    <row r="26" spans="1:7" x14ac:dyDescent="0.25">
      <c r="A26" s="1887"/>
      <c r="B26" s="1908"/>
      <c r="C26" s="1888"/>
      <c r="D26" s="1885"/>
      <c r="E26" s="1905">
        <f t="shared" si="2"/>
        <v>0</v>
      </c>
      <c r="F26" s="1905" t="str">
        <f t="shared" si="3"/>
        <v>0</v>
      </c>
    </row>
    <row r="27" spans="1:7" x14ac:dyDescent="0.25">
      <c r="A27" s="1887"/>
      <c r="B27" s="1908"/>
      <c r="C27" s="1888"/>
      <c r="D27" s="1885"/>
      <c r="E27" s="1905">
        <f t="shared" si="2"/>
        <v>0</v>
      </c>
      <c r="F27" s="1905" t="str">
        <f t="shared" si="3"/>
        <v>0</v>
      </c>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9"/>
      <c r="C30" s="1888"/>
      <c r="D30" s="1885"/>
      <c r="E30" s="1905">
        <f t="shared" si="2"/>
        <v>0</v>
      </c>
      <c r="F30" s="1905" t="str">
        <f t="shared" si="3"/>
        <v>0</v>
      </c>
    </row>
    <row r="31" spans="1:7" x14ac:dyDescent="0.25">
      <c r="A31" s="1889" t="s">
        <v>155</v>
      </c>
      <c r="B31" s="1910"/>
      <c r="C31" s="1890"/>
      <c r="D31" s="1891">
        <f>SUM(D18:D30)</f>
        <v>140365</v>
      </c>
      <c r="E31" s="1892">
        <f>SUM(E18:E30)</f>
        <v>0</v>
      </c>
      <c r="F31" s="1893">
        <f>SUM(F18:F30)</f>
        <v>115365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7" t="s">
        <v>1663</v>
      </c>
      <c r="B5" s="2408"/>
      <c r="C5" s="2408"/>
      <c r="D5" s="2408"/>
      <c r="E5" s="2408"/>
      <c r="F5" s="2408"/>
      <c r="G5" s="240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f>+'Expenditures 15-22'!E63+'Expenditures 15-22'!F63</f>
        <v>140365</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801">
        <v>12811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4026310</v>
      </c>
      <c r="F19" s="1802"/>
      <c r="G19" s="1804">
        <f>'Expenditures 15-22'!K33-SUM('Expenditures 15-22'!G33,'Expenditures 15-22'!I33)+'Expenditures 15-22'!D229</f>
        <v>4026310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288745</v>
      </c>
      <c r="F21" s="1805"/>
      <c r="G21" s="1808">
        <f>'Expenditures 15-22'!K42-SUM('Expenditures 15-22'!G42,'Expenditures 15-22'!I42)+'Expenditures 15-22'!K120-SUM('Expenditures 15-22'!G120,'Expenditures 15-22'!I120)+'Expenditures 15-22'!K180-SUM('Expenditures 15-22'!G180,'Expenditures 15-22'!I180)+'Expenditures 15-22'!D238</f>
        <v>288745</v>
      </c>
      <c r="H21" s="817"/>
      <c r="I21" s="157"/>
    </row>
    <row r="22" spans="1:9" s="542" customFormat="1" ht="12" customHeight="1" x14ac:dyDescent="0.2">
      <c r="A22" s="824" t="s">
        <v>560</v>
      </c>
      <c r="B22" s="825"/>
      <c r="C22" s="823">
        <v>2200</v>
      </c>
      <c r="D22" s="1805"/>
      <c r="E22" s="1807">
        <f>'Expenditures 15-22'!K47-SUM('Expenditures 15-22'!G47,'Expenditures 15-22'!I47)+'Expenditures 15-22'!D243</f>
        <v>57437</v>
      </c>
      <c r="F22" s="1805"/>
      <c r="G22" s="1808">
        <f>'Expenditures 15-22'!K47-SUM('Expenditures 15-22'!G47,'Expenditures 15-22'!I47)+'Expenditures 15-22'!D243</f>
        <v>57437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597459</v>
      </c>
      <c r="F23" s="1805"/>
      <c r="G23" s="1807">
        <f>'Expenditures 15-22'!K53-SUM('Expenditures 15-22'!G53,'Expenditures 15-22'!I53)+'Expenditures 15-22'!D257+'Expenditures 15-22'!K330-SUM('Expenditures 15-22'!G330,'Expenditures 15-22'!I330)</f>
        <v>597459</v>
      </c>
      <c r="H23" s="817"/>
      <c r="I23" s="157"/>
    </row>
    <row r="24" spans="1:9" s="542" customFormat="1" ht="12" customHeight="1" x14ac:dyDescent="0.2">
      <c r="A24" s="824" t="s">
        <v>562</v>
      </c>
      <c r="B24" s="825"/>
      <c r="C24" s="823">
        <v>2400</v>
      </c>
      <c r="D24" s="1805"/>
      <c r="E24" s="1807">
        <f>'Expenditures 15-22'!K57-SUM('Expenditures 15-22'!G57,'Expenditures 15-22'!I57)+'Expenditures 15-22'!D261</f>
        <v>470097</v>
      </c>
      <c r="F24" s="1805"/>
      <c r="G24" s="1808">
        <f>'Expenditures 15-22'!K57-SUM('Expenditures 15-22'!G57,'Expenditures 15-22'!I57)+'Expenditures 15-22'!D261</f>
        <v>470097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44513</v>
      </c>
      <c r="E27" s="1807">
        <f>E8</f>
        <v>0</v>
      </c>
      <c r="F27" s="1807">
        <f>'Expenditures 15-22'!K60-SUM('Expenditures 15-22'!G60,'Expenditures 15-22'!I60)+'Expenditures 15-22'!D264-E8</f>
        <v>44513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930951</v>
      </c>
      <c r="F28" s="1809">
        <f>'Expenditures 15-22'!K61-SUM('Expenditures 15-22'!G61,'Expenditures 15-22'!I61)+'Expenditures 15-22'!K124-SUM('Expenditures 15-22'!G124,'Expenditures 15-22'!I124)+'Expenditures 15-22'!D266-E9</f>
        <v>930951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329707</v>
      </c>
      <c r="F29" s="1805"/>
      <c r="G29" s="1808">
        <f>'Expenditures 15-22'!K62-SUM('Expenditures 15-22'!G62,'Expenditures 15-22'!I62)+'Expenditures 15-22'!K125-SUM('Expenditures 15-22'!G125,'Expenditures 15-22'!I125)+'Expenditures 15-22'!K182-SUM('Expenditures 15-22'!G182,'Expenditures 15-22'!I182)+'Expenditures 15-22'!D267</f>
        <v>329707</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128884</v>
      </c>
      <c r="F39" s="1805"/>
      <c r="G39" s="1807">
        <f>'Expenditures 15-22'!K75-SUM('Expenditures 15-22'!G75,'Expenditures 15-22'!I75)+'Expenditures 15-22'!K130-SUM('Expenditures 15-22'!G130,'Expenditures 15-22'!I130)+'Expenditures 15-22'!K185-SUM('Expenditures 15-22'!G185,'Expenditures 15-22'!I185)+'Expenditures 15-22'!D280</f>
        <v>128884</v>
      </c>
    </row>
    <row r="40" spans="1:7" ht="12" customHeight="1" x14ac:dyDescent="0.2">
      <c r="A40" s="820" t="s">
        <v>1801</v>
      </c>
      <c r="B40" s="821"/>
      <c r="C40" s="823"/>
      <c r="D40" s="1805"/>
      <c r="E40" s="1809">
        <f>-'Contracts Paid in CY 29'!F31</f>
        <v>-115365</v>
      </c>
      <c r="F40" s="1805"/>
      <c r="G40" s="1809">
        <f>-'Contracts Paid in CY 29'!F31</f>
        <v>-115365</v>
      </c>
    </row>
    <row r="41" spans="1:7" ht="12" customHeight="1" x14ac:dyDescent="0.2">
      <c r="A41" s="828" t="s">
        <v>155</v>
      </c>
      <c r="B41" s="829"/>
      <c r="C41" s="830"/>
      <c r="D41" s="1809">
        <f>SUM(D19:D39)</f>
        <v>44513</v>
      </c>
      <c r="E41" s="1809">
        <f>SUM(E19:E40)</f>
        <v>6714225</v>
      </c>
      <c r="F41" s="1809">
        <f>SUM(F19:F39)</f>
        <v>975464</v>
      </c>
      <c r="G41" s="1809">
        <f>SUM(G19:G40)</f>
        <v>5783274</v>
      </c>
    </row>
    <row r="42" spans="1:7" x14ac:dyDescent="0.2">
      <c r="A42" s="817"/>
      <c r="B42" s="157"/>
      <c r="C42" s="831"/>
      <c r="D42" s="2410" t="s">
        <v>519</v>
      </c>
      <c r="E42" s="2411"/>
      <c r="F42" s="832" t="s">
        <v>520</v>
      </c>
      <c r="G42" s="833"/>
    </row>
    <row r="43" spans="1:7" ht="12" customHeight="1" x14ac:dyDescent="0.2">
      <c r="A43" s="817"/>
      <c r="B43" s="157"/>
      <c r="C43" s="831"/>
      <c r="D43" s="1458" t="s">
        <v>470</v>
      </c>
      <c r="E43" s="1810">
        <f>D41</f>
        <v>44513</v>
      </c>
      <c r="F43" s="1458" t="s">
        <v>470</v>
      </c>
      <c r="G43" s="1810">
        <f>F41</f>
        <v>975464</v>
      </c>
    </row>
    <row r="44" spans="1:7" ht="12" customHeight="1" x14ac:dyDescent="0.2">
      <c r="A44" s="817"/>
      <c r="B44" s="157"/>
      <c r="C44" s="831"/>
      <c r="D44" s="1458" t="s">
        <v>471</v>
      </c>
      <c r="E44" s="1810">
        <f>E41</f>
        <v>6714225</v>
      </c>
      <c r="F44" s="1458" t="s">
        <v>471</v>
      </c>
      <c r="G44" s="1810">
        <f>G41</f>
        <v>5783274</v>
      </c>
    </row>
    <row r="45" spans="1:7" ht="12" customHeight="1" x14ac:dyDescent="0.2">
      <c r="A45" s="817"/>
      <c r="B45" s="157"/>
      <c r="C45" s="157"/>
      <c r="D45" s="1459" t="s">
        <v>999</v>
      </c>
      <c r="E45" s="1811">
        <f>(E43/E44)</f>
        <v>6.6296556936951022E-3</v>
      </c>
      <c r="F45" s="1459" t="s">
        <v>999</v>
      </c>
      <c r="G45" s="1811">
        <f>(G43/G44)</f>
        <v>0.16866985724695044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30" sqref="F3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8" t="s">
        <v>1365</v>
      </c>
      <c r="B1" s="2418"/>
      <c r="C1" s="2418"/>
      <c r="D1" s="2418"/>
      <c r="E1" s="2418"/>
      <c r="F1" s="2418"/>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9" t="s">
        <v>1532</v>
      </c>
      <c r="B5" s="2420"/>
      <c r="C5" s="2421"/>
      <c r="D5" s="2421"/>
      <c r="E5" s="2421"/>
      <c r="F5" s="2421"/>
      <c r="G5" s="1507"/>
      <c r="L5" s="1507"/>
      <c r="M5" s="1855"/>
      <c r="N5" s="1855"/>
      <c r="O5" s="1855"/>
    </row>
    <row r="6" spans="1:15" ht="12" customHeight="1" x14ac:dyDescent="0.25">
      <c r="A6" s="1480"/>
      <c r="B6" s="1481"/>
      <c r="C6" s="2422" t="str">
        <f>COVER!A17</f>
        <v xml:space="preserve"> Wolf Branch SD 113</v>
      </c>
      <c r="D6" s="2422"/>
      <c r="E6" s="2422"/>
      <c r="F6" s="1482"/>
      <c r="G6" s="1507"/>
      <c r="L6" s="1507"/>
      <c r="M6" s="1855"/>
      <c r="N6" s="1855"/>
      <c r="O6" s="1855"/>
    </row>
    <row r="7" spans="1:15" ht="11.25" customHeight="1" thickBot="1" x14ac:dyDescent="0.3">
      <c r="A7" s="1480"/>
      <c r="B7" s="1481"/>
      <c r="C7" s="2423">
        <f>COVER!A13</f>
        <v>50082113002</v>
      </c>
      <c r="D7" s="2423"/>
      <c r="E7" s="2423"/>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1519</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1520</v>
      </c>
      <c r="B26" s="1494"/>
      <c r="C26" s="1495" t="s">
        <v>2051</v>
      </c>
      <c r="D26" s="1495" t="s">
        <v>2051</v>
      </c>
      <c r="E26" s="1498"/>
      <c r="F26" s="1497" t="s">
        <v>2072</v>
      </c>
      <c r="G26" s="1507"/>
      <c r="H26" s="1507">
        <f t="shared" si="0"/>
        <v>5</v>
      </c>
      <c r="I26" s="1507">
        <f t="shared" si="1"/>
        <v>5</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t="s">
        <v>2051</v>
      </c>
      <c r="D30" s="1495" t="s">
        <v>2051</v>
      </c>
      <c r="E30" s="1498"/>
      <c r="F30" s="1497" t="s">
        <v>2073</v>
      </c>
      <c r="G30" s="1507"/>
      <c r="H30" s="1507">
        <f t="shared" si="0"/>
        <v>5</v>
      </c>
      <c r="I30" s="1507">
        <f t="shared" si="1"/>
        <v>5</v>
      </c>
      <c r="J30" s="1507">
        <f t="shared" si="2"/>
        <v>0</v>
      </c>
      <c r="L30" s="1507"/>
      <c r="M30" s="1855"/>
      <c r="N30" s="1855"/>
      <c r="O30" s="1855"/>
    </row>
    <row r="31" spans="1:15" ht="12" customHeight="1" x14ac:dyDescent="0.2">
      <c r="A31" s="1493" t="s">
        <v>1525</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1378</v>
      </c>
      <c r="B35" s="1501"/>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502"/>
      <c r="B39" s="1502"/>
      <c r="C39" s="1502"/>
      <c r="D39" s="1502"/>
      <c r="E39" s="1502"/>
      <c r="F39" s="1502"/>
    </row>
    <row r="40" spans="1:15" s="1499" customFormat="1" ht="12" customHeight="1" x14ac:dyDescent="0.25">
      <c r="A40" s="1503" t="s">
        <v>1377</v>
      </c>
      <c r="B40" s="1504"/>
      <c r="C40" s="2432"/>
      <c r="D40" s="2432"/>
      <c r="E40" s="2432"/>
      <c r="F40" s="2433"/>
      <c r="H40" s="1508"/>
      <c r="I40" s="1508"/>
      <c r="J40" s="1508"/>
      <c r="K40" s="1508"/>
    </row>
    <row r="41" spans="1:15" s="1499" customFormat="1" ht="12" customHeight="1" x14ac:dyDescent="0.25">
      <c r="A41" s="2434"/>
      <c r="B41" s="2435"/>
      <c r="C41" s="2435"/>
      <c r="D41" s="2435"/>
      <c r="E41" s="2435"/>
      <c r="F41" s="2436"/>
      <c r="H41" s="1508"/>
      <c r="I41" s="1508"/>
      <c r="J41" s="1508"/>
      <c r="K41" s="1508"/>
    </row>
    <row r="42" spans="1:15" s="1499" customFormat="1" ht="12" customHeight="1" x14ac:dyDescent="0.25">
      <c r="A42" s="2434"/>
      <c r="B42" s="2435"/>
      <c r="C42" s="2435"/>
      <c r="D42" s="2435"/>
      <c r="E42" s="2435"/>
      <c r="F42" s="2436"/>
      <c r="H42" s="1508"/>
      <c r="I42" s="1508"/>
      <c r="J42" s="1508"/>
      <c r="K42" s="1508"/>
    </row>
    <row r="43" spans="1:15" s="1499" customFormat="1" ht="15" x14ac:dyDescent="0.25">
      <c r="A43" s="2426"/>
      <c r="B43" s="2427"/>
      <c r="C43" s="2427"/>
      <c r="D43" s="2427"/>
      <c r="E43" s="2427"/>
      <c r="F43" s="2428"/>
      <c r="H43" s="1508"/>
      <c r="I43" s="1508"/>
      <c r="J43" s="1508"/>
      <c r="K43" s="1508"/>
    </row>
    <row r="44" spans="1:15" s="1499" customFormat="1" ht="12" hidden="1" customHeight="1" x14ac:dyDescent="0.25">
      <c r="A44" s="2426"/>
      <c r="B44" s="2427"/>
      <c r="C44" s="2427"/>
      <c r="D44" s="2427"/>
      <c r="E44" s="2427"/>
      <c r="F44" s="242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33" sqref="M33"/>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2005</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38" t="str">
        <f>COVER!A17</f>
        <v xml:space="preserve"> Wolf Branch SD 113</v>
      </c>
      <c r="K6" s="2438"/>
      <c r="L6" s="2439"/>
      <c r="M6" s="838"/>
      <c r="N6" s="1997"/>
    </row>
    <row r="7" spans="1:14" x14ac:dyDescent="0.2">
      <c r="A7" s="2440" t="s">
        <v>864</v>
      </c>
      <c r="B7" s="2441"/>
      <c r="C7" s="2441"/>
      <c r="D7" s="2441"/>
      <c r="E7" s="2442"/>
      <c r="F7" s="839"/>
      <c r="G7" s="838"/>
      <c r="H7" s="838"/>
      <c r="I7" s="1923" t="s">
        <v>369</v>
      </c>
      <c r="J7" s="2443">
        <f>COVER!A13</f>
        <v>50082113002</v>
      </c>
      <c r="K7" s="2443"/>
      <c r="L7" s="2443"/>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2021</v>
      </c>
      <c r="F9" s="1857"/>
      <c r="G9" s="1857"/>
      <c r="H9" s="1857"/>
      <c r="I9" s="1928" t="s">
        <v>2022</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44" t="s">
        <v>478</v>
      </c>
      <c r="B11" s="2445"/>
      <c r="C11" s="2446"/>
      <c r="D11" s="1936" t="s">
        <v>866</v>
      </c>
      <c r="E11" s="1936" t="s">
        <v>64</v>
      </c>
      <c r="F11" s="1936" t="s">
        <v>6</v>
      </c>
      <c r="G11" s="1937" t="s">
        <v>2023</v>
      </c>
      <c r="H11" s="1938" t="s">
        <v>155</v>
      </c>
      <c r="I11" s="1936" t="s">
        <v>64</v>
      </c>
      <c r="J11" s="1936" t="s">
        <v>6</v>
      </c>
      <c r="K11" s="1937" t="s">
        <v>2004</v>
      </c>
      <c r="L11" s="1938" t="s">
        <v>155</v>
      </c>
      <c r="M11" s="838"/>
      <c r="N11" s="1997"/>
    </row>
    <row r="12" spans="1:14" x14ac:dyDescent="0.2">
      <c r="A12" s="2002">
        <v>1</v>
      </c>
      <c r="B12" s="1939" t="s">
        <v>813</v>
      </c>
      <c r="C12" s="842"/>
      <c r="D12" s="1940">
        <v>2320</v>
      </c>
      <c r="E12" s="1943">
        <f>'Expenditures 15-22'!K50</f>
        <v>219120</v>
      </c>
      <c r="F12" s="1941"/>
      <c r="G12" s="1967">
        <f>G68</f>
        <v>21312</v>
      </c>
      <c r="H12" s="1943">
        <f t="shared" ref="H12:H18" si="0">SUM(E12:G12)</f>
        <v>240432</v>
      </c>
      <c r="I12" s="1942">
        <v>227524</v>
      </c>
      <c r="J12" s="1941"/>
      <c r="K12" s="1942">
        <v>13968</v>
      </c>
      <c r="L12" s="1943">
        <f t="shared" ref="L12:L18" si="1">SUM(I12:K12)</f>
        <v>241492</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1061</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1053</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47" t="s">
        <v>7</v>
      </c>
      <c r="C18" s="2448"/>
      <c r="D18" s="2449"/>
      <c r="E18" s="1945"/>
      <c r="F18" s="1945"/>
      <c r="G18" s="1942"/>
      <c r="H18" s="1946">
        <f t="shared" si="0"/>
        <v>0</v>
      </c>
      <c r="I18" s="1942"/>
      <c r="J18" s="1942"/>
      <c r="K18" s="1942"/>
      <c r="L18" s="1943">
        <f t="shared" si="1"/>
        <v>0</v>
      </c>
      <c r="M18" s="838"/>
      <c r="N18" s="1997"/>
    </row>
    <row r="19" spans="1:14" ht="13.5" thickBot="1" x14ac:dyDescent="0.25">
      <c r="A19" s="2002">
        <v>8</v>
      </c>
      <c r="B19" s="1947" t="s">
        <v>1153</v>
      </c>
      <c r="C19" s="838"/>
      <c r="D19" s="1948"/>
      <c r="E19" s="1949">
        <f t="shared" ref="E19:L19" si="2">SUM(E12:E17)-E18</f>
        <v>219120</v>
      </c>
      <c r="F19" s="1949">
        <f t="shared" si="2"/>
        <v>0</v>
      </c>
      <c r="G19" s="1949">
        <f t="shared" ref="G19" si="3">SUM(G12:G17)-G18</f>
        <v>21312</v>
      </c>
      <c r="H19" s="1949">
        <f t="shared" si="2"/>
        <v>240432</v>
      </c>
      <c r="I19" s="1949">
        <f t="shared" si="2"/>
        <v>227524</v>
      </c>
      <c r="J19" s="1949">
        <f t="shared" si="2"/>
        <v>0</v>
      </c>
      <c r="K19" s="1949">
        <f t="shared" si="2"/>
        <v>13968</v>
      </c>
      <c r="L19" s="1949">
        <f t="shared" si="2"/>
        <v>241492</v>
      </c>
      <c r="M19" s="838"/>
      <c r="N19" s="1997"/>
    </row>
    <row r="20" spans="1:14" ht="13.5" thickTop="1" x14ac:dyDescent="0.2">
      <c r="A20" s="2002">
        <v>9</v>
      </c>
      <c r="B20" s="2450" t="s">
        <v>2024</v>
      </c>
      <c r="C20" s="2450"/>
      <c r="D20" s="2451"/>
      <c r="E20" s="1950"/>
      <c r="F20" s="1950"/>
      <c r="G20" s="1950"/>
      <c r="H20" s="1950"/>
      <c r="I20" s="1950"/>
      <c r="J20" s="1950"/>
      <c r="K20" s="1950"/>
      <c r="L20" s="1951">
        <f>IF(AND(H19&gt;0,L19&gt;0),(((L19-H19)/H19)),"Enter Budget Data")</f>
        <v>4.4087309509549481E-3</v>
      </c>
      <c r="M20" s="838"/>
      <c r="N20" s="1997"/>
    </row>
    <row r="21" spans="1:14" x14ac:dyDescent="0.2">
      <c r="A21" s="2004" t="s">
        <v>194</v>
      </c>
      <c r="B21" s="2005" t="s">
        <v>2049</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2025</v>
      </c>
      <c r="B24" s="2009"/>
      <c r="C24" s="2010"/>
      <c r="D24" s="2010"/>
      <c r="E24" s="2010"/>
      <c r="F24" s="2010"/>
      <c r="G24" s="2010"/>
      <c r="H24" s="2010"/>
      <c r="I24" s="2010"/>
      <c r="J24" s="2010"/>
      <c r="K24" s="2010"/>
      <c r="L24" s="838"/>
      <c r="M24" s="838"/>
      <c r="N24" s="1997"/>
    </row>
    <row r="25" spans="1:14" x14ac:dyDescent="0.2">
      <c r="A25" s="2008" t="s">
        <v>2026</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52"/>
      <c r="D27" s="2452"/>
      <c r="E27" s="843"/>
      <c r="F27" s="2453"/>
      <c r="G27" s="2453"/>
      <c r="H27" s="2453"/>
      <c r="I27" s="838"/>
      <c r="J27" s="838"/>
      <c r="K27" s="838"/>
      <c r="L27" s="838"/>
      <c r="M27" s="838"/>
      <c r="N27" s="1997"/>
    </row>
    <row r="28" spans="1:14" x14ac:dyDescent="0.2">
      <c r="A28" s="1996"/>
      <c r="B28" s="2006"/>
      <c r="C28" s="1956" t="s">
        <v>1026</v>
      </c>
      <c r="D28" s="844"/>
      <c r="E28" s="1957"/>
      <c r="F28" s="2454" t="s">
        <v>1495</v>
      </c>
      <c r="G28" s="2454"/>
      <c r="H28" s="2454"/>
      <c r="I28" s="838"/>
      <c r="J28" s="838"/>
      <c r="K28" s="838"/>
      <c r="L28" s="838"/>
      <c r="M28" s="838"/>
      <c r="N28" s="1997"/>
    </row>
    <row r="29" spans="1:14" x14ac:dyDescent="0.2">
      <c r="A29" s="1996"/>
      <c r="B29" s="2006"/>
      <c r="C29" s="2455"/>
      <c r="D29" s="2455"/>
      <c r="E29" s="845"/>
      <c r="F29" s="2455"/>
      <c r="G29" s="2455"/>
      <c r="H29" s="2455"/>
      <c r="I29" s="838"/>
      <c r="J29" s="838"/>
      <c r="K29" s="838"/>
      <c r="L29" s="838"/>
      <c r="M29" s="838"/>
      <c r="N29" s="1997"/>
    </row>
    <row r="30" spans="1:14" x14ac:dyDescent="0.2">
      <c r="A30" s="1996"/>
      <c r="B30" s="2006"/>
      <c r="C30" s="1959" t="s">
        <v>1547</v>
      </c>
      <c r="D30" s="838"/>
      <c r="E30" s="1958"/>
      <c r="F30" s="2437" t="s">
        <v>1496</v>
      </c>
      <c r="G30" s="2437"/>
      <c r="H30" s="2437"/>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58" t="s">
        <v>2027</v>
      </c>
      <c r="D34" s="2459"/>
      <c r="E34" s="2459"/>
      <c r="F34" s="2459"/>
      <c r="G34" s="2459"/>
      <c r="H34" s="2459"/>
      <c r="I34" s="2459"/>
      <c r="J34" s="2459"/>
      <c r="K34" s="2015"/>
      <c r="L34" s="838"/>
      <c r="M34" s="838"/>
      <c r="N34" s="1997"/>
    </row>
    <row r="35" spans="1:14" x14ac:dyDescent="0.2">
      <c r="A35" s="1996"/>
      <c r="B35" s="838"/>
      <c r="C35" s="2459"/>
      <c r="D35" s="2459"/>
      <c r="E35" s="2459"/>
      <c r="F35" s="2459"/>
      <c r="G35" s="2459"/>
      <c r="H35" s="2459"/>
      <c r="I35" s="2459"/>
      <c r="J35" s="2459"/>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58" t="s">
        <v>2028</v>
      </c>
      <c r="D37" s="2459"/>
      <c r="E37" s="2459"/>
      <c r="F37" s="2459"/>
      <c r="G37" s="2459"/>
      <c r="H37" s="2459"/>
      <c r="I37" s="2459"/>
      <c r="J37" s="2459"/>
      <c r="K37" s="2015"/>
      <c r="L37" s="2017"/>
      <c r="M37" s="838"/>
      <c r="N37" s="1997"/>
    </row>
    <row r="38" spans="1:14" x14ac:dyDescent="0.2">
      <c r="A38" s="1996"/>
      <c r="B38" s="838"/>
      <c r="C38" s="2459"/>
      <c r="D38" s="2459"/>
      <c r="E38" s="2459"/>
      <c r="F38" s="2459"/>
      <c r="G38" s="2459"/>
      <c r="H38" s="2459"/>
      <c r="I38" s="2459"/>
      <c r="J38" s="2459"/>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60" t="s">
        <v>2029</v>
      </c>
      <c r="D40" s="2461"/>
      <c r="E40" s="2461"/>
      <c r="F40" s="2461"/>
      <c r="G40" s="2461"/>
      <c r="H40" s="2461"/>
      <c r="I40" s="2461"/>
      <c r="J40" s="2461"/>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62" t="s">
        <v>2030</v>
      </c>
      <c r="B43" s="2463"/>
      <c r="C43" s="2463"/>
      <c r="D43" s="2463"/>
      <c r="E43" s="2463"/>
      <c r="F43" s="2463"/>
      <c r="G43" s="2463"/>
      <c r="H43" s="2463"/>
      <c r="I43" s="2463"/>
      <c r="J43" s="2463"/>
      <c r="K43" s="2463"/>
      <c r="L43" s="2463"/>
      <c r="M43" s="2463"/>
      <c r="N43" s="2464"/>
    </row>
    <row r="44" spans="1:14" x14ac:dyDescent="0.2">
      <c r="A44" s="1981"/>
      <c r="B44" s="1982"/>
      <c r="C44" s="1982"/>
      <c r="D44" s="1982"/>
      <c r="E44" s="1982"/>
      <c r="F44" s="1982"/>
      <c r="G44" s="1982"/>
      <c r="H44" s="1982"/>
      <c r="I44" s="1982"/>
      <c r="J44" s="1982"/>
      <c r="K44" s="1982"/>
      <c r="L44" s="1982"/>
      <c r="M44" s="1982"/>
      <c r="N44" s="1983"/>
    </row>
    <row r="45" spans="1:14" x14ac:dyDescent="0.2">
      <c r="A45" s="1981" t="s">
        <v>2031</v>
      </c>
      <c r="B45" s="1982"/>
      <c r="C45" s="1982"/>
      <c r="D45" s="1982"/>
      <c r="E45" s="1982"/>
      <c r="F45" s="1982"/>
      <c r="G45" s="1982"/>
      <c r="H45" s="1982"/>
      <c r="I45" s="1982"/>
      <c r="J45" s="1982"/>
      <c r="K45" s="1982"/>
      <c r="L45" s="1982"/>
      <c r="M45" s="1982"/>
      <c r="N45" s="1983"/>
    </row>
    <row r="46" spans="1:14" x14ac:dyDescent="0.2">
      <c r="A46" s="2465" t="s">
        <v>2032</v>
      </c>
      <c r="B46" s="2466"/>
      <c r="C46" s="2466"/>
      <c r="D46" s="2466"/>
      <c r="E46" s="2466"/>
      <c r="F46" s="2466"/>
      <c r="G46" s="2466"/>
      <c r="H46" s="2466"/>
      <c r="I46" s="2466"/>
      <c r="J46" s="2466"/>
      <c r="K46" s="2466"/>
      <c r="L46" s="2466"/>
      <c r="M46" s="2466"/>
      <c r="N46" s="2467"/>
    </row>
    <row r="47" spans="1:14" x14ac:dyDescent="0.2">
      <c r="A47" s="2465"/>
      <c r="B47" s="2466"/>
      <c r="C47" s="2466"/>
      <c r="D47" s="2466"/>
      <c r="E47" s="2466"/>
      <c r="F47" s="2466"/>
      <c r="G47" s="2466"/>
      <c r="H47" s="2466"/>
      <c r="I47" s="2466"/>
      <c r="J47" s="2466"/>
      <c r="K47" s="2466"/>
      <c r="L47" s="2466"/>
      <c r="M47" s="2466"/>
      <c r="N47" s="246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2048</v>
      </c>
      <c r="B49" s="2023"/>
      <c r="C49" s="2023"/>
      <c r="D49" s="2024"/>
      <c r="E49" s="2024"/>
      <c r="F49" s="2024"/>
      <c r="G49" s="2024"/>
      <c r="H49" s="2024"/>
      <c r="I49" s="2024"/>
      <c r="J49" s="2024"/>
      <c r="K49" s="2024"/>
      <c r="L49" s="2024"/>
      <c r="M49" s="2024"/>
      <c r="N49" s="2025"/>
    </row>
    <row r="50" spans="1:14" ht="15" x14ac:dyDescent="0.25">
      <c r="A50" s="2027" t="s">
        <v>2047</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8" t="str">
        <f>J6</f>
        <v xml:space="preserve"> Wolf Branch SD 113</v>
      </c>
      <c r="M52" s="2438"/>
      <c r="N52" s="2468"/>
    </row>
    <row r="53" spans="1:14" x14ac:dyDescent="0.2">
      <c r="A53" s="1981"/>
      <c r="B53" s="1982"/>
      <c r="C53" s="1982"/>
      <c r="D53" s="1982"/>
      <c r="E53" s="1982"/>
      <c r="F53" s="1982"/>
      <c r="G53" s="1982"/>
      <c r="H53" s="1982"/>
      <c r="I53" s="1982"/>
      <c r="J53" s="1982"/>
      <c r="K53" s="1923" t="s">
        <v>369</v>
      </c>
      <c r="L53" s="2443">
        <f>J7</f>
        <v>50082113002</v>
      </c>
      <c r="M53" s="2443"/>
      <c r="N53" s="246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70"/>
      <c r="B55" s="2471"/>
      <c r="C55" s="2471"/>
      <c r="D55" s="1969"/>
      <c r="E55" s="1969"/>
      <c r="F55" s="1969"/>
      <c r="G55" s="2472" t="s">
        <v>2033</v>
      </c>
      <c r="H55" s="2472"/>
      <c r="I55" s="2472"/>
      <c r="J55" s="2472"/>
      <c r="K55" s="2472"/>
      <c r="L55" s="2472"/>
      <c r="M55" s="2472"/>
      <c r="N55" s="2473"/>
    </row>
    <row r="56" spans="1:14" ht="63.75" x14ac:dyDescent="0.2">
      <c r="A56" s="2474" t="s">
        <v>2034</v>
      </c>
      <c r="B56" s="2475"/>
      <c r="C56" s="2476"/>
      <c r="D56" s="1963" t="s">
        <v>2035</v>
      </c>
      <c r="E56" s="1963" t="s">
        <v>2036</v>
      </c>
      <c r="F56" s="1970"/>
      <c r="G56" s="1963" t="s">
        <v>2037</v>
      </c>
      <c r="H56" s="1963" t="s">
        <v>2038</v>
      </c>
      <c r="I56" s="1963" t="s">
        <v>2039</v>
      </c>
      <c r="J56" s="1963" t="s">
        <v>2040</v>
      </c>
      <c r="K56" s="1963" t="s">
        <v>2041</v>
      </c>
      <c r="L56" s="1963" t="s">
        <v>2042</v>
      </c>
      <c r="M56" s="1963" t="s">
        <v>2043</v>
      </c>
      <c r="N56" s="1964" t="s">
        <v>2050</v>
      </c>
    </row>
    <row r="57" spans="1:14" ht="24.75" customHeight="1" x14ac:dyDescent="0.2">
      <c r="A57" s="2477" t="s">
        <v>296</v>
      </c>
      <c r="B57" s="2478"/>
      <c r="C57" s="247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56" t="s">
        <v>2044</v>
      </c>
      <c r="B58" s="2457"/>
      <c r="C58" s="2457"/>
      <c r="D58" s="1966">
        <v>2362</v>
      </c>
      <c r="E58" s="1976">
        <f>'Expenditures 15-22'!K320</f>
        <v>35993</v>
      </c>
      <c r="F58" s="1971"/>
      <c r="G58" s="2030"/>
      <c r="H58" s="2031"/>
      <c r="I58" s="2031"/>
      <c r="J58" s="2031"/>
      <c r="K58" s="2031"/>
      <c r="L58" s="2031"/>
      <c r="M58" s="2031">
        <v>35993</v>
      </c>
      <c r="N58" s="1974">
        <f>IF((SUM(G58:M58))=E58,SUM(G58:M58),"Column N does not agree with Column E")</f>
        <v>35993</v>
      </c>
    </row>
    <row r="59" spans="1:14" ht="24.75" customHeight="1" x14ac:dyDescent="0.2">
      <c r="A59" s="2479" t="s">
        <v>297</v>
      </c>
      <c r="B59" s="2480"/>
      <c r="C59" s="2480"/>
      <c r="D59" s="1966">
        <v>2363</v>
      </c>
      <c r="E59" s="1976">
        <f>'Expenditures 15-22'!K321</f>
        <v>4896</v>
      </c>
      <c r="F59" s="1971"/>
      <c r="G59" s="2030"/>
      <c r="H59" s="2031"/>
      <c r="I59" s="2031"/>
      <c r="J59" s="2031"/>
      <c r="K59" s="2031"/>
      <c r="L59" s="2031"/>
      <c r="M59" s="2031">
        <v>4896</v>
      </c>
      <c r="N59" s="1974">
        <f>IF((SUM(G59:M59))=E59,SUM(G59:M59),"Column N does not agree with Column E")</f>
        <v>4896</v>
      </c>
    </row>
    <row r="60" spans="1:14" ht="24" customHeight="1" x14ac:dyDescent="0.2">
      <c r="A60" s="2479" t="s">
        <v>236</v>
      </c>
      <c r="B60" s="2480"/>
      <c r="C60" s="2480"/>
      <c r="D60" s="1966">
        <v>2364</v>
      </c>
      <c r="E60" s="1976">
        <f>'Expenditures 15-22'!K322</f>
        <v>38619</v>
      </c>
      <c r="F60" s="1971"/>
      <c r="G60" s="2030"/>
      <c r="H60" s="2031"/>
      <c r="I60" s="2031"/>
      <c r="J60" s="2031"/>
      <c r="K60" s="2031"/>
      <c r="L60" s="2031"/>
      <c r="M60" s="2031">
        <v>38619</v>
      </c>
      <c r="N60" s="1974">
        <f t="shared" ref="N60:N67" si="4">IF((SUM(G60:M60))=E60,SUM(G60:M60),"Column N does not agree with Column E")</f>
        <v>38619</v>
      </c>
    </row>
    <row r="61" spans="1:14" ht="24.75" customHeight="1" x14ac:dyDescent="0.2">
      <c r="A61" s="2479" t="s">
        <v>697</v>
      </c>
      <c r="B61" s="2480"/>
      <c r="C61" s="2480"/>
      <c r="D61" s="1966">
        <v>2365</v>
      </c>
      <c r="E61" s="1976">
        <f>'Expenditures 15-22'!K323</f>
        <v>6808</v>
      </c>
      <c r="F61" s="1971"/>
      <c r="G61" s="2030"/>
      <c r="H61" s="2031"/>
      <c r="I61" s="2031"/>
      <c r="J61" s="2031"/>
      <c r="K61" s="2031"/>
      <c r="L61" s="2031"/>
      <c r="M61" s="2031">
        <v>6808</v>
      </c>
      <c r="N61" s="1974">
        <f t="shared" si="4"/>
        <v>6808</v>
      </c>
    </row>
    <row r="62" spans="1:14" ht="24" customHeight="1" x14ac:dyDescent="0.2">
      <c r="A62" s="2479" t="s">
        <v>237</v>
      </c>
      <c r="B62" s="2480"/>
      <c r="C62" s="2480"/>
      <c r="D62" s="1966">
        <v>2366</v>
      </c>
      <c r="E62" s="1976">
        <f>'Expenditures 15-22'!K324</f>
        <v>0</v>
      </c>
      <c r="F62" s="1971"/>
      <c r="G62" s="2030"/>
      <c r="H62" s="2031"/>
      <c r="I62" s="2031"/>
      <c r="J62" s="2031"/>
      <c r="K62" s="2031"/>
      <c r="L62" s="2031"/>
      <c r="M62" s="2031"/>
      <c r="N62" s="1974">
        <f t="shared" si="4"/>
        <v>0</v>
      </c>
    </row>
    <row r="63" spans="1:14" ht="24" customHeight="1" x14ac:dyDescent="0.2">
      <c r="A63" s="2456" t="s">
        <v>1022</v>
      </c>
      <c r="B63" s="2457"/>
      <c r="C63" s="2457"/>
      <c r="D63" s="1966">
        <v>2367</v>
      </c>
      <c r="E63" s="1976">
        <f>'Expenditures 15-22'!K325</f>
        <v>209825</v>
      </c>
      <c r="F63" s="1971"/>
      <c r="G63" s="2030">
        <f>15592+5720</f>
        <v>21312</v>
      </c>
      <c r="H63" s="2031"/>
      <c r="I63" s="2031"/>
      <c r="J63" s="2031"/>
      <c r="K63" s="2031"/>
      <c r="L63" s="2031"/>
      <c r="M63" s="2031">
        <f>209825-21312</f>
        <v>188513</v>
      </c>
      <c r="N63" s="1974">
        <f t="shared" si="4"/>
        <v>209825</v>
      </c>
    </row>
    <row r="64" spans="1:14" ht="24" customHeight="1" x14ac:dyDescent="0.2">
      <c r="A64" s="2479" t="s">
        <v>1023</v>
      </c>
      <c r="B64" s="2480"/>
      <c r="C64" s="2480"/>
      <c r="D64" s="1966">
        <v>2368</v>
      </c>
      <c r="E64" s="1976">
        <f>'Expenditures 15-22'!K326</f>
        <v>0</v>
      </c>
      <c r="F64" s="1971"/>
      <c r="G64" s="2030"/>
      <c r="H64" s="2031"/>
      <c r="I64" s="2031"/>
      <c r="J64" s="2031"/>
      <c r="K64" s="2031"/>
      <c r="L64" s="2031"/>
      <c r="M64" s="2031"/>
      <c r="N64" s="1974">
        <f t="shared" si="4"/>
        <v>0</v>
      </c>
    </row>
    <row r="65" spans="1:14" ht="24" customHeight="1" x14ac:dyDescent="0.2">
      <c r="A65" s="2479" t="s">
        <v>965</v>
      </c>
      <c r="B65" s="2480"/>
      <c r="C65" s="2480"/>
      <c r="D65" s="1966">
        <v>2369</v>
      </c>
      <c r="E65" s="1976">
        <f>'Expenditures 15-22'!K327</f>
        <v>23094</v>
      </c>
      <c r="F65" s="1971"/>
      <c r="G65" s="2030"/>
      <c r="H65" s="2031"/>
      <c r="I65" s="2031"/>
      <c r="J65" s="2031"/>
      <c r="K65" s="2031"/>
      <c r="L65" s="2031"/>
      <c r="M65" s="2031">
        <v>23094</v>
      </c>
      <c r="N65" s="1974">
        <f t="shared" si="4"/>
        <v>23094</v>
      </c>
    </row>
    <row r="66" spans="1:14" ht="24" customHeight="1" x14ac:dyDescent="0.2">
      <c r="A66" s="2479" t="s">
        <v>469</v>
      </c>
      <c r="B66" s="2480"/>
      <c r="C66" s="2480"/>
      <c r="D66" s="1966">
        <v>2371</v>
      </c>
      <c r="E66" s="1976">
        <f>'Expenditures 15-22'!K328</f>
        <v>0</v>
      </c>
      <c r="F66" s="1971"/>
      <c r="G66" s="2030"/>
      <c r="H66" s="2031"/>
      <c r="I66" s="2031"/>
      <c r="J66" s="2031"/>
      <c r="K66" s="2031"/>
      <c r="L66" s="2031"/>
      <c r="M66" s="2031"/>
      <c r="N66" s="1974">
        <f t="shared" si="4"/>
        <v>0</v>
      </c>
    </row>
    <row r="67" spans="1:14" ht="24.75" customHeight="1" x14ac:dyDescent="0.2">
      <c r="A67" s="2481" t="s">
        <v>2045</v>
      </c>
      <c r="B67" s="2482"/>
      <c r="C67" s="2482"/>
      <c r="D67" s="1968">
        <v>2372</v>
      </c>
      <c r="E67" s="1977">
        <f>'Expenditures 15-22'!K329</f>
        <v>0</v>
      </c>
      <c r="F67" s="1971"/>
      <c r="G67" s="2032"/>
      <c r="H67" s="2033"/>
      <c r="I67" s="2033"/>
      <c r="J67" s="2033"/>
      <c r="K67" s="2033"/>
      <c r="L67" s="2033"/>
      <c r="M67" s="2033"/>
      <c r="N67" s="1974">
        <f t="shared" si="4"/>
        <v>0</v>
      </c>
    </row>
    <row r="68" spans="1:14" x14ac:dyDescent="0.2">
      <c r="A68" s="2483" t="s">
        <v>1153</v>
      </c>
      <c r="B68" s="2484"/>
      <c r="C68" s="2484"/>
      <c r="D68" s="1969"/>
      <c r="E68" s="1973">
        <f>SUM(E57:E67)</f>
        <v>319235</v>
      </c>
      <c r="F68" s="1972"/>
      <c r="G68" s="1973">
        <f t="shared" ref="G68:N68" si="5">SUM(G57:G67)</f>
        <v>21312</v>
      </c>
      <c r="H68" s="1973">
        <f t="shared" si="5"/>
        <v>0</v>
      </c>
      <c r="I68" s="1973">
        <f t="shared" si="5"/>
        <v>0</v>
      </c>
      <c r="J68" s="1973">
        <f t="shared" si="5"/>
        <v>0</v>
      </c>
      <c r="K68" s="1973">
        <f t="shared" si="5"/>
        <v>0</v>
      </c>
      <c r="L68" s="1973">
        <f t="shared" si="5"/>
        <v>0</v>
      </c>
      <c r="M68" s="1973">
        <f t="shared" si="5"/>
        <v>297923</v>
      </c>
      <c r="N68" s="1987">
        <f t="shared" si="5"/>
        <v>319235</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2046</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Wolf Branch SD 113</v>
      </c>
    </row>
    <row r="65" spans="2:2" x14ac:dyDescent="0.2">
      <c r="B65" s="849">
        <f>COVER!A13</f>
        <v>50082113002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85" t="s">
        <v>1668</v>
      </c>
      <c r="B18" s="248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1219200</xdr:colOff>
                <xdr:row>13</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1672</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3"/>
      <c r="H2" s="853"/>
    </row>
    <row r="3" spans="1:8" ht="57" customHeight="1" x14ac:dyDescent="0.2">
      <c r="A3" s="2499" t="s">
        <v>1975</v>
      </c>
      <c r="B3" s="2500"/>
      <c r="C3" s="2500"/>
      <c r="D3" s="2500"/>
      <c r="E3" s="2500"/>
      <c r="F3" s="2501"/>
      <c r="G3" s="853"/>
      <c r="H3" s="853"/>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3"/>
      <c r="H4" s="853"/>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3"/>
      <c r="H5" s="853"/>
    </row>
    <row r="6" spans="1:8" s="854" customFormat="1" ht="41.25" customHeight="1" x14ac:dyDescent="0.2">
      <c r="A6" s="2502" t="s">
        <v>1673</v>
      </c>
      <c r="B6" s="2503"/>
      <c r="C6" s="2503"/>
      <c r="D6" s="2503"/>
      <c r="E6" s="2503"/>
      <c r="F6" s="2504"/>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5396408</v>
      </c>
      <c r="C8" s="1813">
        <f>'Acct Summary 7-8'!D8</f>
        <v>1025852</v>
      </c>
      <c r="D8" s="1813">
        <f>'Acct Summary 7-8'!F8</f>
        <v>373304</v>
      </c>
      <c r="E8" s="1813">
        <f>'Acct Summary 7-8'!I8</f>
        <v>97360</v>
      </c>
      <c r="F8" s="1813">
        <f>SUM(B8:E8)</f>
        <v>6892924</v>
      </c>
    </row>
    <row r="9" spans="1:8" s="858" customFormat="1" ht="14.25" customHeight="1" thickBot="1" x14ac:dyDescent="0.25">
      <c r="A9" s="857" t="s">
        <v>1355</v>
      </c>
      <c r="B9" s="1814">
        <f>'Acct Summary 7-8'!C17</f>
        <v>5800842</v>
      </c>
      <c r="C9" s="1814">
        <f>'Acct Summary 7-8'!D17</f>
        <v>931198</v>
      </c>
      <c r="D9" s="1814">
        <f>'Acct Summary 7-8'!F17</f>
        <v>329707</v>
      </c>
      <c r="E9" s="1813"/>
      <c r="F9" s="1813">
        <f>SUM(B9:E9)</f>
        <v>7061747</v>
      </c>
    </row>
    <row r="10" spans="1:8" s="858" customFormat="1" ht="14.25" thickTop="1" thickBot="1" x14ac:dyDescent="0.25">
      <c r="A10" s="859" t="s">
        <v>1356</v>
      </c>
      <c r="B10" s="1815">
        <f>(B8-B9)</f>
        <v>-404434</v>
      </c>
      <c r="C10" s="1815">
        <f>(C8-C9)</f>
        <v>94654</v>
      </c>
      <c r="D10" s="1815">
        <f>(D8-D9)</f>
        <v>43597</v>
      </c>
      <c r="E10" s="1814">
        <f>(E8-E9)</f>
        <v>97360</v>
      </c>
      <c r="F10" s="1816">
        <f>SUM(F8-F9)</f>
        <v>-168823</v>
      </c>
    </row>
    <row r="11" spans="1:8" s="858" customFormat="1" ht="14.25" thickTop="1" thickBot="1" x14ac:dyDescent="0.25">
      <c r="A11" s="860" t="s">
        <v>1906</v>
      </c>
      <c r="B11" s="1817">
        <f>'Acct Summary 7-8'!C81</f>
        <v>63061</v>
      </c>
      <c r="C11" s="1817">
        <f>'Acct Summary 7-8'!D81</f>
        <v>3261093</v>
      </c>
      <c r="D11" s="1817">
        <f>'Acct Summary 7-8'!F81</f>
        <v>543187</v>
      </c>
      <c r="E11" s="1817">
        <f>'Acct Summary 7-8'!I81</f>
        <v>1860371</v>
      </c>
      <c r="F11" s="1818">
        <f>SUM(B11:E11)</f>
        <v>5727712</v>
      </c>
    </row>
    <row r="12" spans="1:8" ht="16.5" customHeight="1" thickTop="1" x14ac:dyDescent="0.2">
      <c r="A12" s="861"/>
      <c r="B12" s="862"/>
      <c r="C12" s="2490" t="str">
        <f>IF(AND(F10&lt;0,F11&gt;=0,ABS(F10*3)&gt;ABS(F11)),A16,IF(AND(F10&lt;0,F11&gt;0,ABS(F10*3)&lt;=ABS(F11)),A17,IF(AND(F10&lt;0,F11&lt;0),A16,IF(F11=0,A19,A18))))</f>
        <v>Unbalanced -  however, a deficit reduction plan is not required at this time.</v>
      </c>
      <c r="D12" s="2491"/>
      <c r="E12" s="2491"/>
      <c r="F12" s="2492"/>
    </row>
    <row r="13" spans="1:8" ht="19.5" customHeight="1" x14ac:dyDescent="0.2">
      <c r="A13" s="863"/>
      <c r="B13" s="864"/>
      <c r="C13" s="2490"/>
      <c r="D13" s="2491"/>
      <c r="E13" s="2491"/>
      <c r="F13" s="2492"/>
      <c r="H13" s="853"/>
    </row>
    <row r="14" spans="1:8" ht="19.5" customHeight="1" x14ac:dyDescent="0.2">
      <c r="A14" s="863"/>
      <c r="B14" s="864"/>
      <c r="C14" s="2490"/>
      <c r="D14" s="2491"/>
      <c r="E14" s="2491"/>
      <c r="F14" s="2492"/>
      <c r="H14" s="853"/>
    </row>
    <row r="15" spans="1:8" ht="17.25" customHeight="1" x14ac:dyDescent="0.2">
      <c r="A15" s="863"/>
      <c r="B15" s="864"/>
      <c r="C15" s="2493"/>
      <c r="D15" s="2494"/>
      <c r="E15" s="2494"/>
      <c r="F15" s="2495"/>
      <c r="H15" s="853"/>
    </row>
    <row r="16" spans="1:8" s="288" customFormat="1" ht="51.75" hidden="1" customHeight="1" x14ac:dyDescent="0.2">
      <c r="A16" s="2489" t="s">
        <v>1669</v>
      </c>
      <c r="B16" s="2489"/>
      <c r="C16" s="2489"/>
      <c r="D16" s="2489"/>
      <c r="E16" s="2489"/>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9" t="s">
        <v>1981</v>
      </c>
    </row>
    <row r="2" spans="1:7" ht="15.75" x14ac:dyDescent="0.25">
      <c r="A2" t="s">
        <v>260</v>
      </c>
      <c r="B2" s="135">
        <f>COVER!A13</f>
        <v>50082113002</v>
      </c>
      <c r="E2" s="1542">
        <v>2020</v>
      </c>
      <c r="F2" s="1542">
        <v>1</v>
      </c>
      <c r="G2" s="1898">
        <v>101000300</v>
      </c>
    </row>
    <row r="3" spans="1:7" ht="15" x14ac:dyDescent="0.25">
      <c r="A3" t="s">
        <v>950</v>
      </c>
      <c r="B3" s="135" t="str">
        <f>COVER!A15</f>
        <v>St. Clair</v>
      </c>
      <c r="E3" s="1830" t="s">
        <v>1974</v>
      </c>
      <c r="F3" s="1830" t="s">
        <v>1973</v>
      </c>
      <c r="G3" s="1898">
        <v>101000400</v>
      </c>
    </row>
    <row r="4" spans="1:7" ht="15" x14ac:dyDescent="0.25">
      <c r="A4" t="s">
        <v>1000</v>
      </c>
      <c r="B4" s="135" t="str">
        <f>COVER!A17</f>
        <v xml:space="preserve"> Wolf Branch SD 113</v>
      </c>
      <c r="E4" s="1828">
        <v>44119</v>
      </c>
      <c r="F4" s="1829">
        <v>44151</v>
      </c>
      <c r="G4" s="1898">
        <v>101000600</v>
      </c>
    </row>
    <row r="5" spans="1:7" ht="15" x14ac:dyDescent="0.25">
      <c r="A5" t="s">
        <v>699</v>
      </c>
      <c r="B5" s="135">
        <f>COVER!A38</f>
        <v>0</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1529</v>
      </c>
      <c r="B12" s="135" t="str">
        <f>IF(COVER!J29="x","Yes",IF(COVER!L29="X","No",0))</f>
        <v>No</v>
      </c>
      <c r="G12" s="1898">
        <v>202100600</v>
      </c>
    </row>
    <row r="13" spans="1:7" ht="15" x14ac:dyDescent="0.25">
      <c r="A13" s="1" t="s">
        <v>1530</v>
      </c>
      <c r="B13" s="135">
        <f>IF(COVER!J30="x","Yes",IF(COVER!L30="x","No",0))</f>
        <v>0</v>
      </c>
      <c r="G13" s="1898">
        <v>202100800</v>
      </c>
    </row>
    <row r="14" spans="1:7" ht="15" x14ac:dyDescent="0.25">
      <c r="A14" t="s">
        <v>473</v>
      </c>
      <c r="B14" s="135" t="str">
        <f>IF(COVER!J31="x","Yes",IF(COVER!L31="x","No",0))</f>
        <v>No</v>
      </c>
      <c r="G14" s="1898">
        <v>402100300</v>
      </c>
    </row>
    <row r="15" spans="1:7" ht="15" x14ac:dyDescent="0.25">
      <c r="A15" t="s">
        <v>573</v>
      </c>
      <c r="B15" s="135" t="str">
        <f>COVER!T23</f>
        <v>066-003590</v>
      </c>
      <c r="G15" s="1898">
        <v>402100400</v>
      </c>
    </row>
    <row r="16" spans="1:7" ht="15" x14ac:dyDescent="0.25">
      <c r="A16" t="s">
        <v>419</v>
      </c>
      <c r="B16" s="135" t="str">
        <f>COVER!T13</f>
        <v>C. J. Schlosser &amp; Company, L.L.C.</v>
      </c>
      <c r="G16" s="1898">
        <v>402100600</v>
      </c>
    </row>
    <row r="17" spans="1:7" ht="15" x14ac:dyDescent="0.25">
      <c r="A17" t="s">
        <v>878</v>
      </c>
      <c r="B17" s="135" t="str">
        <f>COVER!T15</f>
        <v>Kevin Tepen</v>
      </c>
      <c r="G17" s="1898">
        <v>402100800</v>
      </c>
    </row>
    <row r="18" spans="1:7" ht="15" x14ac:dyDescent="0.25">
      <c r="A18" t="s">
        <v>1142</v>
      </c>
      <c r="B18" s="135" t="str">
        <f>COVER!T17</f>
        <v>233 East Center Drive</v>
      </c>
      <c r="G18" s="1898">
        <v>102200300</v>
      </c>
    </row>
    <row r="19" spans="1:7" ht="15" x14ac:dyDescent="0.25">
      <c r="A19" t="s">
        <v>880</v>
      </c>
      <c r="B19" s="135">
        <f>COVER!T25</f>
        <v>0</v>
      </c>
      <c r="G19" s="1898">
        <v>102200400</v>
      </c>
    </row>
    <row r="20" spans="1:7" ht="15" x14ac:dyDescent="0.25">
      <c r="A20" t="s">
        <v>881</v>
      </c>
      <c r="B20" s="135" t="str">
        <f>COVER!T19</f>
        <v>Alton</v>
      </c>
      <c r="G20" s="1898">
        <v>102200600</v>
      </c>
    </row>
    <row r="21" spans="1:7" ht="15" x14ac:dyDescent="0.25">
      <c r="A21" t="s">
        <v>476</v>
      </c>
      <c r="B21" s="135" t="str">
        <f>COVER!X19</f>
        <v>IL</v>
      </c>
      <c r="G21" s="1898">
        <v>102200800</v>
      </c>
    </row>
    <row r="22" spans="1:7" ht="15" x14ac:dyDescent="0.25">
      <c r="A22" t="s">
        <v>882</v>
      </c>
      <c r="B22" s="135">
        <f>COVER!Z19</f>
        <v>62002</v>
      </c>
      <c r="G22" s="1898">
        <v>102300300</v>
      </c>
    </row>
    <row r="23" spans="1:7" ht="15" x14ac:dyDescent="0.25">
      <c r="A23" t="s">
        <v>1144</v>
      </c>
      <c r="B23" s="135" t="str">
        <f>COVER!T21</f>
        <v>(618) 465-7717</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1467</v>
      </c>
      <c r="B49" s="135" t="str">
        <f>IF('Aud Quest 2'!B53="x","Yes",IF('Aud Quest 2'!B53&lt;&gt;"x","0"))</f>
        <v>0</v>
      </c>
      <c r="G49" s="1898">
        <v>102540800</v>
      </c>
    </row>
    <row r="50" spans="1:7" ht="15" x14ac:dyDescent="0.25">
      <c r="A50" s="1" t="s">
        <v>1466</v>
      </c>
      <c r="B50" s="146">
        <f>'Aud Quest 2'!H53</f>
        <v>0</v>
      </c>
      <c r="G50" s="1898">
        <v>202540300</v>
      </c>
    </row>
    <row r="51" spans="1:7" ht="15" x14ac:dyDescent="0.25">
      <c r="A51" s="1" t="s">
        <v>1468</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58661</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62661</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-400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-400</v>
      </c>
      <c r="C91" s="2" t="s">
        <v>569</v>
      </c>
      <c r="D91" s="2" t="str">
        <f t="shared" si="0"/>
        <v>Error?</v>
      </c>
      <c r="G91" s="1898">
        <v>102640400</v>
      </c>
    </row>
    <row r="92" spans="1:7" ht="15" x14ac:dyDescent="0.25">
      <c r="A92" s="5">
        <v>31</v>
      </c>
      <c r="B92" s="1832">
        <f>'Assets-Liab 5-6'!C39</f>
        <v>-212233</v>
      </c>
      <c r="D92" s="2" t="str">
        <f t="shared" si="0"/>
        <v>Error?</v>
      </c>
      <c r="G92" s="1898">
        <v>102640600</v>
      </c>
    </row>
    <row r="93" spans="1:7" ht="15" x14ac:dyDescent="0.25">
      <c r="A93" s="5">
        <v>32</v>
      </c>
      <c r="B93" s="1832">
        <f>'Assets-Liab 5-6'!C41</f>
        <v>62661</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3261600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3261600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507</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507</v>
      </c>
      <c r="C122" s="2" t="s">
        <v>569</v>
      </c>
      <c r="D122" s="2" t="str">
        <f t="shared" si="0"/>
        <v>Error?</v>
      </c>
      <c r="G122" s="1898">
        <v>203000300</v>
      </c>
    </row>
    <row r="123" spans="1:7" ht="15" x14ac:dyDescent="0.25">
      <c r="A123" s="5">
        <v>62</v>
      </c>
      <c r="B123" s="1832">
        <f>'Assets-Liab 5-6'!D39</f>
        <v>3261093</v>
      </c>
      <c r="D123" s="2" t="str">
        <f t="shared" si="0"/>
        <v>Error?</v>
      </c>
      <c r="G123" s="1898">
        <v>203000400</v>
      </c>
    </row>
    <row r="124" spans="1:7" ht="15" x14ac:dyDescent="0.25">
      <c r="A124" s="5">
        <v>63</v>
      </c>
      <c r="B124" s="1832">
        <f>'Assets-Liab 5-6'!D41</f>
        <v>3261600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116884</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116884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116884</v>
      </c>
      <c r="D140" s="2" t="str">
        <f t="shared" si="1"/>
        <v>Error?</v>
      </c>
    </row>
    <row r="141" spans="1:7" x14ac:dyDescent="0.2">
      <c r="A141" s="5">
        <v>80</v>
      </c>
      <c r="B141" s="1832">
        <f>'Assets-Liab 5-6'!E41</f>
        <v>116884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543187</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543187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543187</v>
      </c>
      <c r="D170" s="2" t="str">
        <f t="shared" si="1"/>
        <v>Error?</v>
      </c>
    </row>
    <row r="171" spans="1:4" x14ac:dyDescent="0.2">
      <c r="A171" s="5">
        <v>110</v>
      </c>
      <c r="B171" s="1832">
        <f>'Assets-Liab 5-6'!F41</f>
        <v>543187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162227</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162227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162227</v>
      </c>
      <c r="D189" s="2" t="str">
        <f t="shared" si="1"/>
        <v>Error?</v>
      </c>
    </row>
    <row r="190" spans="1:4" x14ac:dyDescent="0.2">
      <c r="A190" s="5">
        <v>129</v>
      </c>
      <c r="B190" s="1832">
        <f>'Assets-Liab 5-6'!G41</f>
        <v>162227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1360693</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1360693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1360693</v>
      </c>
      <c r="D212" s="2" t="str">
        <f t="shared" si="2"/>
        <v>Error?</v>
      </c>
    </row>
    <row r="213" spans="1:4" x14ac:dyDescent="0.2">
      <c r="A213" s="12">
        <v>152</v>
      </c>
      <c r="B213" s="1832">
        <f>'Assets-Liab 5-6'!H41</f>
        <v>1360693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393889</v>
      </c>
      <c r="D273" s="2" t="str">
        <f t="shared" si="3"/>
        <v>Error?</v>
      </c>
    </row>
    <row r="274" spans="1:4" x14ac:dyDescent="0.2">
      <c r="A274" s="5">
        <v>213</v>
      </c>
      <c r="B274" s="1832">
        <f>'Assets-Liab 5-6'!M17</f>
        <v>27568827</v>
      </c>
      <c r="D274" s="2" t="str">
        <f t="shared" si="3"/>
        <v>Error?</v>
      </c>
    </row>
    <row r="275" spans="1:4" x14ac:dyDescent="0.2">
      <c r="A275" s="5">
        <v>214</v>
      </c>
      <c r="B275" s="1832">
        <f>'Assets-Liab 5-6'!M18</f>
        <v>1702080</v>
      </c>
      <c r="D275" s="2" t="str">
        <f t="shared" si="3"/>
        <v>Error?</v>
      </c>
    </row>
    <row r="276" spans="1:4" x14ac:dyDescent="0.2">
      <c r="A276" s="5">
        <v>215</v>
      </c>
      <c r="B276" s="1832">
        <f>'Assets-Liab 5-6'!M19</f>
        <v>1219275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33500680</v>
      </c>
      <c r="C279" s="2" t="s">
        <v>569</v>
      </c>
      <c r="D279" s="2" t="str">
        <f t="shared" si="3"/>
        <v>Error?</v>
      </c>
    </row>
    <row r="280" spans="1:4" x14ac:dyDescent="0.2">
      <c r="A280" s="5">
        <v>219</v>
      </c>
      <c r="B280" s="1832">
        <f>'Assets-Liab 5-6'!M40</f>
        <v>33500680</v>
      </c>
      <c r="D280" s="2" t="str">
        <f t="shared" si="3"/>
        <v>Error?</v>
      </c>
    </row>
    <row r="281" spans="1:4" x14ac:dyDescent="0.2">
      <c r="A281" s="5">
        <v>220</v>
      </c>
      <c r="B281" s="1832">
        <f>'Assets-Liab 5-6'!M41</f>
        <v>33500680</v>
      </c>
      <c r="C281" s="2" t="s">
        <v>569</v>
      </c>
      <c r="D281" s="2" t="str">
        <f t="shared" si="3"/>
        <v>Error?</v>
      </c>
    </row>
    <row r="282" spans="1:4" x14ac:dyDescent="0.2">
      <c r="A282" s="5">
        <v>221</v>
      </c>
      <c r="B282" s="1832">
        <f>'Assets-Liab 5-6'!N21</f>
        <v>116884</v>
      </c>
      <c r="D282" s="2" t="str">
        <f t="shared" si="3"/>
        <v>Error?</v>
      </c>
    </row>
    <row r="283" spans="1:4" x14ac:dyDescent="0.2">
      <c r="A283" s="5">
        <v>222</v>
      </c>
      <c r="B283" s="1832">
        <f>'Assets-Liab 5-6'!N22</f>
        <v>9020198</v>
      </c>
      <c r="D283" s="2" t="str">
        <f t="shared" si="3"/>
        <v>Error?</v>
      </c>
    </row>
    <row r="284" spans="1:4" x14ac:dyDescent="0.2">
      <c r="A284" s="5">
        <v>223</v>
      </c>
      <c r="B284" s="1832">
        <f>'Assets-Liab 5-6'!N23</f>
        <v>9137082</v>
      </c>
      <c r="C284" s="2" t="s">
        <v>569</v>
      </c>
      <c r="D284" s="2" t="str">
        <f t="shared" si="3"/>
        <v>Error?</v>
      </c>
    </row>
    <row r="285" spans="1:4" x14ac:dyDescent="0.2">
      <c r="A285" s="5">
        <v>224</v>
      </c>
      <c r="B285" s="1832">
        <f>'Assets-Liab 5-6'!N36</f>
        <v>9137082</v>
      </c>
      <c r="D285" s="2" t="str">
        <f t="shared" si="3"/>
        <v>Error?</v>
      </c>
    </row>
    <row r="286" spans="1:4" x14ac:dyDescent="0.2">
      <c r="A286" s="10">
        <v>225</v>
      </c>
      <c r="B286" s="1832"/>
      <c r="D286" s="2" t="str">
        <f t="shared" si="3"/>
        <v>OK</v>
      </c>
    </row>
    <row r="287" spans="1:4" x14ac:dyDescent="0.2">
      <c r="A287" s="5">
        <v>226</v>
      </c>
      <c r="B287" s="1832">
        <f>'Assets-Liab 5-6'!N37</f>
        <v>9137082</v>
      </c>
      <c r="C287" s="2" t="s">
        <v>569</v>
      </c>
      <c r="D287" s="2" t="str">
        <f t="shared" si="3"/>
        <v>Error?</v>
      </c>
    </row>
    <row r="288" spans="1:4" x14ac:dyDescent="0.2">
      <c r="A288" s="5">
        <v>227</v>
      </c>
      <c r="B288" s="1832">
        <f>'Assets-Liab 5-6'!N41</f>
        <v>9137082</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68218</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223643</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872992</v>
      </c>
      <c r="D651" s="2" t="str">
        <f t="shared" si="9"/>
        <v>Error?</v>
      </c>
    </row>
    <row r="652" spans="1:4" x14ac:dyDescent="0.2">
      <c r="A652" s="5">
        <v>591</v>
      </c>
      <c r="B652" s="1832">
        <f>'Acct Summary 7-8'!I34</f>
        <v>17786</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2551465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58263</v>
      </c>
      <c r="D718" s="2" t="str">
        <f t="shared" si="10"/>
        <v>Error?</v>
      </c>
    </row>
    <row r="719" spans="1:4" x14ac:dyDescent="0.2">
      <c r="A719" s="5">
        <v>658</v>
      </c>
      <c r="B719" s="1832">
        <f>'Expenditures 15-22'!C15</f>
        <v>6588</v>
      </c>
      <c r="D719" s="2" t="str">
        <f t="shared" si="10"/>
        <v>Error?</v>
      </c>
    </row>
    <row r="720" spans="1:4" x14ac:dyDescent="0.2">
      <c r="A720" s="5">
        <v>659</v>
      </c>
      <c r="B720" s="1832">
        <f>'Expenditures 15-22'!C33</f>
        <v>3128520</v>
      </c>
      <c r="C720" s="2" t="s">
        <v>569</v>
      </c>
      <c r="D720" s="2" t="str">
        <f t="shared" si="10"/>
        <v>Error?</v>
      </c>
    </row>
    <row r="721" spans="1:4" x14ac:dyDescent="0.2">
      <c r="A721" s="5">
        <v>660</v>
      </c>
      <c r="B721" s="1832">
        <f>'Expenditures 15-22'!C36</f>
        <v>80280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33806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79901</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193987</v>
      </c>
      <c r="C727" s="2" t="s">
        <v>569</v>
      </c>
      <c r="D727" s="2" t="str">
        <f t="shared" si="10"/>
        <v>Error?</v>
      </c>
    </row>
    <row r="728" spans="1:4" x14ac:dyDescent="0.2">
      <c r="A728" s="5">
        <v>667</v>
      </c>
      <c r="B728" s="1832">
        <f>'Expenditures 15-22'!C44</f>
        <v>17794</v>
      </c>
      <c r="D728" s="2" t="str">
        <f t="shared" si="10"/>
        <v>Error?</v>
      </c>
    </row>
    <row r="729" spans="1:4" x14ac:dyDescent="0.2">
      <c r="A729" s="5">
        <v>668</v>
      </c>
      <c r="B729" s="1832">
        <f>'Expenditures 15-22'!C45</f>
        <v>13770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31564</v>
      </c>
      <c r="C731" s="2" t="s">
        <v>569</v>
      </c>
      <c r="D731" s="2" t="str">
        <f t="shared" si="10"/>
        <v>Error?</v>
      </c>
    </row>
    <row r="732" spans="1:4" x14ac:dyDescent="0.2">
      <c r="A732" s="5">
        <v>671</v>
      </c>
      <c r="B732" s="1832">
        <f>'Expenditures 15-22'!C49</f>
        <v>1500</v>
      </c>
      <c r="D732" s="2" t="str">
        <f t="shared" si="10"/>
        <v>Error?</v>
      </c>
    </row>
    <row r="733" spans="1:4" x14ac:dyDescent="0.2">
      <c r="A733" s="5">
        <v>672</v>
      </c>
      <c r="B733" s="1832">
        <f>'Expenditures 15-22'!C50</f>
        <v>173083</v>
      </c>
      <c r="D733" s="2" t="str">
        <f t="shared" si="10"/>
        <v>Error?</v>
      </c>
    </row>
    <row r="734" spans="1:4" x14ac:dyDescent="0.2">
      <c r="A734" s="5">
        <v>673</v>
      </c>
      <c r="B734" s="1832">
        <f>'Expenditures 15-22'!C53</f>
        <v>174583</v>
      </c>
      <c r="C734" s="2" t="s">
        <v>569</v>
      </c>
      <c r="D734" s="2" t="str">
        <f t="shared" si="10"/>
        <v>Error?</v>
      </c>
    </row>
    <row r="735" spans="1:4" x14ac:dyDescent="0.2">
      <c r="A735" s="5">
        <v>674</v>
      </c>
      <c r="B735" s="1832">
        <f>'Expenditures 15-22'!C55</f>
        <v>330863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330863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31989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31989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762986</v>
      </c>
      <c r="C755" s="2" t="s">
        <v>569</v>
      </c>
      <c r="D755" s="2" t="str">
        <f t="shared" si="10"/>
        <v>Error?</v>
      </c>
    </row>
    <row r="756" spans="1:4" x14ac:dyDescent="0.2">
      <c r="A756" s="5">
        <v>695</v>
      </c>
      <c r="B756" s="1832">
        <f>'Expenditures 15-22'!C75</f>
        <v>100787</v>
      </c>
      <c r="D756" s="2" t="str">
        <f t="shared" si="10"/>
        <v>Error?</v>
      </c>
    </row>
    <row r="757" spans="1:4" x14ac:dyDescent="0.2">
      <c r="A757" s="5">
        <v>696</v>
      </c>
      <c r="B757" s="1832">
        <f>'Expenditures 15-22'!C114</f>
        <v>3992293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606283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5579</v>
      </c>
      <c r="D776" s="2" t="str">
        <f t="shared" si="11"/>
        <v>Error?</v>
      </c>
    </row>
    <row r="777" spans="1:4" x14ac:dyDescent="0.2">
      <c r="A777" s="5">
        <v>716</v>
      </c>
      <c r="B777" s="1832">
        <f>'Expenditures 15-22'!D15</f>
        <v>592</v>
      </c>
      <c r="D777" s="2" t="str">
        <f t="shared" si="11"/>
        <v>Error?</v>
      </c>
    </row>
    <row r="778" spans="1:4" x14ac:dyDescent="0.2">
      <c r="A778" s="5">
        <v>717</v>
      </c>
      <c r="B778" s="1832">
        <f>'Expenditures 15-22'!D33</f>
        <v>696479</v>
      </c>
      <c r="C778" s="2" t="s">
        <v>569</v>
      </c>
      <c r="D778" s="2" t="str">
        <f t="shared" si="11"/>
        <v>Error?</v>
      </c>
    </row>
    <row r="779" spans="1:4" x14ac:dyDescent="0.2">
      <c r="A779" s="5">
        <v>718</v>
      </c>
      <c r="B779" s="1832">
        <f>'Expenditures 15-22'!D36</f>
        <v>29831</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19598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49429</v>
      </c>
      <c r="C785" s="2" t="s">
        <v>569</v>
      </c>
      <c r="D785" s="2" t="str">
        <f t="shared" si="11"/>
        <v>Error?</v>
      </c>
    </row>
    <row r="786" spans="1:4" x14ac:dyDescent="0.2">
      <c r="A786" s="5">
        <v>725</v>
      </c>
      <c r="B786" s="1832">
        <f>'Expenditures 15-22'!D44</f>
        <v>1258</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1258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41822</v>
      </c>
      <c r="D791" s="2" t="str">
        <f t="shared" si="11"/>
        <v>Error?</v>
      </c>
    </row>
    <row r="792" spans="1:4" x14ac:dyDescent="0.2">
      <c r="A792" s="5">
        <v>731</v>
      </c>
      <c r="B792" s="1832">
        <f>'Expenditures 15-22'!D53</f>
        <v>41822</v>
      </c>
      <c r="C792" s="2" t="s">
        <v>569</v>
      </c>
      <c r="D792" s="2" t="str">
        <f t="shared" si="11"/>
        <v>Error?</v>
      </c>
    </row>
    <row r="793" spans="1:4" x14ac:dyDescent="0.2">
      <c r="A793" s="5">
        <v>732</v>
      </c>
      <c r="B793" s="1832">
        <f>'Expenditures 15-22'!D55</f>
        <v>86639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86639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5545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5545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184693</v>
      </c>
      <c r="C813" s="2" t="s">
        <v>569</v>
      </c>
      <c r="D813" s="2" t="str">
        <f t="shared" si="11"/>
        <v>Error?</v>
      </c>
    </row>
    <row r="814" spans="1:4" x14ac:dyDescent="0.2">
      <c r="A814" s="5">
        <v>753</v>
      </c>
      <c r="B814" s="1832">
        <f>'Expenditures 15-22'!D75</f>
        <v>4255</v>
      </c>
      <c r="D814" s="2" t="str">
        <f t="shared" si="11"/>
        <v>Error?</v>
      </c>
    </row>
    <row r="815" spans="1:4" x14ac:dyDescent="0.2">
      <c r="A815" s="5">
        <v>754</v>
      </c>
      <c r="B815" s="1832">
        <f>'Expenditures 15-22'!D114</f>
        <v>885427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470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7854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34856</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34856</v>
      </c>
      <c r="C843" s="2" t="s">
        <v>569</v>
      </c>
      <c r="D843" s="2" t="str">
        <f t="shared" si="12"/>
        <v>Error?</v>
      </c>
    </row>
    <row r="844" spans="1:4" x14ac:dyDescent="0.2">
      <c r="A844" s="5">
        <v>783</v>
      </c>
      <c r="B844" s="1832">
        <f>'Expenditures 15-22'!E44</f>
        <v>9331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9331</v>
      </c>
      <c r="C847" s="2" t="s">
        <v>569</v>
      </c>
      <c r="D847" s="2" t="str">
        <f t="shared" si="12"/>
        <v>Error?</v>
      </c>
    </row>
    <row r="848" spans="1:4" x14ac:dyDescent="0.2">
      <c r="A848" s="5">
        <v>787</v>
      </c>
      <c r="B848" s="1832">
        <f>'Expenditures 15-22'!E49</f>
        <v>18480</v>
      </c>
      <c r="D848" s="2" t="str">
        <f t="shared" si="12"/>
        <v>Error?</v>
      </c>
    </row>
    <row r="849" spans="1:4" x14ac:dyDescent="0.2">
      <c r="A849" s="5">
        <v>788</v>
      </c>
      <c r="B849" s="1832">
        <f>'Expenditures 15-22'!E50</f>
        <v>1474</v>
      </c>
      <c r="D849" s="2" t="str">
        <f t="shared" si="12"/>
        <v>Error?</v>
      </c>
    </row>
    <row r="850" spans="1:4" x14ac:dyDescent="0.2">
      <c r="A850" s="5">
        <v>789</v>
      </c>
      <c r="B850" s="1832">
        <f>'Expenditures 15-22'!E53</f>
        <v>19954</v>
      </c>
      <c r="C850" s="2" t="s">
        <v>569</v>
      </c>
      <c r="D850" s="2" t="str">
        <f t="shared" si="12"/>
        <v>Error?</v>
      </c>
    </row>
    <row r="851" spans="1:4" x14ac:dyDescent="0.2">
      <c r="A851" s="5">
        <v>790</v>
      </c>
      <c r="B851" s="1832">
        <f>'Expenditures 15-22'!E55</f>
        <v>26477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26477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138434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138434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229052</v>
      </c>
      <c r="C871" s="2" t="s">
        <v>569</v>
      </c>
      <c r="D871" s="2" t="str">
        <f t="shared" si="12"/>
        <v>Error?</v>
      </c>
    </row>
    <row r="872" spans="1:4" x14ac:dyDescent="0.2">
      <c r="A872" s="5">
        <v>811</v>
      </c>
      <c r="B872" s="1832">
        <f>'Expenditures 15-22'!E75</f>
        <v>1554</v>
      </c>
      <c r="D872" s="2" t="str">
        <f t="shared" si="12"/>
        <v>Error?</v>
      </c>
    </row>
    <row r="873" spans="1:4" x14ac:dyDescent="0.2">
      <c r="A873" s="5">
        <v>812</v>
      </c>
      <c r="B873" s="1832">
        <f>'Expenditures 15-22'!E114</f>
        <v>283803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99902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101197</v>
      </c>
      <c r="C894" s="2" t="s">
        <v>569</v>
      </c>
      <c r="D894" s="2" t="str">
        <f t="shared" si="12"/>
        <v>Error?</v>
      </c>
    </row>
    <row r="895" spans="1:4" x14ac:dyDescent="0.2">
      <c r="A895" s="5">
        <v>834</v>
      </c>
      <c r="B895" s="1832">
        <f>'Expenditures 15-22'!F36</f>
        <v>100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2584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2684</v>
      </c>
      <c r="C901" s="2" t="s">
        <v>569</v>
      </c>
      <c r="D901" s="2" t="str">
        <f t="shared" si="13"/>
        <v>Error?</v>
      </c>
    </row>
    <row r="902" spans="1:4" x14ac:dyDescent="0.2">
      <c r="A902" s="5">
        <v>841</v>
      </c>
      <c r="B902" s="1832">
        <f>'Expenditures 15-22'!F44</f>
        <v>10834</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10834</v>
      </c>
      <c r="C905" s="2" t="s">
        <v>569</v>
      </c>
      <c r="D905" s="2" t="str">
        <f t="shared" si="13"/>
        <v>Error?</v>
      </c>
    </row>
    <row r="906" spans="1:4" x14ac:dyDescent="0.2">
      <c r="A906" s="5">
        <v>845</v>
      </c>
      <c r="B906" s="1832">
        <f>'Expenditures 15-22'!F49</f>
        <v>12373</v>
      </c>
      <c r="D906" s="2" t="str">
        <f t="shared" si="13"/>
        <v>Error?</v>
      </c>
    </row>
    <row r="907" spans="1:4" x14ac:dyDescent="0.2">
      <c r="A907" s="5">
        <v>846</v>
      </c>
      <c r="B907" s="1832">
        <f>'Expenditures 15-22'!F50</f>
        <v>1678</v>
      </c>
      <c r="D907" s="2" t="str">
        <f t="shared" si="13"/>
        <v>Error?</v>
      </c>
    </row>
    <row r="908" spans="1:4" x14ac:dyDescent="0.2">
      <c r="A908" s="5">
        <v>847</v>
      </c>
      <c r="B908" s="1832">
        <f>'Expenditures 15-22'!F53</f>
        <v>14051</v>
      </c>
      <c r="C908" s="2" t="s">
        <v>569</v>
      </c>
      <c r="D908" s="2" t="str">
        <f t="shared" si="13"/>
        <v>Error?</v>
      </c>
    </row>
    <row r="909" spans="1:4" x14ac:dyDescent="0.2">
      <c r="A909" s="5">
        <v>848</v>
      </c>
      <c r="B909" s="1832">
        <f>'Expenditures 15-22'!F55</f>
        <v>7659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7659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1424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1931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3355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38583</v>
      </c>
      <c r="C929" s="2" t="s">
        <v>569</v>
      </c>
      <c r="D929" s="2" t="str">
        <f t="shared" si="13"/>
        <v>Error?</v>
      </c>
    </row>
    <row r="930" spans="1:4" x14ac:dyDescent="0.2">
      <c r="A930" s="5">
        <v>869</v>
      </c>
      <c r="B930" s="1832">
        <f>'Expenditures 15-22'!F75</f>
        <v>11231</v>
      </c>
      <c r="D930" s="2" t="str">
        <f t="shared" si="13"/>
        <v>Error?</v>
      </c>
    </row>
    <row r="931" spans="1:4" x14ac:dyDescent="0.2">
      <c r="A931" s="5">
        <v>870</v>
      </c>
      <c r="B931" s="1832">
        <f>'Expenditures 15-22'!F114</f>
        <v>151011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97465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97465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1904</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1904</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1904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99369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9771</v>
      </c>
      <c r="D1022" s="2" t="str">
        <f t="shared" si="14"/>
        <v>Error?</v>
      </c>
    </row>
    <row r="1023" spans="1:4" x14ac:dyDescent="0.2">
      <c r="A1023" s="5">
        <v>962</v>
      </c>
      <c r="B1023" s="1832">
        <f>'Expenditures 15-22'!H50</f>
        <v>1063</v>
      </c>
      <c r="D1023" s="2" t="str">
        <f t="shared" ref="D1023:D1086" si="15">IF(ISBLANK(B1023),"OK",IF(A1023-B1023=0,"OK","Error?"))</f>
        <v>Error?</v>
      </c>
    </row>
    <row r="1024" spans="1:4" x14ac:dyDescent="0.2">
      <c r="A1024" s="5">
        <v>963</v>
      </c>
      <c r="B1024" s="1832">
        <f>'Expenditures 15-22'!H53</f>
        <v>10834</v>
      </c>
      <c r="C1024" s="2" t="s">
        <v>569</v>
      </c>
      <c r="D1024" s="2" t="str">
        <f t="shared" si="15"/>
        <v>Error?</v>
      </c>
    </row>
    <row r="1025" spans="1:4" x14ac:dyDescent="0.2">
      <c r="A1025" s="5">
        <v>964</v>
      </c>
      <c r="B1025" s="1832">
        <f>'Expenditures 15-22'!H55</f>
        <v>1328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1328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12162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375633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387795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3356559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63842</v>
      </c>
      <c r="C1106" s="2" t="s">
        <v>569</v>
      </c>
      <c r="D1106" s="2" t="str">
        <f t="shared" si="16"/>
        <v>Error?</v>
      </c>
    </row>
    <row r="1107" spans="1:4" x14ac:dyDescent="0.2">
      <c r="A1107" s="5">
        <v>1046</v>
      </c>
      <c r="B1107" s="1832">
        <f>'Expenditures 15-22'!K15</f>
        <v>7180</v>
      </c>
      <c r="C1107" s="2" t="s">
        <v>569</v>
      </c>
      <c r="D1107" s="2" t="str">
        <f t="shared" si="16"/>
        <v>Error?</v>
      </c>
    </row>
    <row r="1108" spans="1:4" x14ac:dyDescent="0.2">
      <c r="A1108" s="5">
        <v>1047</v>
      </c>
      <c r="B1108" s="1832">
        <f>'Expenditures 15-22'!K33</f>
        <v>4032489</v>
      </c>
      <c r="C1108" s="2" t="s">
        <v>569</v>
      </c>
      <c r="D1108" s="2" t="str">
        <f t="shared" si="16"/>
        <v>Error?</v>
      </c>
    </row>
    <row r="1109" spans="1:4" x14ac:dyDescent="0.2">
      <c r="A1109" s="5">
        <v>1048</v>
      </c>
      <c r="B1109" s="1832">
        <f>'Expenditures 15-22'!K36</f>
        <v>110211</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71246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99499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280956</v>
      </c>
      <c r="C1115" s="2" t="s">
        <v>569</v>
      </c>
      <c r="D1115" s="2" t="str">
        <f t="shared" si="16"/>
        <v>Error?</v>
      </c>
    </row>
    <row r="1116" spans="1:4" x14ac:dyDescent="0.2">
      <c r="A1116" s="5">
        <v>1055</v>
      </c>
      <c r="B1116" s="1832">
        <f>'Expenditures 15-22'!K44</f>
        <v>39217</v>
      </c>
      <c r="C1116" s="2" t="s">
        <v>569</v>
      </c>
      <c r="D1116" s="2" t="str">
        <f t="shared" si="16"/>
        <v>Error?</v>
      </c>
    </row>
    <row r="1117" spans="1:4" x14ac:dyDescent="0.2">
      <c r="A1117" s="5">
        <v>1056</v>
      </c>
      <c r="B1117" s="1832">
        <f>'Expenditures 15-22'!K45</f>
        <v>13770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52987</v>
      </c>
      <c r="C1119" s="2" t="s">
        <v>569</v>
      </c>
      <c r="D1119" s="2" t="str">
        <f t="shared" si="16"/>
        <v>Error?</v>
      </c>
    </row>
    <row r="1120" spans="1:4" x14ac:dyDescent="0.2">
      <c r="A1120" s="5">
        <v>1059</v>
      </c>
      <c r="B1120" s="1832">
        <f>'Expenditures 15-22'!K49</f>
        <v>42124</v>
      </c>
      <c r="C1120" s="2" t="s">
        <v>569</v>
      </c>
      <c r="D1120" s="2" t="str">
        <f t="shared" si="16"/>
        <v>Error?</v>
      </c>
    </row>
    <row r="1121" spans="1:4" x14ac:dyDescent="0.2">
      <c r="A1121" s="5">
        <v>1060</v>
      </c>
      <c r="B1121" s="1832">
        <f>'Expenditures 15-22'!K50</f>
        <v>219120</v>
      </c>
      <c r="C1121" s="2" t="s">
        <v>569</v>
      </c>
      <c r="D1121" s="2" t="str">
        <f t="shared" si="16"/>
        <v>Error?</v>
      </c>
    </row>
    <row r="1122" spans="1:4" x14ac:dyDescent="0.2">
      <c r="A1122" s="5">
        <v>1061</v>
      </c>
      <c r="B1122" s="1832">
        <f>'Expenditures 15-22'!K53</f>
        <v>261244</v>
      </c>
      <c r="C1122" s="2" t="s">
        <v>569</v>
      </c>
      <c r="D1122" s="2" t="str">
        <f t="shared" si="16"/>
        <v>Error?</v>
      </c>
    </row>
    <row r="1123" spans="1:4" x14ac:dyDescent="0.2">
      <c r="A1123" s="5">
        <v>1062</v>
      </c>
      <c r="B1123" s="1832">
        <f>'Expenditures 15-22'!K55</f>
        <v>455040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455040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38958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140365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179323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1229550</v>
      </c>
      <c r="C1143" s="2" t="s">
        <v>569</v>
      </c>
      <c r="D1143" s="2" t="str">
        <f t="shared" si="16"/>
        <v>Error?</v>
      </c>
    </row>
    <row r="1144" spans="1:4" x14ac:dyDescent="0.2">
      <c r="A1144" s="5">
        <v>1083</v>
      </c>
      <c r="B1144" s="1832">
        <f>'Expenditures 15-22'!K75</f>
        <v>117827</v>
      </c>
      <c r="C1144" s="2" t="s">
        <v>569</v>
      </c>
      <c r="D1144" s="2" t="str">
        <f t="shared" si="16"/>
        <v>Error?</v>
      </c>
    </row>
    <row r="1145" spans="1:4" x14ac:dyDescent="0.2">
      <c r="A1145" s="5">
        <v>1084</v>
      </c>
      <c r="B1145" s="1832">
        <f>'Expenditures 15-22'!K102</f>
        <v>420976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5800842</v>
      </c>
      <c r="C1152" s="2" t="s">
        <v>569</v>
      </c>
      <c r="D1152" s="2" t="str">
        <f t="shared" si="17"/>
        <v>Error?</v>
      </c>
    </row>
    <row r="1153" spans="1:4" x14ac:dyDescent="0.2">
      <c r="A1153" s="5">
        <v>1092</v>
      </c>
      <c r="B1153" s="1832">
        <f>'Expenditures 15-22'!K115</f>
        <v>-404434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293141</v>
      </c>
      <c r="D1221" s="2" t="str">
        <f t="shared" si="18"/>
        <v>Error?</v>
      </c>
    </row>
    <row r="1222" spans="1:4" x14ac:dyDescent="0.2">
      <c r="A1222" s="10">
        <v>1161</v>
      </c>
      <c r="B1222" s="1832"/>
      <c r="D1222" s="2" t="str">
        <f t="shared" si="18"/>
        <v>OK</v>
      </c>
    </row>
    <row r="1223" spans="1:4" x14ac:dyDescent="0.2">
      <c r="A1223" s="5">
        <v>1162</v>
      </c>
      <c r="B1223" s="1832">
        <f>'Expenditures 15-22'!C127</f>
        <v>293141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293141</v>
      </c>
      <c r="C1225" s="2" t="s">
        <v>569</v>
      </c>
      <c r="D1225" s="2" t="str">
        <f t="shared" si="18"/>
        <v>Error?</v>
      </c>
    </row>
    <row r="1226" spans="1:4" x14ac:dyDescent="0.2">
      <c r="A1226" s="5">
        <v>1165</v>
      </c>
      <c r="B1226" s="1832">
        <f>'Expenditures 15-22'!C151</f>
        <v>293141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52481</v>
      </c>
      <c r="D1229" s="2" t="str">
        <f t="shared" si="18"/>
        <v>Error?</v>
      </c>
    </row>
    <row r="1230" spans="1:4" x14ac:dyDescent="0.2">
      <c r="A1230" s="10">
        <v>1169</v>
      </c>
      <c r="B1230" s="1832"/>
      <c r="D1230" s="2" t="str">
        <f t="shared" si="18"/>
        <v>OK</v>
      </c>
    </row>
    <row r="1231" spans="1:4" x14ac:dyDescent="0.2">
      <c r="A1231" s="5">
        <v>1170</v>
      </c>
      <c r="B1231" s="1832">
        <f>'Expenditures 15-22'!D127</f>
        <v>52481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52481</v>
      </c>
      <c r="C1233" s="2" t="s">
        <v>569</v>
      </c>
      <c r="D1233" s="2" t="str">
        <f t="shared" si="18"/>
        <v>Error?</v>
      </c>
    </row>
    <row r="1234" spans="1:4" x14ac:dyDescent="0.2">
      <c r="A1234" s="5">
        <v>1173</v>
      </c>
      <c r="B1234" s="1832">
        <f>'Expenditures 15-22'!D151</f>
        <v>52481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307535</v>
      </c>
      <c r="D1237" s="2" t="str">
        <f t="shared" si="18"/>
        <v>Error?</v>
      </c>
    </row>
    <row r="1238" spans="1:4" x14ac:dyDescent="0.2">
      <c r="A1238" s="10">
        <v>1177</v>
      </c>
      <c r="B1238" s="1832"/>
      <c r="D1238" s="2" t="str">
        <f t="shared" si="18"/>
        <v>OK</v>
      </c>
    </row>
    <row r="1239" spans="1:4" x14ac:dyDescent="0.2">
      <c r="A1239" s="5">
        <v>1178</v>
      </c>
      <c r="B1239" s="1832">
        <f>'Expenditures 15-22'!E127</f>
        <v>307535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307535</v>
      </c>
      <c r="C1241" s="2" t="s">
        <v>569</v>
      </c>
      <c r="D1241" s="2" t="str">
        <f t="shared" si="18"/>
        <v>Error?</v>
      </c>
    </row>
    <row r="1242" spans="1:4" x14ac:dyDescent="0.2">
      <c r="A1242" s="5">
        <v>1181</v>
      </c>
      <c r="B1242" s="1832">
        <f>'Expenditures 15-22'!E151</f>
        <v>307535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229832</v>
      </c>
      <c r="D1245" s="2" t="str">
        <f t="shared" si="18"/>
        <v>Error?</v>
      </c>
    </row>
    <row r="1246" spans="1:4" x14ac:dyDescent="0.2">
      <c r="A1246" s="10">
        <v>1185</v>
      </c>
      <c r="B1246" s="1832"/>
      <c r="D1246" s="2" t="str">
        <f t="shared" si="18"/>
        <v>OK</v>
      </c>
    </row>
    <row r="1247" spans="1:4" x14ac:dyDescent="0.2">
      <c r="A1247" s="5">
        <v>1186</v>
      </c>
      <c r="B1247" s="1832">
        <f>'Expenditures 15-22'!F127</f>
        <v>229832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229832</v>
      </c>
      <c r="C1249" s="2" t="s">
        <v>569</v>
      </c>
      <c r="D1249" s="2" t="str">
        <f t="shared" si="18"/>
        <v>Error?</v>
      </c>
    </row>
    <row r="1250" spans="1:4" x14ac:dyDescent="0.2">
      <c r="A1250" s="5">
        <v>1189</v>
      </c>
      <c r="B1250" s="1832">
        <f>'Expenditures 15-22'!F151</f>
        <v>229832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48209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48209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48209</v>
      </c>
      <c r="C1258" s="2" t="s">
        <v>569</v>
      </c>
      <c r="D1258" s="2" t="str">
        <f t="shared" si="18"/>
        <v>Error?</v>
      </c>
    </row>
    <row r="1259" spans="1:4" x14ac:dyDescent="0.2">
      <c r="A1259" s="5">
        <v>1198</v>
      </c>
      <c r="B1259" s="1832">
        <f>'Expenditures 15-22'!G151</f>
        <v>48209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931198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931198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931198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931198</v>
      </c>
      <c r="C1288" s="2" t="s">
        <v>569</v>
      </c>
      <c r="D1288" s="2" t="str">
        <f t="shared" si="19"/>
        <v>Error?</v>
      </c>
    </row>
    <row r="1289" spans="1:4" x14ac:dyDescent="0.2">
      <c r="A1289" s="5">
        <v>1228</v>
      </c>
      <c r="B1289" s="1832">
        <f>'Expenditures 15-22'!K152</f>
        <v>94654</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213</v>
      </c>
      <c r="D1307" s="2" t="str">
        <f t="shared" si="19"/>
        <v>Error?</v>
      </c>
    </row>
    <row r="1308" spans="1:4" x14ac:dyDescent="0.2">
      <c r="A1308" s="5">
        <v>1247</v>
      </c>
      <c r="B1308" s="1832">
        <f>'Expenditures 15-22'!E172</f>
        <v>213</v>
      </c>
      <c r="C1308" s="2" t="s">
        <v>569</v>
      </c>
      <c r="D1308" s="2" t="str">
        <f t="shared" si="19"/>
        <v>Error?</v>
      </c>
    </row>
    <row r="1309" spans="1:4" x14ac:dyDescent="0.2">
      <c r="A1309" s="5">
        <v>1248</v>
      </c>
      <c r="B1309" s="1832">
        <f>'Expenditures 15-22'!E174</f>
        <v>213</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282419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1816128</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2098547</v>
      </c>
      <c r="C1317" s="2" t="s">
        <v>569</v>
      </c>
      <c r="D1317" s="2" t="str">
        <f t="shared" si="19"/>
        <v>Error?</v>
      </c>
    </row>
    <row r="1318" spans="1:4" x14ac:dyDescent="0.2">
      <c r="A1318" s="5">
        <v>1257</v>
      </c>
      <c r="B1318" s="1832">
        <f>'Expenditures 15-22'!H174</f>
        <v>2098547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282419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1816128</v>
      </c>
      <c r="C1329" s="2" t="s">
        <v>569</v>
      </c>
      <c r="D1329" s="2" t="str">
        <f t="shared" si="19"/>
        <v>Error?</v>
      </c>
    </row>
    <row r="1330" spans="1:4" x14ac:dyDescent="0.2">
      <c r="A1330" s="5">
        <v>1269</v>
      </c>
      <c r="B1330" s="1832">
        <f>'Expenditures 15-22'!K171</f>
        <v>213</v>
      </c>
      <c r="C1330" s="2" t="s">
        <v>569</v>
      </c>
      <c r="D1330" s="2" t="str">
        <f t="shared" si="19"/>
        <v>Error?</v>
      </c>
    </row>
    <row r="1331" spans="1:4" x14ac:dyDescent="0.2">
      <c r="A1331" s="5">
        <v>1270</v>
      </c>
      <c r="B1331" s="1832">
        <f>'Expenditures 15-22'!K172</f>
        <v>2098760</v>
      </c>
      <c r="C1331" s="2" t="s">
        <v>569</v>
      </c>
      <c r="D1331" s="2" t="str">
        <f t="shared" si="19"/>
        <v>Error?</v>
      </c>
    </row>
    <row r="1332" spans="1:4" x14ac:dyDescent="0.2">
      <c r="A1332" s="5">
        <v>1271</v>
      </c>
      <c r="B1332" s="1832">
        <f>'Expenditures 15-22'!K174</f>
        <v>2098760</v>
      </c>
      <c r="C1332" s="2" t="s">
        <v>569</v>
      </c>
      <c r="D1332" s="2" t="str">
        <f t="shared" si="19"/>
        <v>Error?</v>
      </c>
    </row>
    <row r="1333" spans="1:4" x14ac:dyDescent="0.2">
      <c r="A1333" s="5">
        <v>1272</v>
      </c>
      <c r="B1333" s="1832">
        <f>'Expenditures 15-22'!K175</f>
        <v>-256102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329707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329707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329707</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329707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329707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329707</v>
      </c>
      <c r="C1388" s="2" t="s">
        <v>569</v>
      </c>
      <c r="D1388" s="2" t="str">
        <f t="shared" si="20"/>
        <v>Error?</v>
      </c>
    </row>
    <row r="1389" spans="1:4" x14ac:dyDescent="0.2">
      <c r="A1389" s="5">
        <v>1328</v>
      </c>
      <c r="B1389" s="1832">
        <f>'Expenditures 15-22'!K211</f>
        <v>43597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2160</v>
      </c>
      <c r="D1408" s="2" t="str">
        <f t="shared" si="21"/>
        <v>Error?</v>
      </c>
    </row>
    <row r="1409" spans="1:4" x14ac:dyDescent="0.2">
      <c r="A1409" s="5">
        <v>1348</v>
      </c>
      <c r="B1409" s="1832">
        <f>'Expenditures 15-22'!D224</f>
        <v>217</v>
      </c>
      <c r="D1409" s="2" t="str">
        <f t="shared" si="21"/>
        <v>Error?</v>
      </c>
    </row>
    <row r="1410" spans="1:4" x14ac:dyDescent="0.2">
      <c r="A1410" s="5">
        <v>1349</v>
      </c>
      <c r="B1410" s="1832">
        <f>'Expenditures 15-22'!D229</f>
        <v>92260</v>
      </c>
      <c r="C1410" s="2" t="s">
        <v>569</v>
      </c>
      <c r="D1410" s="2" t="str">
        <f t="shared" si="21"/>
        <v>Error?</v>
      </c>
    </row>
    <row r="1411" spans="1:4" x14ac:dyDescent="0.2">
      <c r="A1411" s="5">
        <v>1350</v>
      </c>
      <c r="B1411" s="1832">
        <f>'Expenditures 15-22'!D232</f>
        <v>1041</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5719</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1029</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7789</v>
      </c>
      <c r="C1417" s="2" t="s">
        <v>569</v>
      </c>
      <c r="D1417" s="2" t="str">
        <f t="shared" si="21"/>
        <v>Error?</v>
      </c>
    </row>
    <row r="1418" spans="1:4" x14ac:dyDescent="0.2">
      <c r="A1418" s="5">
        <v>1357</v>
      </c>
      <c r="B1418" s="1832">
        <f>'Expenditures 15-22'!D240</f>
        <v>2101</v>
      </c>
      <c r="D1418" s="2" t="str">
        <f t="shared" si="21"/>
        <v>Error?</v>
      </c>
    </row>
    <row r="1419" spans="1:4" x14ac:dyDescent="0.2">
      <c r="A1419" s="5">
        <v>1358</v>
      </c>
      <c r="B1419" s="1832">
        <f>'Expenditures 15-22'!D241</f>
        <v>2349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4450</v>
      </c>
      <c r="C1421" s="2" t="s">
        <v>569</v>
      </c>
      <c r="D1421" s="2" t="str">
        <f t="shared" si="21"/>
        <v>Error?</v>
      </c>
    </row>
    <row r="1422" spans="1:4" x14ac:dyDescent="0.2">
      <c r="A1422" s="5">
        <v>1361</v>
      </c>
      <c r="B1422" s="1832">
        <f>'Expenditures 15-22'!D245</f>
        <v>115</v>
      </c>
      <c r="D1422" s="2" t="str">
        <f t="shared" si="21"/>
        <v>Error?</v>
      </c>
    </row>
    <row r="1423" spans="1:4" x14ac:dyDescent="0.2">
      <c r="A1423" s="5">
        <v>1362</v>
      </c>
      <c r="B1423" s="1832">
        <f>'Expenditures 15-22'!D246</f>
        <v>9804</v>
      </c>
      <c r="D1423" s="2" t="str">
        <f t="shared" si="21"/>
        <v>Error?</v>
      </c>
    </row>
    <row r="1424" spans="1:4" x14ac:dyDescent="0.2">
      <c r="A1424" s="5">
        <v>1363</v>
      </c>
      <c r="B1424" s="1832">
        <f>'Expenditures 15-22'!D257</f>
        <v>16980</v>
      </c>
      <c r="C1424" s="2" t="s">
        <v>569</v>
      </c>
      <c r="D1424" s="2" t="str">
        <f t="shared" si="21"/>
        <v>Error?</v>
      </c>
    </row>
    <row r="1425" spans="1:4" x14ac:dyDescent="0.2">
      <c r="A1425" s="5">
        <v>1364</v>
      </c>
      <c r="B1425" s="1832">
        <f>'Expenditures 15-22'!D259</f>
        <v>17131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17131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5555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47962</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53517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99867</v>
      </c>
      <c r="C1446" s="2" t="s">
        <v>569</v>
      </c>
      <c r="D1446" s="2" t="str">
        <f t="shared" si="21"/>
        <v>Error?</v>
      </c>
    </row>
    <row r="1447" spans="1:4" x14ac:dyDescent="0.2">
      <c r="A1447" s="5">
        <v>1386</v>
      </c>
      <c r="B1447" s="1832">
        <f>'Expenditures 15-22'!D280</f>
        <v>11057</v>
      </c>
      <c r="D1447" s="2" t="str">
        <f t="shared" si="21"/>
        <v>Error?</v>
      </c>
    </row>
    <row r="1448" spans="1:4" x14ac:dyDescent="0.2">
      <c r="A1448" s="5">
        <v>1387</v>
      </c>
      <c r="B1448" s="1832">
        <f>'Expenditures 15-22'!D295</f>
        <v>203304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2160</v>
      </c>
      <c r="C1472" s="2" t="s">
        <v>569</v>
      </c>
      <c r="D1472" s="2" t="str">
        <f t="shared" si="22"/>
        <v>Error?</v>
      </c>
    </row>
    <row r="1473" spans="1:4" x14ac:dyDescent="0.2">
      <c r="A1473" s="5">
        <v>1412</v>
      </c>
      <c r="B1473" s="1832">
        <f>'Expenditures 15-22'!K224</f>
        <v>217</v>
      </c>
      <c r="C1473" s="2" t="s">
        <v>569</v>
      </c>
      <c r="D1473" s="2" t="str">
        <f t="shared" si="22"/>
        <v>Error?</v>
      </c>
    </row>
    <row r="1474" spans="1:4" x14ac:dyDescent="0.2">
      <c r="A1474" s="5">
        <v>1413</v>
      </c>
      <c r="B1474" s="1832">
        <f>'Expenditures 15-22'!K229</f>
        <v>92260</v>
      </c>
      <c r="C1474" s="2" t="s">
        <v>569</v>
      </c>
      <c r="D1474" s="2" t="str">
        <f t="shared" si="22"/>
        <v>Error?</v>
      </c>
    </row>
    <row r="1475" spans="1:4" x14ac:dyDescent="0.2">
      <c r="A1475" s="5">
        <v>1414</v>
      </c>
      <c r="B1475" s="1832">
        <f>'Expenditures 15-22'!K232</f>
        <v>1041</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5719</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1029</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7789</v>
      </c>
      <c r="C1481" s="2" t="s">
        <v>569</v>
      </c>
      <c r="D1481" s="2" t="str">
        <f t="shared" si="22"/>
        <v>Error?</v>
      </c>
    </row>
    <row r="1482" spans="1:4" x14ac:dyDescent="0.2">
      <c r="A1482" s="5">
        <v>1421</v>
      </c>
      <c r="B1482" s="1832">
        <f>'Expenditures 15-22'!K240</f>
        <v>2101</v>
      </c>
      <c r="C1482" s="2" t="s">
        <v>569</v>
      </c>
      <c r="D1482" s="2" t="str">
        <f t="shared" si="22"/>
        <v>Error?</v>
      </c>
    </row>
    <row r="1483" spans="1:4" x14ac:dyDescent="0.2">
      <c r="A1483" s="5">
        <v>1422</v>
      </c>
      <c r="B1483" s="1832">
        <f>'Expenditures 15-22'!K241</f>
        <v>2349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4450</v>
      </c>
      <c r="C1485" s="2" t="s">
        <v>569</v>
      </c>
      <c r="D1485" s="2" t="str">
        <f t="shared" si="22"/>
        <v>Error?</v>
      </c>
    </row>
    <row r="1486" spans="1:4" x14ac:dyDescent="0.2">
      <c r="A1486" s="5">
        <v>1425</v>
      </c>
      <c r="B1486" s="1832">
        <f>'Expenditures 15-22'!K245</f>
        <v>115</v>
      </c>
      <c r="C1486" s="2" t="s">
        <v>569</v>
      </c>
      <c r="D1486" s="2" t="str">
        <f t="shared" si="22"/>
        <v>Error?</v>
      </c>
    </row>
    <row r="1487" spans="1:4" x14ac:dyDescent="0.2">
      <c r="A1487" s="5">
        <v>1426</v>
      </c>
      <c r="B1487" s="1832">
        <f>'Expenditures 15-22'!K246</f>
        <v>9804</v>
      </c>
      <c r="C1487" s="2" t="s">
        <v>569</v>
      </c>
      <c r="D1487" s="2" t="str">
        <f t="shared" si="22"/>
        <v>Error?</v>
      </c>
    </row>
    <row r="1488" spans="1:4" x14ac:dyDescent="0.2">
      <c r="A1488" s="5">
        <v>1427</v>
      </c>
      <c r="B1488" s="1832">
        <f>'Expenditures 15-22'!K257</f>
        <v>16980</v>
      </c>
      <c r="C1488" s="2" t="s">
        <v>569</v>
      </c>
      <c r="D1488" s="2" t="str">
        <f t="shared" si="22"/>
        <v>Error?</v>
      </c>
    </row>
    <row r="1489" spans="1:4" x14ac:dyDescent="0.2">
      <c r="A1489" s="5">
        <v>1428</v>
      </c>
      <c r="B1489" s="1832">
        <f>'Expenditures 15-22'!K259</f>
        <v>17131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17131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5555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47962</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53517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99867</v>
      </c>
      <c r="C1510" s="2" t="s">
        <v>569</v>
      </c>
      <c r="D1510" s="2" t="str">
        <f t="shared" si="22"/>
        <v>Error?</v>
      </c>
    </row>
    <row r="1511" spans="1:4" x14ac:dyDescent="0.2">
      <c r="A1511" s="5">
        <v>1450</v>
      </c>
      <c r="B1511" s="1832">
        <f>'Expenditures 15-22'!K280</f>
        <v>11057</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203304</v>
      </c>
      <c r="C1517" s="2" t="s">
        <v>569</v>
      </c>
      <c r="D1517" s="2" t="str">
        <f t="shared" si="22"/>
        <v>Error?</v>
      </c>
    </row>
    <row r="1518" spans="1:4" x14ac:dyDescent="0.2">
      <c r="A1518" s="5">
        <v>1457</v>
      </c>
      <c r="B1518" s="1832">
        <f>'Expenditures 15-22'!K296</f>
        <v>-57622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2616609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2616609</v>
      </c>
      <c r="C1547" s="2" t="s">
        <v>569</v>
      </c>
      <c r="D1547" s="2" t="str">
        <f t="shared" si="23"/>
        <v>Error?</v>
      </c>
    </row>
    <row r="1548" spans="1:4" x14ac:dyDescent="0.2">
      <c r="A1548" s="5">
        <v>1487</v>
      </c>
      <c r="B1548" s="1832">
        <f>'Expenditures 15-22'!G312</f>
        <v>2616609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2616609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2616609</v>
      </c>
      <c r="C1559" s="2" t="s">
        <v>569</v>
      </c>
      <c r="D1559" s="2" t="str">
        <f t="shared" si="23"/>
        <v>Error?</v>
      </c>
    </row>
    <row r="1560" spans="1:4" x14ac:dyDescent="0.2">
      <c r="A1560" s="5">
        <v>1499</v>
      </c>
      <c r="B1560" s="1832">
        <f>'Expenditures 15-22'!K312</f>
        <v>2616609</v>
      </c>
      <c r="C1560" s="2" t="s">
        <v>569</v>
      </c>
      <c r="D1560" s="2" t="str">
        <f t="shared" si="23"/>
        <v>Error?</v>
      </c>
    </row>
    <row r="1561" spans="1:4" x14ac:dyDescent="0.2">
      <c r="A1561" s="5">
        <v>1500</v>
      </c>
      <c r="B1561" s="1832">
        <f>'Expenditures 15-22'!K313</f>
        <v>497654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73405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63061</v>
      </c>
      <c r="C1630" s="2" t="s">
        <v>569</v>
      </c>
      <c r="D1630" s="2" t="str">
        <f t="shared" si="24"/>
        <v>Error?</v>
      </c>
    </row>
    <row r="1631" spans="1:4" x14ac:dyDescent="0.2">
      <c r="A1631" s="5">
        <v>1570</v>
      </c>
      <c r="B1631" s="1832">
        <f>'Acct Summary 7-8'!D79</f>
        <v>1666439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3261093</v>
      </c>
      <c r="C1644" s="2" t="s">
        <v>569</v>
      </c>
      <c r="D1644" s="2" t="str">
        <f t="shared" si="24"/>
        <v>Error?</v>
      </c>
    </row>
    <row r="1645" spans="1:4" x14ac:dyDescent="0.2">
      <c r="A1645" s="5">
        <v>1584</v>
      </c>
      <c r="B1645" s="1832">
        <f>'Acct Summary 7-8'!E79</f>
        <v>125215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116884</v>
      </c>
      <c r="C1658" s="2" t="s">
        <v>569</v>
      </c>
      <c r="D1658" s="2" t="str">
        <f t="shared" si="24"/>
        <v>Error?</v>
      </c>
    </row>
    <row r="1659" spans="1:4" x14ac:dyDescent="0.2">
      <c r="A1659" s="5">
        <v>1598</v>
      </c>
      <c r="B1659" s="1832">
        <f>'Acct Summary 7-8'!F79</f>
        <v>499590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543187</v>
      </c>
      <c r="C1672" s="2" t="s">
        <v>569</v>
      </c>
      <c r="D1672" s="2" t="str">
        <f t="shared" si="25"/>
        <v>Error?</v>
      </c>
    </row>
    <row r="1673" spans="1:4" x14ac:dyDescent="0.2">
      <c r="A1673" s="5">
        <v>1612</v>
      </c>
      <c r="B1673" s="1832">
        <f>'Acct Summary 7-8'!G79</f>
        <v>219849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162227</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1360693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3178830</v>
      </c>
      <c r="C1744" s="2" t="s">
        <v>569</v>
      </c>
      <c r="D1744" s="2" t="str">
        <f t="shared" si="26"/>
        <v>Error?</v>
      </c>
    </row>
    <row r="1745" spans="1:5" x14ac:dyDescent="0.2">
      <c r="A1745" s="5">
        <v>1684</v>
      </c>
      <c r="B1745" s="1832">
        <f>'Tax Sched 23'!B5</f>
        <v>999055</v>
      </c>
      <c r="C1745" s="2" t="s">
        <v>569</v>
      </c>
      <c r="D1745" s="2" t="str">
        <f t="shared" si="26"/>
        <v>Error?</v>
      </c>
    </row>
    <row r="1746" spans="1:5" x14ac:dyDescent="0.2">
      <c r="A1746" s="5">
        <v>1685</v>
      </c>
      <c r="B1746" s="1832">
        <f>'Tax Sched 23'!B6</f>
        <v>1838994</v>
      </c>
      <c r="C1746" s="2" t="s">
        <v>569</v>
      </c>
      <c r="D1746" s="2" t="str">
        <f t="shared" si="26"/>
        <v>Error?</v>
      </c>
    </row>
    <row r="1747" spans="1:5" x14ac:dyDescent="0.2">
      <c r="A1747" s="5">
        <v>1686</v>
      </c>
      <c r="B1747" s="1832">
        <f>'Tax Sched 23'!B7</f>
        <v>206711</v>
      </c>
      <c r="C1747" s="2" t="s">
        <v>569</v>
      </c>
      <c r="D1747" s="2" t="str">
        <f t="shared" si="26"/>
        <v>Error?</v>
      </c>
    </row>
    <row r="1748" spans="1:5" x14ac:dyDescent="0.2">
      <c r="A1748" s="5">
        <v>1687</v>
      </c>
      <c r="B1748" s="1832">
        <f>'Tax Sched 23'!B8</f>
        <v>69391</v>
      </c>
      <c r="C1748" s="2" t="s">
        <v>569</v>
      </c>
      <c r="D1748" s="2" t="str">
        <f t="shared" si="26"/>
        <v>Error?</v>
      </c>
    </row>
    <row r="1749" spans="1:5" x14ac:dyDescent="0.2">
      <c r="A1749" s="5">
        <v>1688</v>
      </c>
      <c r="B1749" s="1832">
        <f>'Tax Sched 23'!B10</f>
        <v>90822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372741</v>
      </c>
      <c r="C1752" s="2" t="s">
        <v>569</v>
      </c>
      <c r="D1752" s="2" t="str">
        <f t="shared" si="26"/>
        <v>Error?</v>
      </c>
    </row>
    <row r="1753" spans="1:5" x14ac:dyDescent="0.2">
      <c r="A1753" s="5">
        <v>1692</v>
      </c>
      <c r="B1753" s="1832">
        <f>'Tax Sched 23'!B12</f>
        <v>90822</v>
      </c>
      <c r="C1753" s="2" t="s">
        <v>569</v>
      </c>
      <c r="D1753" s="2" t="str">
        <f t="shared" si="26"/>
        <v>Error?</v>
      </c>
    </row>
    <row r="1754" spans="1:5" x14ac:dyDescent="0.2">
      <c r="A1754" s="5">
        <v>1693</v>
      </c>
      <c r="B1754" s="1832">
        <f>'Tax Sched 23'!B14</f>
        <v>36327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7033370</v>
      </c>
      <c r="C1759" s="2" t="s">
        <v>569</v>
      </c>
      <c r="D1759" s="2" t="str">
        <f t="shared" si="26"/>
        <v>Error?</v>
      </c>
    </row>
    <row r="1760" spans="1:5" x14ac:dyDescent="0.2">
      <c r="A1760" s="5">
        <v>1699</v>
      </c>
      <c r="B1760" s="1832">
        <f>'Tax Sched 23'!D4</f>
        <v>3178830</v>
      </c>
      <c r="C1760" s="2" t="s">
        <v>569</v>
      </c>
      <c r="D1760" s="2" t="str">
        <f t="shared" si="26"/>
        <v>Error?</v>
      </c>
    </row>
    <row r="1761" spans="1:7" x14ac:dyDescent="0.2">
      <c r="A1761" s="5">
        <v>1700</v>
      </c>
      <c r="B1761" s="1832">
        <f>'Tax Sched 23'!D5</f>
        <v>999055</v>
      </c>
      <c r="C1761" s="2" t="s">
        <v>569</v>
      </c>
      <c r="D1761" s="2" t="str">
        <f t="shared" si="26"/>
        <v>Error?</v>
      </c>
    </row>
    <row r="1762" spans="1:7" s="8" customFormat="1" x14ac:dyDescent="0.2">
      <c r="A1762" s="5">
        <v>1701</v>
      </c>
      <c r="B1762" s="1832">
        <f>'Tax Sched 23'!D6</f>
        <v>1838994</v>
      </c>
      <c r="C1762" s="2" t="s">
        <v>569</v>
      </c>
      <c r="D1762" s="2" t="str">
        <f t="shared" si="26"/>
        <v>Error?</v>
      </c>
      <c r="E1762" s="9"/>
      <c r="G1762"/>
    </row>
    <row r="1763" spans="1:7" x14ac:dyDescent="0.2">
      <c r="A1763" s="5">
        <v>1702</v>
      </c>
      <c r="B1763" s="1832">
        <f>'Tax Sched 23'!D7</f>
        <v>206711</v>
      </c>
      <c r="C1763" s="2" t="s">
        <v>569</v>
      </c>
      <c r="D1763" s="2" t="str">
        <f t="shared" si="26"/>
        <v>Error?</v>
      </c>
    </row>
    <row r="1764" spans="1:7" x14ac:dyDescent="0.2">
      <c r="A1764" s="5">
        <v>1703</v>
      </c>
      <c r="B1764" s="1832">
        <f>'Tax Sched 23'!D8</f>
        <v>69391</v>
      </c>
      <c r="C1764" s="2" t="s">
        <v>569</v>
      </c>
      <c r="D1764" s="2" t="str">
        <f t="shared" si="26"/>
        <v>Error?</v>
      </c>
    </row>
    <row r="1765" spans="1:7" x14ac:dyDescent="0.2">
      <c r="A1765" s="5">
        <v>1704</v>
      </c>
      <c r="B1765" s="1832">
        <f>'Tax Sched 23'!D10</f>
        <v>90822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372741</v>
      </c>
      <c r="C1768" s="2" t="s">
        <v>569</v>
      </c>
      <c r="D1768" s="2" t="str">
        <f t="shared" si="26"/>
        <v>Error?</v>
      </c>
    </row>
    <row r="1769" spans="1:7" x14ac:dyDescent="0.2">
      <c r="A1769" s="5">
        <v>1708</v>
      </c>
      <c r="B1769" s="1832">
        <f>'Tax Sched 23'!D12</f>
        <v>90822</v>
      </c>
      <c r="C1769" s="2" t="s">
        <v>569</v>
      </c>
      <c r="D1769" s="2" t="str">
        <f t="shared" si="26"/>
        <v>Error?</v>
      </c>
    </row>
    <row r="1770" spans="1:7" x14ac:dyDescent="0.2">
      <c r="A1770" s="5">
        <v>1709</v>
      </c>
      <c r="B1770" s="1832">
        <f>'Tax Sched 23'!D14</f>
        <v>36327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7033370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3272263</v>
      </c>
      <c r="C1792" s="2" t="s">
        <v>569</v>
      </c>
      <c r="D1792" s="2" t="str">
        <f t="shared" si="27"/>
        <v>Error?</v>
      </c>
    </row>
    <row r="1793" spans="1:4" x14ac:dyDescent="0.2">
      <c r="A1793" s="5">
        <v>1732</v>
      </c>
      <c r="B1793" s="1832">
        <f>'Tax Sched 23'!F5</f>
        <v>1028425</v>
      </c>
      <c r="C1793" s="2" t="s">
        <v>569</v>
      </c>
      <c r="D1793" s="2" t="str">
        <f t="shared" si="27"/>
        <v>Error?</v>
      </c>
    </row>
    <row r="1794" spans="1:4" x14ac:dyDescent="0.2">
      <c r="A1794" s="5">
        <v>1733</v>
      </c>
      <c r="B1794" s="1832">
        <f>'Tax Sched 23'!F6</f>
        <v>1851540</v>
      </c>
      <c r="C1794" s="2" t="s">
        <v>569</v>
      </c>
      <c r="D1794" s="2" t="str">
        <f t="shared" si="27"/>
        <v>Error?</v>
      </c>
    </row>
    <row r="1795" spans="1:4" x14ac:dyDescent="0.2">
      <c r="A1795" s="5">
        <v>1734</v>
      </c>
      <c r="B1795" s="1832">
        <f>'Tax Sched 23'!F7</f>
        <v>222701</v>
      </c>
      <c r="C1795" s="2" t="s">
        <v>569</v>
      </c>
      <c r="D1795" s="2" t="str">
        <f t="shared" si="27"/>
        <v>Error?</v>
      </c>
    </row>
    <row r="1796" spans="1:4" x14ac:dyDescent="0.2">
      <c r="A1796" s="5">
        <v>1735</v>
      </c>
      <c r="B1796" s="1832">
        <f>'Tax Sched 23'!F8</f>
        <v>70120</v>
      </c>
      <c r="C1796" s="2" t="s">
        <v>569</v>
      </c>
      <c r="D1796" s="2" t="str">
        <f t="shared" si="27"/>
        <v>Error?</v>
      </c>
    </row>
    <row r="1797" spans="1:4" x14ac:dyDescent="0.2">
      <c r="A1797" s="5">
        <v>1736</v>
      </c>
      <c r="B1797" s="1832">
        <f>'Tax Sched 23'!F10</f>
        <v>93493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390054</v>
      </c>
      <c r="C1800" s="2" t="s">
        <v>569</v>
      </c>
      <c r="D1800" s="2" t="str">
        <f t="shared" si="27"/>
        <v>Error?</v>
      </c>
    </row>
    <row r="1801" spans="1:4" x14ac:dyDescent="0.2">
      <c r="A1801" s="5">
        <v>1740</v>
      </c>
      <c r="B1801" s="1832">
        <f>'Tax Sched 23'!F12</f>
        <v>93493</v>
      </c>
      <c r="C1801" s="2" t="s">
        <v>569</v>
      </c>
      <c r="D1801" s="2" t="str">
        <f t="shared" si="27"/>
        <v>Error?</v>
      </c>
    </row>
    <row r="1802" spans="1:4" x14ac:dyDescent="0.2">
      <c r="A1802" s="5">
        <v>1741</v>
      </c>
      <c r="B1802" s="1832">
        <f>'Tax Sched 23'!F14</f>
        <v>37397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7203091</v>
      </c>
      <c r="C1807" s="2" t="s">
        <v>569</v>
      </c>
      <c r="D1807" s="2" t="str">
        <f t="shared" si="27"/>
        <v>Error?</v>
      </c>
    </row>
    <row r="1808" spans="1:4" x14ac:dyDescent="0.2">
      <c r="A1808" s="5">
        <v>1747</v>
      </c>
      <c r="B1808" s="1832">
        <f>'Tax Sched 23'!E4</f>
        <v>3272263</v>
      </c>
      <c r="D1808" s="2" t="str">
        <f t="shared" si="27"/>
        <v>Error?</v>
      </c>
    </row>
    <row r="1809" spans="1:4" x14ac:dyDescent="0.2">
      <c r="A1809" s="5">
        <v>1748</v>
      </c>
      <c r="B1809" s="1832">
        <f>'Tax Sched 23'!E5</f>
        <v>1028425</v>
      </c>
      <c r="D1809" s="2" t="str">
        <f t="shared" si="27"/>
        <v>Error?</v>
      </c>
    </row>
    <row r="1810" spans="1:4" x14ac:dyDescent="0.2">
      <c r="A1810" s="5">
        <v>1749</v>
      </c>
      <c r="B1810" s="1832">
        <f>'Tax Sched 23'!E6</f>
        <v>1851540</v>
      </c>
      <c r="D1810" s="2" t="str">
        <f t="shared" si="27"/>
        <v>Error?</v>
      </c>
    </row>
    <row r="1811" spans="1:4" x14ac:dyDescent="0.2">
      <c r="A1811" s="5">
        <v>1750</v>
      </c>
      <c r="B1811" s="1832">
        <f>'Tax Sched 23'!E7</f>
        <v>222701</v>
      </c>
      <c r="D1811" s="2" t="str">
        <f t="shared" si="27"/>
        <v>Error?</v>
      </c>
    </row>
    <row r="1812" spans="1:4" x14ac:dyDescent="0.2">
      <c r="A1812" s="5">
        <v>1751</v>
      </c>
      <c r="B1812" s="1832">
        <f>'Tax Sched 23'!E8</f>
        <v>70120</v>
      </c>
      <c r="D1812" s="2" t="str">
        <f t="shared" si="27"/>
        <v>Error?</v>
      </c>
    </row>
    <row r="1813" spans="1:4" x14ac:dyDescent="0.2">
      <c r="A1813" s="5">
        <v>1752</v>
      </c>
      <c r="B1813" s="1832">
        <f>'Tax Sched 23'!E10</f>
        <v>93493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390054</v>
      </c>
      <c r="D1816" s="2" t="str">
        <f t="shared" si="27"/>
        <v>Error?</v>
      </c>
    </row>
    <row r="1817" spans="1:4" x14ac:dyDescent="0.2">
      <c r="A1817" s="5">
        <v>1756</v>
      </c>
      <c r="B1817" s="1832">
        <f>'Tax Sched 23'!E12</f>
        <v>93493</v>
      </c>
      <c r="D1817" s="2" t="str">
        <f t="shared" si="27"/>
        <v>Error?</v>
      </c>
    </row>
    <row r="1818" spans="1:4" x14ac:dyDescent="0.2">
      <c r="A1818" s="5">
        <v>1757</v>
      </c>
      <c r="B1818" s="1832">
        <f>'Tax Sched 23'!E14</f>
        <v>37397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7203091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1792000</v>
      </c>
      <c r="C1939" s="2" t="s">
        <v>569</v>
      </c>
      <c r="D1939" s="2" t="str">
        <f t="shared" si="29"/>
        <v>Error?</v>
      </c>
    </row>
    <row r="1940" spans="1:5" x14ac:dyDescent="0.2">
      <c r="A1940" s="5">
        <v>1879</v>
      </c>
      <c r="B1940" s="1832">
        <f>'Short-Term Long-Term Debt 24'!F49</f>
        <v>9161210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36327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36327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36327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393889</v>
      </c>
      <c r="D2008" s="2" t="str">
        <f t="shared" si="30"/>
        <v>Error?</v>
      </c>
    </row>
    <row r="2009" spans="1:4" x14ac:dyDescent="0.2">
      <c r="A2009" s="5">
        <v>1948</v>
      </c>
      <c r="B2009" s="1832">
        <f>'Cap Outlay Deprec 26'!C8</f>
        <v>27568827</v>
      </c>
      <c r="D2009" s="2" t="str">
        <f t="shared" si="30"/>
        <v>Error?</v>
      </c>
    </row>
    <row r="2010" spans="1:4" x14ac:dyDescent="0.2">
      <c r="A2010" s="5">
        <v>1949</v>
      </c>
      <c r="B2010" s="1832">
        <f>'Cap Outlay Deprec 26'!C10</f>
        <v>1702080</v>
      </c>
      <c r="D2010" s="2" t="str">
        <f t="shared" si="30"/>
        <v>Error?</v>
      </c>
    </row>
    <row r="2011" spans="1:4" x14ac:dyDescent="0.2">
      <c r="A2011" s="5">
        <v>1950</v>
      </c>
      <c r="B2011" s="1832">
        <f>'Cap Outlay Deprec 26'!C12</f>
        <v>1021144</v>
      </c>
      <c r="D2011" s="2" t="str">
        <f t="shared" si="30"/>
        <v>Error?</v>
      </c>
    </row>
    <row r="2012" spans="1:4" x14ac:dyDescent="0.2">
      <c r="A2012" s="5">
        <v>1951</v>
      </c>
      <c r="B2012" s="1832">
        <f>'Cap Outlay Deprec 26'!C13</f>
        <v>124089</v>
      </c>
      <c r="D2012" s="2" t="str">
        <f t="shared" si="30"/>
        <v>Error?</v>
      </c>
    </row>
    <row r="2013" spans="1:4" x14ac:dyDescent="0.2">
      <c r="A2013" s="5">
        <v>1952</v>
      </c>
      <c r="B2013" s="1832">
        <f>'Cap Outlay Deprec 26'!C16</f>
        <v>30810029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42949</v>
      </c>
      <c r="D2017" s="2" t="str">
        <f t="shared" si="30"/>
        <v>Error?</v>
      </c>
    </row>
    <row r="2018" spans="1:4" x14ac:dyDescent="0.2">
      <c r="A2018" s="5">
        <v>1957</v>
      </c>
      <c r="B2018" s="1832">
        <f>'Cap Outlay Deprec 26'!D13</f>
        <v>104629</v>
      </c>
      <c r="D2018" s="2" t="str">
        <f t="shared" si="30"/>
        <v>Error?</v>
      </c>
    </row>
    <row r="2019" spans="1:4" x14ac:dyDescent="0.2">
      <c r="A2019" s="5">
        <v>1958</v>
      </c>
      <c r="B2019" s="1832">
        <f>'Cap Outlay Deprec 26'!D16</f>
        <v>2764187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73536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73536</v>
      </c>
      <c r="C2025" s="2" t="s">
        <v>569</v>
      </c>
      <c r="D2025" s="2" t="str">
        <f t="shared" si="30"/>
        <v>Error?</v>
      </c>
    </row>
    <row r="2026" spans="1:4" x14ac:dyDescent="0.2">
      <c r="A2026" s="5">
        <v>1965</v>
      </c>
      <c r="B2026" s="1832">
        <f>'Cap Outlay Deprec 26'!F5</f>
        <v>393889</v>
      </c>
      <c r="C2026" s="2" t="s">
        <v>569</v>
      </c>
      <c r="D2026" s="2" t="str">
        <f t="shared" si="30"/>
        <v>Error?</v>
      </c>
    </row>
    <row r="2027" spans="1:4" x14ac:dyDescent="0.2">
      <c r="A2027" s="5">
        <v>1966</v>
      </c>
      <c r="B2027" s="1832">
        <f>'Cap Outlay Deprec 26'!F8</f>
        <v>27568827</v>
      </c>
      <c r="C2027" s="2" t="s">
        <v>569</v>
      </c>
      <c r="D2027" s="2" t="str">
        <f t="shared" si="30"/>
        <v>Error?</v>
      </c>
    </row>
    <row r="2028" spans="1:4" x14ac:dyDescent="0.2">
      <c r="A2028" s="5">
        <v>1967</v>
      </c>
      <c r="B2028" s="1832">
        <f>'Cap Outlay Deprec 26'!F10</f>
        <v>1702080</v>
      </c>
      <c r="C2028" s="2" t="s">
        <v>569</v>
      </c>
      <c r="D2028" s="2" t="str">
        <f t="shared" si="30"/>
        <v>Error?</v>
      </c>
    </row>
    <row r="2029" spans="1:4" x14ac:dyDescent="0.2">
      <c r="A2029" s="5">
        <v>1968</v>
      </c>
      <c r="B2029" s="1832">
        <f>'Cap Outlay Deprec 26'!F12</f>
        <v>990557</v>
      </c>
      <c r="C2029" s="2" t="s">
        <v>569</v>
      </c>
      <c r="D2029" s="2" t="str">
        <f t="shared" si="30"/>
        <v>Error?</v>
      </c>
    </row>
    <row r="2030" spans="1:4" x14ac:dyDescent="0.2">
      <c r="A2030" s="5">
        <v>1969</v>
      </c>
      <c r="B2030" s="1832">
        <f>'Cap Outlay Deprec 26'!F13</f>
        <v>228718</v>
      </c>
      <c r="C2030" s="2" t="s">
        <v>569</v>
      </c>
      <c r="D2030" s="2" t="str">
        <f t="shared" si="30"/>
        <v>Error?</v>
      </c>
    </row>
    <row r="2031" spans="1:4" x14ac:dyDescent="0.2">
      <c r="A2031" s="5">
        <v>1970</v>
      </c>
      <c r="B2031" s="1832">
        <f>'Cap Outlay Deprec 26'!F16</f>
        <v>33500680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10295863</v>
      </c>
      <c r="D2033" s="2" t="str">
        <f t="shared" si="30"/>
        <v>Error?</v>
      </c>
    </row>
    <row r="2034" spans="1:4" x14ac:dyDescent="0.2">
      <c r="A2034" s="5">
        <v>1973</v>
      </c>
      <c r="B2034" s="1832">
        <f>'Cap Outlay Deprec 26'!H10</f>
        <v>1146259</v>
      </c>
      <c r="D2034" s="2" t="str">
        <f t="shared" si="30"/>
        <v>Error?</v>
      </c>
    </row>
    <row r="2035" spans="1:4" x14ac:dyDescent="0.2">
      <c r="A2035" s="5">
        <v>1974</v>
      </c>
      <c r="B2035" s="1832">
        <f>'Cap Outlay Deprec 26'!H12</f>
        <v>865903</v>
      </c>
      <c r="D2035" s="2" t="str">
        <f t="shared" si="30"/>
        <v>Error?</v>
      </c>
    </row>
    <row r="2036" spans="1:4" x14ac:dyDescent="0.2">
      <c r="A2036" s="5">
        <v>1975</v>
      </c>
      <c r="B2036" s="1832">
        <f>'Cap Outlay Deprec 26'!H13</f>
        <v>119780</v>
      </c>
      <c r="D2036" s="2" t="str">
        <f t="shared" si="30"/>
        <v>Error?</v>
      </c>
    </row>
    <row r="2037" spans="1:4" x14ac:dyDescent="0.2">
      <c r="A2037" s="5">
        <v>1976</v>
      </c>
      <c r="B2037" s="1832">
        <f>'Cap Outlay Deprec 26'!H16</f>
        <v>12427805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315768</v>
      </c>
      <c r="D2039" s="2" t="str">
        <f t="shared" si="30"/>
        <v>Error?</v>
      </c>
    </row>
    <row r="2040" spans="1:4" x14ac:dyDescent="0.2">
      <c r="A2040" s="5">
        <v>1979</v>
      </c>
      <c r="B2040" s="1832">
        <f>'Cap Outlay Deprec 26'!I10</f>
        <v>20189</v>
      </c>
      <c r="D2040" s="2" t="str">
        <f t="shared" si="30"/>
        <v>Error?</v>
      </c>
    </row>
    <row r="2041" spans="1:4" x14ac:dyDescent="0.2">
      <c r="A2041" s="5">
        <v>1980</v>
      </c>
      <c r="B2041" s="1832">
        <f>'Cap Outlay Deprec 26'!I12</f>
        <v>42334</v>
      </c>
      <c r="D2041" s="2" t="str">
        <f t="shared" si="30"/>
        <v>Error?</v>
      </c>
    </row>
    <row r="2042" spans="1:4" x14ac:dyDescent="0.2">
      <c r="A2042" s="5">
        <v>1981</v>
      </c>
      <c r="B2042" s="1832">
        <f>'Cap Outlay Deprec 26'!I13</f>
        <v>25235</v>
      </c>
      <c r="D2042" s="2" t="str">
        <f t="shared" si="30"/>
        <v>Error?</v>
      </c>
    </row>
    <row r="2043" spans="1:4" x14ac:dyDescent="0.2">
      <c r="A2043" s="5">
        <v>1982</v>
      </c>
      <c r="B2043" s="1832">
        <f>'Cap Outlay Deprec 26'!I16</f>
        <v>403526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73536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73536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10611631</v>
      </c>
      <c r="C2051" s="2" t="s">
        <v>569</v>
      </c>
      <c r="D2051" s="2" t="str">
        <f t="shared" si="31"/>
        <v>Error?</v>
      </c>
    </row>
    <row r="2052" spans="1:4" x14ac:dyDescent="0.2">
      <c r="A2052" s="5">
        <v>1991</v>
      </c>
      <c r="B2052" s="1832">
        <f>'Cap Outlay Deprec 26'!K10</f>
        <v>1166448</v>
      </c>
      <c r="C2052" s="2" t="s">
        <v>569</v>
      </c>
      <c r="D2052" s="2" t="str">
        <f t="shared" si="31"/>
        <v>Error?</v>
      </c>
    </row>
    <row r="2053" spans="1:4" x14ac:dyDescent="0.2">
      <c r="A2053" s="5">
        <v>1992</v>
      </c>
      <c r="B2053" s="1832">
        <f>'Cap Outlay Deprec 26'!K12</f>
        <v>834701</v>
      </c>
      <c r="C2053" s="2" t="s">
        <v>569</v>
      </c>
      <c r="D2053" s="2" t="str">
        <f t="shared" si="31"/>
        <v>Error?</v>
      </c>
    </row>
    <row r="2054" spans="1:4" x14ac:dyDescent="0.2">
      <c r="A2054" s="5">
        <v>1993</v>
      </c>
      <c r="B2054" s="1832">
        <f>'Cap Outlay Deprec 26'!K13</f>
        <v>145015</v>
      </c>
      <c r="C2054" s="2" t="s">
        <v>569</v>
      </c>
      <c r="D2054" s="2" t="str">
        <f t="shared" si="31"/>
        <v>Error?</v>
      </c>
    </row>
    <row r="2055" spans="1:4" x14ac:dyDescent="0.2">
      <c r="A2055" s="5">
        <v>1994</v>
      </c>
      <c r="B2055" s="1832">
        <f>'Cap Outlay Deprec 26'!K16</f>
        <v>12757795</v>
      </c>
      <c r="C2055" s="2" t="s">
        <v>569</v>
      </c>
      <c r="D2055" s="2" t="str">
        <f t="shared" si="31"/>
        <v>Error?</v>
      </c>
    </row>
    <row r="2056" spans="1:4" x14ac:dyDescent="0.2">
      <c r="A2056" s="5">
        <v>1995</v>
      </c>
      <c r="B2056" s="1832">
        <f>'Cap Outlay Deprec 26'!L5</f>
        <v>393889</v>
      </c>
      <c r="C2056" s="2" t="s">
        <v>569</v>
      </c>
      <c r="D2056" s="2" t="str">
        <f t="shared" si="31"/>
        <v>Error?</v>
      </c>
    </row>
    <row r="2057" spans="1:4" x14ac:dyDescent="0.2">
      <c r="A2057" s="5">
        <v>1996</v>
      </c>
      <c r="B2057" s="1832">
        <f>'Cap Outlay Deprec 26'!L8</f>
        <v>16957196</v>
      </c>
      <c r="C2057" s="2" t="s">
        <v>569</v>
      </c>
      <c r="D2057" s="2" t="str">
        <f t="shared" si="31"/>
        <v>Error?</v>
      </c>
    </row>
    <row r="2058" spans="1:4" x14ac:dyDescent="0.2">
      <c r="A2058" s="5">
        <v>1997</v>
      </c>
      <c r="B2058" s="1832">
        <f>'Cap Outlay Deprec 26'!L10</f>
        <v>535632</v>
      </c>
      <c r="C2058" s="2" t="s">
        <v>569</v>
      </c>
      <c r="D2058" s="2" t="str">
        <f t="shared" si="31"/>
        <v>Error?</v>
      </c>
    </row>
    <row r="2059" spans="1:4" x14ac:dyDescent="0.2">
      <c r="A2059" s="5">
        <v>1998</v>
      </c>
      <c r="B2059" s="1832">
        <f>'Cap Outlay Deprec 26'!L12</f>
        <v>155856</v>
      </c>
      <c r="C2059" s="2" t="s">
        <v>569</v>
      </c>
      <c r="D2059" s="2" t="str">
        <f t="shared" si="31"/>
        <v>Error?</v>
      </c>
    </row>
    <row r="2060" spans="1:4" x14ac:dyDescent="0.2">
      <c r="A2060" s="5">
        <v>1999</v>
      </c>
      <c r="B2060" s="1832">
        <f>'Cap Outlay Deprec 26'!L13</f>
        <v>83703</v>
      </c>
      <c r="C2060" s="2" t="s">
        <v>569</v>
      </c>
      <c r="D2060" s="2" t="str">
        <f t="shared" si="31"/>
        <v>Error?</v>
      </c>
    </row>
    <row r="2061" spans="1:4" x14ac:dyDescent="0.2">
      <c r="A2061" s="5">
        <v>2000</v>
      </c>
      <c r="B2061" s="1832">
        <f>'Cap Outlay Deprec 26'!L16</f>
        <v>20742885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11408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56751</v>
      </c>
      <c r="C2088" s="2" t="s">
        <v>569</v>
      </c>
      <c r="D2088" s="2" t="str">
        <f t="shared" si="31"/>
        <v>Error?</v>
      </c>
    </row>
    <row r="2089" spans="1:4" x14ac:dyDescent="0.2">
      <c r="A2089" s="5">
        <v>2028</v>
      </c>
      <c r="B2089" s="1832">
        <f>'Expenditures 15-22'!K92</f>
        <v>364225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1850000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275294</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3747780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1298725</v>
      </c>
      <c r="C2553" s="2" t="s">
        <v>569</v>
      </c>
      <c r="D2553" s="2" t="str">
        <f t="shared" si="38"/>
        <v>Error?</v>
      </c>
    </row>
    <row r="2554" spans="1:4" x14ac:dyDescent="0.2">
      <c r="A2554" s="5">
        <v>2493</v>
      </c>
      <c r="B2554" s="1832">
        <f>'Acct Summary 7-8'!C7</f>
        <v>349903</v>
      </c>
      <c r="C2554" s="2" t="s">
        <v>569</v>
      </c>
      <c r="D2554" s="2" t="str">
        <f t="shared" si="38"/>
        <v>Error?</v>
      </c>
    </row>
    <row r="2555" spans="1:4" x14ac:dyDescent="0.2">
      <c r="A2555" s="5">
        <v>2494</v>
      </c>
      <c r="B2555" s="1832">
        <f>'Acct Summary 7-8'!C8</f>
        <v>5396408</v>
      </c>
      <c r="C2555" s="2" t="s">
        <v>569</v>
      </c>
      <c r="D2555" s="2" t="str">
        <f t="shared" si="38"/>
        <v>Error?</v>
      </c>
    </row>
    <row r="2556" spans="1:4" x14ac:dyDescent="0.2">
      <c r="A2556" s="5">
        <v>2495</v>
      </c>
      <c r="B2556" s="1832">
        <f>'Acct Summary 7-8'!C12</f>
        <v>4032489</v>
      </c>
      <c r="C2556" s="2" t="s">
        <v>569</v>
      </c>
      <c r="D2556" s="2" t="str">
        <f t="shared" si="38"/>
        <v>Error?</v>
      </c>
    </row>
    <row r="2557" spans="1:4" x14ac:dyDescent="0.2">
      <c r="A2557" s="5">
        <v>2496</v>
      </c>
      <c r="B2557" s="1832">
        <f>'Acct Summary 7-8'!C13</f>
        <v>1229550</v>
      </c>
      <c r="C2557" s="2" t="s">
        <v>569</v>
      </c>
      <c r="D2557" s="2" t="str">
        <f t="shared" si="38"/>
        <v>Error?</v>
      </c>
    </row>
    <row r="2558" spans="1:4" x14ac:dyDescent="0.2">
      <c r="A2558" s="5">
        <v>2497</v>
      </c>
      <c r="B2558" s="1832">
        <f>'Acct Summary 7-8'!C14</f>
        <v>117827</v>
      </c>
      <c r="C2558" s="2" t="s">
        <v>569</v>
      </c>
      <c r="D2558" s="2" t="str">
        <f t="shared" si="38"/>
        <v>Error?</v>
      </c>
    </row>
    <row r="2559" spans="1:4" x14ac:dyDescent="0.2">
      <c r="A2559" s="5">
        <v>2498</v>
      </c>
      <c r="B2559" s="1832">
        <f>'Acct Summary 7-8'!C15</f>
        <v>420976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5800842</v>
      </c>
      <c r="C2561" s="2" t="s">
        <v>569</v>
      </c>
      <c r="D2561" s="2" t="str">
        <f t="shared" si="39"/>
        <v>Error?</v>
      </c>
    </row>
    <row r="2562" spans="1:4" x14ac:dyDescent="0.2">
      <c r="A2562" s="5">
        <v>2501</v>
      </c>
      <c r="B2562" s="1832">
        <f>'Acct Summary 7-8'!C20</f>
        <v>-404434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1025852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1025852</v>
      </c>
      <c r="C2568" s="2" t="s">
        <v>569</v>
      </c>
      <c r="D2568" s="2" t="str">
        <f t="shared" si="39"/>
        <v>Error?</v>
      </c>
    </row>
    <row r="2569" spans="1:4" x14ac:dyDescent="0.2">
      <c r="A2569" s="5">
        <v>2508</v>
      </c>
      <c r="B2569" s="1832">
        <f>'Acct Summary 7-8'!D13</f>
        <v>931198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931198</v>
      </c>
      <c r="C2573" s="2" t="s">
        <v>569</v>
      </c>
      <c r="D2573" s="2" t="str">
        <f t="shared" si="39"/>
        <v>Error?</v>
      </c>
    </row>
    <row r="2574" spans="1:4" x14ac:dyDescent="0.2">
      <c r="A2574" s="5">
        <v>2513</v>
      </c>
      <c r="B2574" s="1832">
        <f>'Acct Summary 7-8'!D20</f>
        <v>94654</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210358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162946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373304</v>
      </c>
      <c r="C2595" s="2" t="s">
        <v>569</v>
      </c>
      <c r="D2595" s="2" t="str">
        <f t="shared" si="39"/>
        <v>Error?</v>
      </c>
    </row>
    <row r="2596" spans="1:4" x14ac:dyDescent="0.2">
      <c r="A2596" s="5">
        <v>2535</v>
      </c>
      <c r="B2596" s="1832">
        <f>'Acct Summary 7-8'!F13</f>
        <v>329707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329707</v>
      </c>
      <c r="C2600" s="2" t="s">
        <v>569</v>
      </c>
      <c r="D2600" s="2" t="str">
        <f t="shared" si="39"/>
        <v>Error?</v>
      </c>
    </row>
    <row r="2601" spans="1:4" x14ac:dyDescent="0.2">
      <c r="A2601" s="5">
        <v>2540</v>
      </c>
      <c r="B2601" s="1832">
        <f>'Acct Summary 7-8'!F20</f>
        <v>43597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145682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145682</v>
      </c>
      <c r="C2606" s="2" t="s">
        <v>569</v>
      </c>
      <c r="D2606" s="2" t="str">
        <f t="shared" si="39"/>
        <v>Error?</v>
      </c>
    </row>
    <row r="2607" spans="1:4" x14ac:dyDescent="0.2">
      <c r="A2607" s="5">
        <v>2546</v>
      </c>
      <c r="B2607" s="1832">
        <f>'Acct Summary 7-8'!G12</f>
        <v>92260</v>
      </c>
      <c r="C2607" s="2" t="s">
        <v>569</v>
      </c>
      <c r="D2607" s="2" t="str">
        <f t="shared" si="39"/>
        <v>Error?</v>
      </c>
    </row>
    <row r="2608" spans="1:4" x14ac:dyDescent="0.2">
      <c r="A2608" s="5">
        <v>2547</v>
      </c>
      <c r="B2608" s="1832">
        <f>'Acct Summary 7-8'!G13</f>
        <v>99867</v>
      </c>
      <c r="C2608" s="2" t="s">
        <v>569</v>
      </c>
      <c r="D2608" s="2" t="str">
        <f t="shared" si="39"/>
        <v>Error?</v>
      </c>
    </row>
    <row r="2609" spans="1:4" x14ac:dyDescent="0.2">
      <c r="A2609" s="5">
        <v>2548</v>
      </c>
      <c r="B2609" s="1832">
        <f>'Acct Summary 7-8'!G14</f>
        <v>11057</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203304</v>
      </c>
      <c r="C2612" s="2" t="s">
        <v>569</v>
      </c>
      <c r="D2612" s="2" t="str">
        <f t="shared" si="39"/>
        <v>Error?</v>
      </c>
    </row>
    <row r="2613" spans="1:4" x14ac:dyDescent="0.2">
      <c r="A2613" s="5">
        <v>2552</v>
      </c>
      <c r="B2613" s="1832">
        <f>'Acct Summary 7-8'!G20</f>
        <v>-57622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1842658</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1842658</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2098760</v>
      </c>
      <c r="C2634" s="2" t="s">
        <v>569</v>
      </c>
      <c r="D2634" s="2" t="str">
        <f t="shared" si="40"/>
        <v>Error?</v>
      </c>
    </row>
    <row r="2635" spans="1:4" x14ac:dyDescent="0.2">
      <c r="A2635" s="5">
        <v>2574</v>
      </c>
      <c r="B2635" s="1832">
        <f>'Acct Summary 7-8'!E17</f>
        <v>2098760</v>
      </c>
      <c r="C2635" s="2" t="s">
        <v>569</v>
      </c>
      <c r="D2635" s="2" t="str">
        <f t="shared" si="40"/>
        <v>Error?</v>
      </c>
    </row>
    <row r="2636" spans="1:4" x14ac:dyDescent="0.2">
      <c r="A2636" s="5">
        <v>2575</v>
      </c>
      <c r="B2636" s="1832">
        <f>'Acct Summary 7-8'!E20</f>
        <v>-256102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8632</v>
      </c>
      <c r="C2655" s="2" t="s">
        <v>569</v>
      </c>
      <c r="D2655" s="2" t="str">
        <f t="shared" si="40"/>
        <v>Error?</v>
      </c>
    </row>
    <row r="2656" spans="1:4" x14ac:dyDescent="0.2">
      <c r="A2656" s="5">
        <v>2595</v>
      </c>
      <c r="B2656" s="1832">
        <f>'Acct Summary 7-8'!H6</f>
        <v>3105631</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3114263</v>
      </c>
      <c r="C2658" s="2" t="s">
        <v>569</v>
      </c>
      <c r="D2658" s="2" t="str">
        <f t="shared" si="40"/>
        <v>Error?</v>
      </c>
    </row>
    <row r="2659" spans="1:4" x14ac:dyDescent="0.2">
      <c r="A2659" s="5">
        <v>2598</v>
      </c>
      <c r="B2659" s="1832">
        <f>'Acct Summary 7-8'!H13</f>
        <v>2616609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2616609</v>
      </c>
      <c r="C2661" s="2" t="s">
        <v>569</v>
      </c>
      <c r="D2661" s="2" t="str">
        <f t="shared" si="40"/>
        <v>Error?</v>
      </c>
    </row>
    <row r="2662" spans="1:4" x14ac:dyDescent="0.2">
      <c r="A2662" s="5">
        <v>2601</v>
      </c>
      <c r="B2662" s="1832">
        <f>'Acct Summary 7-8'!H20</f>
        <v>497654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45343</v>
      </c>
      <c r="C2789" s="2" t="s">
        <v>569</v>
      </c>
      <c r="D2789" s="2" t="str">
        <f t="shared" si="42"/>
        <v>Error?</v>
      </c>
    </row>
    <row r="2790" spans="1:4" x14ac:dyDescent="0.2">
      <c r="A2790" s="5">
        <v>2729</v>
      </c>
      <c r="B2790" s="1832">
        <f>'Expenditures 15-22'!E102</f>
        <v>45343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2616609</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1860371</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1860371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68232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68232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1860371</v>
      </c>
      <c r="D2912" s="2" t="str">
        <f t="shared" si="44"/>
        <v>Error?</v>
      </c>
    </row>
    <row r="2913" spans="1:4" x14ac:dyDescent="0.2">
      <c r="A2913" s="5">
        <v>2852</v>
      </c>
      <c r="B2913" s="1832">
        <f>'Assets-Liab 5-6'!I41</f>
        <v>1860371</v>
      </c>
      <c r="C2913" s="2" t="s">
        <v>569</v>
      </c>
      <c r="D2913" s="2" t="str">
        <f t="shared" si="44"/>
        <v>Error?</v>
      </c>
    </row>
    <row r="2914" spans="1:4" x14ac:dyDescent="0.2">
      <c r="A2914" s="5">
        <v>2853</v>
      </c>
      <c r="B2914" s="1832">
        <f>'Assets-Liab 5-6'!L33</f>
        <v>68232</v>
      </c>
      <c r="D2914" s="2" t="str">
        <f t="shared" si="44"/>
        <v>Error?</v>
      </c>
    </row>
    <row r="2915" spans="1:4" x14ac:dyDescent="0.2">
      <c r="A2915" s="10">
        <v>2854</v>
      </c>
      <c r="B2915" s="1832"/>
      <c r="D2915" s="2" t="str">
        <f t="shared" si="44"/>
        <v>OK</v>
      </c>
    </row>
    <row r="2916" spans="1:4" x14ac:dyDescent="0.2">
      <c r="A2916" s="5">
        <v>2855</v>
      </c>
      <c r="B2916" s="1832">
        <f>'Assets-Liab 5-6'!L34</f>
        <v>68232</v>
      </c>
      <c r="C2916" s="2" t="s">
        <v>569</v>
      </c>
      <c r="D2916" s="2" t="str">
        <f t="shared" si="44"/>
        <v>Error?</v>
      </c>
    </row>
    <row r="2917" spans="1:4" x14ac:dyDescent="0.2">
      <c r="A2917" s="5">
        <v>2856</v>
      </c>
      <c r="B2917" s="1832">
        <f>'Assets-Liab 5-6'!L41</f>
        <v>68232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45343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11408</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56751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80960</v>
      </c>
      <c r="D3055" s="2" t="str">
        <f t="shared" si="46"/>
        <v>Error?</v>
      </c>
    </row>
    <row r="3056" spans="1:4" x14ac:dyDescent="0.2">
      <c r="A3056" s="5">
        <v>2995</v>
      </c>
      <c r="B3056" s="1832">
        <f>'Expenditures 15-22'!D10</f>
        <v>6278</v>
      </c>
      <c r="D3056" s="2" t="str">
        <f t="shared" si="46"/>
        <v>Error?</v>
      </c>
    </row>
    <row r="3057" spans="1:4" x14ac:dyDescent="0.2">
      <c r="A3057" s="5">
        <v>2996</v>
      </c>
      <c r="B3057" s="1832">
        <f>'Expenditures 15-22'!E10</f>
        <v>7384</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94622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13452</v>
      </c>
      <c r="D3064" s="2" t="str">
        <f t="shared" si="46"/>
        <v>Error?</v>
      </c>
    </row>
    <row r="3065" spans="1:4" x14ac:dyDescent="0.2">
      <c r="A3065" s="5">
        <v>3004</v>
      </c>
      <c r="B3065" s="1832">
        <f>'Expenditures 15-22'!K219</f>
        <v>13452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97360</v>
      </c>
      <c r="C3225" s="2" t="s">
        <v>569</v>
      </c>
      <c r="D3225" s="2" t="str">
        <f t="shared" si="49"/>
        <v>Error?</v>
      </c>
    </row>
    <row r="3226" spans="1:4" x14ac:dyDescent="0.2">
      <c r="A3226" s="5">
        <v>3165</v>
      </c>
      <c r="B3226" s="1832">
        <f>'Acct Summary 7-8'!I8</f>
        <v>97360</v>
      </c>
      <c r="C3226" s="2" t="s">
        <v>569</v>
      </c>
      <c r="D3226" s="2" t="str">
        <f t="shared" si="49"/>
        <v>Error?</v>
      </c>
    </row>
    <row r="3227" spans="1:4" x14ac:dyDescent="0.2">
      <c r="A3227" s="5">
        <v>3166</v>
      </c>
      <c r="B3227" s="1832">
        <f>'Acct Summary 7-8'!I20</f>
        <v>97360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418218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24128</v>
      </c>
      <c r="C3231" s="2" t="s">
        <v>569</v>
      </c>
      <c r="D3231" s="2" t="str">
        <f t="shared" si="49"/>
        <v>Error?</v>
      </c>
    </row>
    <row r="3232" spans="1:4" x14ac:dyDescent="0.2">
      <c r="A3232" s="5">
        <v>3171</v>
      </c>
      <c r="B3232" s="1832">
        <f>'Acct Summary 7-8'!C77</f>
        <v>394090</v>
      </c>
      <c r="C3232" s="2" t="s">
        <v>569</v>
      </c>
      <c r="D3232" s="2" t="str">
        <f t="shared" si="49"/>
        <v>Error?</v>
      </c>
    </row>
    <row r="3233" spans="1:4" x14ac:dyDescent="0.2">
      <c r="A3233" s="5">
        <v>3172</v>
      </c>
      <c r="B3233" s="1832">
        <f>'Acct Summary 7-8'!C78</f>
        <v>-10344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1500000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1500000</v>
      </c>
      <c r="C3238" s="2" t="s">
        <v>569</v>
      </c>
      <c r="D3238" s="2" t="str">
        <f t="shared" si="49"/>
        <v>Error?</v>
      </c>
    </row>
    <row r="3239" spans="1:4" x14ac:dyDescent="0.2">
      <c r="A3239" s="5">
        <v>3178</v>
      </c>
      <c r="B3239" s="1832">
        <f>'Acct Summary 7-8'!D78</f>
        <v>1594654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43597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-57622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247771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247771</v>
      </c>
      <c r="C3277" s="2" t="s">
        <v>569</v>
      </c>
      <c r="D3277" s="2" t="str">
        <f t="shared" si="50"/>
        <v>Error?</v>
      </c>
    </row>
    <row r="3278" spans="1:4" x14ac:dyDescent="0.2">
      <c r="A3278" s="5">
        <v>3217</v>
      </c>
      <c r="B3278" s="1832">
        <f>'Acct Summary 7-8'!E78</f>
        <v>-8331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863039</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863039</v>
      </c>
      <c r="C3299" s="2" t="s">
        <v>569</v>
      </c>
      <c r="D3299" s="2" t="str">
        <f t="shared" si="50"/>
        <v>Error?</v>
      </c>
    </row>
    <row r="3300" spans="1:4" x14ac:dyDescent="0.2">
      <c r="A3300" s="5">
        <v>3239</v>
      </c>
      <c r="B3300" s="1832">
        <f>'Acct Summary 7-8'!H78</f>
        <v>1360693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890778</v>
      </c>
      <c r="C3317" s="2" t="s">
        <v>569</v>
      </c>
      <c r="D3317" s="2" t="str">
        <f t="shared" si="50"/>
        <v>Error?</v>
      </c>
    </row>
    <row r="3318" spans="1:4" x14ac:dyDescent="0.2">
      <c r="A3318" s="5">
        <v>3257</v>
      </c>
      <c r="B3318" s="1832">
        <f>'Acct Summary 7-8'!I76</f>
        <v>1867778</v>
      </c>
      <c r="C3318" s="2" t="s">
        <v>569</v>
      </c>
      <c r="D3318" s="2" t="str">
        <f t="shared" si="50"/>
        <v>Error?</v>
      </c>
    </row>
    <row r="3319" spans="1:4" x14ac:dyDescent="0.2">
      <c r="A3319" s="5">
        <v>3258</v>
      </c>
      <c r="B3319" s="1832">
        <f>'Acct Summary 7-8'!I77</f>
        <v>-977000</v>
      </c>
      <c r="C3319" s="2" t="s">
        <v>569</v>
      </c>
      <c r="D3319" s="2" t="str">
        <f t="shared" si="50"/>
        <v>Error?</v>
      </c>
    </row>
    <row r="3320" spans="1:4" x14ac:dyDescent="0.2">
      <c r="A3320" s="5">
        <v>3259</v>
      </c>
      <c r="B3320" s="1832">
        <f>'Acct Summary 7-8'!I78</f>
        <v>-879640</v>
      </c>
      <c r="C3320" s="2" t="s">
        <v>569</v>
      </c>
      <c r="D3320" s="2" t="str">
        <f t="shared" si="50"/>
        <v>Error?</v>
      </c>
    </row>
    <row r="3321" spans="1:4" x14ac:dyDescent="0.2">
      <c r="A3321" s="5">
        <v>3260</v>
      </c>
      <c r="B3321" s="1832">
        <f>'Acct Summary 7-8'!I79</f>
        <v>2740011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1860371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360923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74284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435230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43178</v>
      </c>
      <c r="D3387" s="2" t="str">
        <f t="shared" si="51"/>
        <v>Error?</v>
      </c>
    </row>
    <row r="3388" spans="1:4" x14ac:dyDescent="0.2">
      <c r="A3388" s="5">
        <v>3327</v>
      </c>
      <c r="B3388" s="1832">
        <f>'Expenditures 15-22'!D217</f>
        <v>22349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43178</v>
      </c>
      <c r="C3390" s="2" t="s">
        <v>569</v>
      </c>
      <c r="D3390" s="2" t="str">
        <f t="shared" si="51"/>
        <v>Error?</v>
      </c>
    </row>
    <row r="3391" spans="1:4" x14ac:dyDescent="0.2">
      <c r="A3391" s="5">
        <v>3330</v>
      </c>
      <c r="B3391" s="1832">
        <f>'Expenditures 15-22'!K217</f>
        <v>22349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4000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74476</v>
      </c>
      <c r="C3446" s="2" t="s">
        <v>569</v>
      </c>
      <c r="D3446" s="2" t="str">
        <f t="shared" si="52"/>
        <v>Error?</v>
      </c>
    </row>
    <row r="3447" spans="1:4" x14ac:dyDescent="0.2">
      <c r="A3447" s="5">
        <v>3386</v>
      </c>
      <c r="B3447" s="1832">
        <f>'Tax Sched 23'!D16</f>
        <v>74476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74046</v>
      </c>
      <c r="C3449" s="2" t="s">
        <v>569</v>
      </c>
      <c r="D3449" s="2" t="str">
        <f t="shared" si="52"/>
        <v>Error?</v>
      </c>
    </row>
    <row r="3450" spans="1:4" x14ac:dyDescent="0.2">
      <c r="A3450" s="5">
        <v>3389</v>
      </c>
      <c r="B3450" s="1832">
        <f>'Tax Sched 23'!E16</f>
        <v>74046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2616609</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2616609</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2616609</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863039</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8984064</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8984064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8984064</v>
      </c>
      <c r="D3567" s="2" t="str">
        <f t="shared" si="54"/>
        <v>Error?</v>
      </c>
    </row>
    <row r="3568" spans="1:4" x14ac:dyDescent="0.2">
      <c r="A3568" s="5">
        <v>3507</v>
      </c>
      <c r="B3568" s="1832">
        <f>'Assets-Liab 5-6'!K41</f>
        <v>8984064</v>
      </c>
      <c r="C3568" s="2" t="s">
        <v>569</v>
      </c>
      <c r="D3568" s="2" t="str">
        <f t="shared" si="54"/>
        <v>Error?</v>
      </c>
    </row>
    <row r="3569" spans="1:4" x14ac:dyDescent="0.2">
      <c r="A3569" s="5">
        <v>3508</v>
      </c>
      <c r="B3569" s="1832">
        <f>'Acct Summary 7-8'!K4</f>
        <v>100514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100514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100514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8220000</v>
      </c>
      <c r="D3579" s="2" t="str">
        <f t="shared" si="54"/>
        <v>Error?</v>
      </c>
    </row>
    <row r="3580" spans="1:4" x14ac:dyDescent="0.2">
      <c r="A3580" s="5">
        <v>3519</v>
      </c>
      <c r="B3580" s="1832">
        <f>'Acct Summary 7-8'!K34</f>
        <v>445848</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8665848</v>
      </c>
      <c r="C3584" s="2" t="s">
        <v>569</v>
      </c>
      <c r="D3584" s="2" t="str">
        <f t="shared" si="55"/>
        <v>Error?</v>
      </c>
    </row>
    <row r="3585" spans="1:4" x14ac:dyDescent="0.2">
      <c r="A3585" s="12">
        <v>3524</v>
      </c>
      <c r="B3585" s="1832">
        <f>'Acct Summary 7-8'!K75</f>
        <v>165848</v>
      </c>
      <c r="D3585" s="2" t="str">
        <f t="shared" si="55"/>
        <v>Error?</v>
      </c>
    </row>
    <row r="3586" spans="1:4" x14ac:dyDescent="0.2">
      <c r="A3586" s="5">
        <v>3525</v>
      </c>
      <c r="B3586" s="1832">
        <f>'Acct Summary 7-8'!K76</f>
        <v>165848</v>
      </c>
      <c r="C3586" s="2" t="s">
        <v>569</v>
      </c>
      <c r="D3586" s="2" t="str">
        <f t="shared" si="55"/>
        <v>Error?</v>
      </c>
    </row>
    <row r="3587" spans="1:4" x14ac:dyDescent="0.2">
      <c r="A3587" s="5">
        <v>3526</v>
      </c>
      <c r="B3587" s="1832">
        <f>'Acct Summary 7-8'!K77</f>
        <v>8500000</v>
      </c>
      <c r="C3587" s="2" t="s">
        <v>569</v>
      </c>
      <c r="D3587" s="2" t="str">
        <f t="shared" si="55"/>
        <v>Error?</v>
      </c>
    </row>
    <row r="3588" spans="1:4" x14ac:dyDescent="0.2">
      <c r="A3588" s="5">
        <v>3527</v>
      </c>
      <c r="B3588" s="1832">
        <f>'Acct Summary 7-8'!K78</f>
        <v>8600514</v>
      </c>
      <c r="C3588" s="2" t="s">
        <v>569</v>
      </c>
      <c r="D3588" s="2" t="str">
        <f t="shared" si="55"/>
        <v>Error?</v>
      </c>
    </row>
    <row r="3589" spans="1:4" x14ac:dyDescent="0.2">
      <c r="A3589" s="5">
        <v>3528</v>
      </c>
      <c r="B3589" s="1832">
        <f>'Acct Summary 7-8'!K79</f>
        <v>383550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8984064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100514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120</v>
      </c>
      <c r="D3721" s="2" t="str">
        <f t="shared" si="57"/>
        <v>Error?</v>
      </c>
    </row>
    <row r="3722" spans="1:4" x14ac:dyDescent="0.2">
      <c r="A3722" s="5">
        <v>3661</v>
      </c>
      <c r="B3722" s="1832">
        <f>'Expenditures 15-22'!D285</f>
        <v>120</v>
      </c>
      <c r="C3722" s="2" t="s">
        <v>569</v>
      </c>
      <c r="D3722" s="2" t="str">
        <f t="shared" si="57"/>
        <v>Error?</v>
      </c>
    </row>
    <row r="3723" spans="1:4" x14ac:dyDescent="0.2">
      <c r="A3723" s="5">
        <v>3662</v>
      </c>
      <c r="B3723" s="1832">
        <f>'Expenditures 15-22'!K283</f>
        <v>120</v>
      </c>
      <c r="C3723" s="2" t="s">
        <v>569</v>
      </c>
      <c r="D3723" s="2" t="str">
        <f t="shared" si="57"/>
        <v>Error?</v>
      </c>
    </row>
    <row r="3724" spans="1:4" x14ac:dyDescent="0.2">
      <c r="A3724" s="5">
        <v>3663</v>
      </c>
      <c r="B3724" s="1832">
        <f>'Expenditures 15-22'!K285</f>
        <v>120</v>
      </c>
      <c r="C3724" s="2" t="s">
        <v>569</v>
      </c>
      <c r="D3724" s="2" t="str">
        <f t="shared" si="57"/>
        <v>Error?</v>
      </c>
    </row>
    <row r="3725" spans="1:4" x14ac:dyDescent="0.2">
      <c r="A3725" s="5">
        <v>3664</v>
      </c>
      <c r="B3725" s="1832">
        <f>'Tax Sched 23'!B13</f>
        <v>75201</v>
      </c>
      <c r="C3725" s="2" t="s">
        <v>569</v>
      </c>
      <c r="D3725" s="2" t="str">
        <f t="shared" si="57"/>
        <v>Error?</v>
      </c>
    </row>
    <row r="3726" spans="1:4" x14ac:dyDescent="0.2">
      <c r="A3726" s="5">
        <v>3665</v>
      </c>
      <c r="B3726" s="1832">
        <f>'Tax Sched 23'!D13</f>
        <v>75201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69559</v>
      </c>
      <c r="C3728" s="2" t="s">
        <v>569</v>
      </c>
      <c r="D3728" s="2" t="str">
        <f t="shared" si="57"/>
        <v>Error?</v>
      </c>
    </row>
    <row r="3729" spans="1:4" x14ac:dyDescent="0.2">
      <c r="A3729" s="5">
        <v>3668</v>
      </c>
      <c r="B3729" s="1832">
        <f>'Tax Sched 23'!E13</f>
        <v>69559</v>
      </c>
      <c r="D3729" s="2" t="str">
        <f t="shared" si="57"/>
        <v>Error?</v>
      </c>
    </row>
    <row r="3730" spans="1:4" x14ac:dyDescent="0.2">
      <c r="A3730" s="5">
        <v>3669</v>
      </c>
      <c r="B3730" s="1832">
        <f>'ICR Computation 30'!E10</f>
        <v>140365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3037009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8433417</v>
      </c>
      <c r="C4122" s="2" t="s">
        <v>569</v>
      </c>
      <c r="D4122" s="2" t="str">
        <f t="shared" si="63"/>
        <v>Error?</v>
      </c>
    </row>
    <row r="4123" spans="1:4" x14ac:dyDescent="0.2">
      <c r="A4123" s="5">
        <v>4062</v>
      </c>
      <c r="B4123" s="1832">
        <f>'Acct Summary 7-8'!D10</f>
        <v>1025852</v>
      </c>
      <c r="C4123" s="2" t="s">
        <v>569</v>
      </c>
      <c r="D4123" s="2" t="str">
        <f t="shared" si="63"/>
        <v>Error?</v>
      </c>
    </row>
    <row r="4124" spans="1:4" x14ac:dyDescent="0.2">
      <c r="A4124" s="5">
        <v>4063</v>
      </c>
      <c r="B4124" s="1832">
        <f>'Acct Summary 7-8'!E10</f>
        <v>1842658</v>
      </c>
      <c r="C4124" s="2" t="s">
        <v>569</v>
      </c>
      <c r="D4124" s="2" t="str">
        <f t="shared" si="63"/>
        <v>Error?</v>
      </c>
    </row>
    <row r="4125" spans="1:4" x14ac:dyDescent="0.2">
      <c r="A4125" s="5">
        <v>4064</v>
      </c>
      <c r="B4125" s="1832">
        <f>'Acct Summary 7-8'!F10</f>
        <v>373304</v>
      </c>
      <c r="C4125" s="2" t="s">
        <v>569</v>
      </c>
      <c r="D4125" s="2" t="str">
        <f t="shared" si="63"/>
        <v>Error?</v>
      </c>
    </row>
    <row r="4126" spans="1:4" x14ac:dyDescent="0.2">
      <c r="A4126" s="5">
        <v>4065</v>
      </c>
      <c r="B4126" s="1832">
        <f>'Acct Summary 7-8'!G10</f>
        <v>145682</v>
      </c>
      <c r="C4126" s="2" t="s">
        <v>569</v>
      </c>
      <c r="D4126" s="2" t="str">
        <f t="shared" si="63"/>
        <v>Error?</v>
      </c>
    </row>
    <row r="4127" spans="1:4" x14ac:dyDescent="0.2">
      <c r="A4127" s="5">
        <v>4066</v>
      </c>
      <c r="B4127" s="1832">
        <f>'Acct Summary 7-8'!H10</f>
        <v>3114263</v>
      </c>
      <c r="C4127" s="2" t="s">
        <v>569</v>
      </c>
      <c r="D4127" s="2" t="str">
        <f t="shared" si="63"/>
        <v>Error?</v>
      </c>
    </row>
    <row r="4128" spans="1:4" x14ac:dyDescent="0.2">
      <c r="A4128" s="5">
        <v>4067</v>
      </c>
      <c r="B4128" s="1832">
        <f>'Acct Summary 7-8'!I10</f>
        <v>97360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100514</v>
      </c>
      <c r="C4130" s="2" t="s">
        <v>569</v>
      </c>
      <c r="D4130" s="2" t="str">
        <f t="shared" si="63"/>
        <v>Error?</v>
      </c>
    </row>
    <row r="4131" spans="1:4" x14ac:dyDescent="0.2">
      <c r="A4131" s="5">
        <v>4070</v>
      </c>
      <c r="B4131" s="1832">
        <f>'Acct Summary 7-8'!C18</f>
        <v>3037009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8837851</v>
      </c>
      <c r="C4136" s="2" t="s">
        <v>569</v>
      </c>
      <c r="D4136" s="2" t="str">
        <f t="shared" si="63"/>
        <v>Error?</v>
      </c>
    </row>
    <row r="4137" spans="1:4" x14ac:dyDescent="0.2">
      <c r="A4137" s="5">
        <v>4076</v>
      </c>
      <c r="B4137" s="1832">
        <f>'Acct Summary 7-8'!D19</f>
        <v>931198</v>
      </c>
      <c r="C4137" s="2" t="s">
        <v>569</v>
      </c>
      <c r="D4137" s="2" t="str">
        <f t="shared" si="63"/>
        <v>Error?</v>
      </c>
    </row>
    <row r="4138" spans="1:4" x14ac:dyDescent="0.2">
      <c r="A4138" s="5">
        <v>4077</v>
      </c>
      <c r="B4138" s="1832">
        <f>'Acct Summary 7-8'!E19</f>
        <v>2098760</v>
      </c>
      <c r="C4138" s="2" t="s">
        <v>569</v>
      </c>
      <c r="D4138" s="2" t="str">
        <f t="shared" si="63"/>
        <v>Error?</v>
      </c>
    </row>
    <row r="4139" spans="1:4" x14ac:dyDescent="0.2">
      <c r="A4139" s="5">
        <v>4078</v>
      </c>
      <c r="B4139" s="1832">
        <f>'Acct Summary 7-8'!F19</f>
        <v>329707</v>
      </c>
      <c r="C4139" s="2" t="s">
        <v>569</v>
      </c>
      <c r="D4139" s="2" t="str">
        <f t="shared" si="63"/>
        <v>Error?</v>
      </c>
    </row>
    <row r="4140" spans="1:4" x14ac:dyDescent="0.2">
      <c r="A4140" s="5">
        <v>4079</v>
      </c>
      <c r="B4140" s="1832">
        <f>'Acct Summary 7-8'!G19</f>
        <v>203304</v>
      </c>
      <c r="C4140" s="2" t="s">
        <v>569</v>
      </c>
      <c r="D4140" s="2" t="str">
        <f t="shared" si="63"/>
        <v>Error?</v>
      </c>
    </row>
    <row r="4141" spans="1:4" x14ac:dyDescent="0.2">
      <c r="A4141" s="5">
        <v>4080</v>
      </c>
      <c r="B4141" s="1832">
        <f>'Acct Summary 7-8'!H19</f>
        <v>2616609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9137082</v>
      </c>
      <c r="C4171" s="2" t="s">
        <v>569</v>
      </c>
      <c r="D4171" s="2" t="str">
        <f t="shared" si="64"/>
        <v>Error?</v>
      </c>
    </row>
    <row r="4172" spans="1:4" x14ac:dyDescent="0.2">
      <c r="A4172" s="5">
        <v>4111</v>
      </c>
      <c r="B4172" s="1832">
        <f>'Short-Term Long-Term Debt 24'!J49</f>
        <v>9020198</v>
      </c>
      <c r="C4172" s="2" t="s">
        <v>569</v>
      </c>
      <c r="D4172" s="2" t="str">
        <f t="shared" si="64"/>
        <v>Error?</v>
      </c>
    </row>
    <row r="4173" spans="1:4" x14ac:dyDescent="0.2">
      <c r="A4173" s="5">
        <v>4112</v>
      </c>
      <c r="B4173" s="1832">
        <f>'Short-Term Long-Term Debt 24'!H49</f>
        <v>1816128</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1750.0000000000002</v>
      </c>
      <c r="C4265" s="2" t="s">
        <v>569</v>
      </c>
      <c r="D4265" s="2" t="str">
        <f t="shared" si="65"/>
        <v>Error?</v>
      </c>
      <c r="E4265" s="125"/>
    </row>
    <row r="4266" spans="1:5" x14ac:dyDescent="0.2">
      <c r="A4266" s="12">
        <v>4205</v>
      </c>
      <c r="B4266" s="1832">
        <f>('FP Info 3'!F10)*100000</f>
        <v>550</v>
      </c>
      <c r="C4266" s="2" t="s">
        <v>569</v>
      </c>
      <c r="D4266" s="2" t="str">
        <f t="shared" si="65"/>
        <v>Error?</v>
      </c>
      <c r="E4266" s="125"/>
    </row>
    <row r="4267" spans="1:5" x14ac:dyDescent="0.2">
      <c r="A4267" s="12">
        <v>4206</v>
      </c>
      <c r="B4267" s="1832">
        <f>('FP Info 3'!H10)*100000</f>
        <v>119.1</v>
      </c>
      <c r="C4267" s="2" t="s">
        <v>569</v>
      </c>
      <c r="D4267" s="2" t="str">
        <f t="shared" si="65"/>
        <v>Error?</v>
      </c>
      <c r="E4267" s="125"/>
    </row>
    <row r="4268" spans="1:5" x14ac:dyDescent="0.2">
      <c r="A4268" s="12">
        <v>4207</v>
      </c>
      <c r="B4268" s="1832">
        <f>('FP Info 3'!J10)*100000</f>
        <v>2419</v>
      </c>
      <c r="C4268" s="2" t="s">
        <v>569</v>
      </c>
      <c r="D4268" s="2" t="str">
        <f t="shared" si="65"/>
        <v>Error?</v>
      </c>
    </row>
    <row r="4269" spans="1:5" x14ac:dyDescent="0.2">
      <c r="A4269" s="12">
        <v>4208</v>
      </c>
      <c r="B4269" s="1832">
        <f>'FP Info 3'!J16</f>
        <v>5727712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3105631</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18708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24730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186986434</v>
      </c>
      <c r="D4995" s="2" t="str">
        <f t="shared" si="77"/>
        <v>Error?</v>
      </c>
    </row>
    <row r="4996" spans="1:4" x14ac:dyDescent="0.2">
      <c r="A4996" s="12">
        <v>4935</v>
      </c>
      <c r="B4996" s="1832">
        <f>'FP Info 3'!H31</f>
        <v>12902063.946</v>
      </c>
      <c r="D4996" s="2" t="str">
        <f t="shared" si="77"/>
        <v>Error?</v>
      </c>
    </row>
    <row r="4997" spans="1:4" x14ac:dyDescent="0.2">
      <c r="A4997" s="12">
        <v>4936</v>
      </c>
      <c r="B4997" s="1832">
        <f>'FP Info 3'!H37</f>
        <v>9137082</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65870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3178830</v>
      </c>
      <c r="D5061" s="2" t="str">
        <f t="shared" si="78"/>
        <v>Error?</v>
      </c>
    </row>
    <row r="5062" spans="1:4" x14ac:dyDescent="0.2">
      <c r="A5062" s="10">
        <v>5001</v>
      </c>
      <c r="B5062" s="1832"/>
      <c r="D5062" s="2" t="str">
        <f t="shared" si="78"/>
        <v>OK</v>
      </c>
    </row>
    <row r="5063" spans="1:4" x14ac:dyDescent="0.2">
      <c r="A5063" s="5">
        <v>5002</v>
      </c>
      <c r="B5063" s="1832">
        <f>'Revenues 9-14'!C7</f>
        <v>36327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3281027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28746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28746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7585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7585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3363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105450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118695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6824</v>
      </c>
      <c r="D5101" s="2" t="str">
        <f t="shared" si="78"/>
        <v>Error?</v>
      </c>
    </row>
    <row r="5102" spans="1:4" x14ac:dyDescent="0.2">
      <c r="A5102" s="5">
        <v>5041</v>
      </c>
      <c r="B5102" s="1832">
        <f>'Revenues 9-14'!C82</f>
        <v>125519</v>
      </c>
      <c r="C5102" s="2" t="s">
        <v>569</v>
      </c>
      <c r="D5102" s="2" t="str">
        <f t="shared" si="78"/>
        <v>Error?</v>
      </c>
    </row>
    <row r="5103" spans="1:4" x14ac:dyDescent="0.2">
      <c r="A5103" s="5">
        <v>5042</v>
      </c>
      <c r="B5103" s="1832">
        <f>'Revenues 9-14'!C84</f>
        <v>85683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10747</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1262</v>
      </c>
      <c r="D5111" s="2" t="str">
        <f t="shared" si="78"/>
        <v>Error?</v>
      </c>
    </row>
    <row r="5112" spans="1:4" x14ac:dyDescent="0.2">
      <c r="A5112" s="5">
        <v>5051</v>
      </c>
      <c r="B5112" s="1832">
        <f>'Revenues 9-14'!C93</f>
        <v>97692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85432</v>
      </c>
      <c r="D5118" s="2" t="str">
        <f t="shared" si="78"/>
        <v>Error?</v>
      </c>
    </row>
    <row r="5119" spans="1:4" x14ac:dyDescent="0.2">
      <c r="A5119" s="5">
        <v>5058</v>
      </c>
      <c r="B5119" s="1832">
        <f>'Revenues 9-14'!C107</f>
        <v>1429</v>
      </c>
      <c r="D5119" s="2" t="str">
        <f t="shared" ref="D5119:D5182" si="79">IF(ISBLANK(B5119),"OK",IF(A5119-B5119=0,"OK","Error?"))</f>
        <v>Error?</v>
      </c>
    </row>
    <row r="5120" spans="1:4" x14ac:dyDescent="0.2">
      <c r="A5120" s="5">
        <v>5059</v>
      </c>
      <c r="B5120" s="1832">
        <f>'Revenues 9-14'!C108</f>
        <v>101761</v>
      </c>
      <c r="C5120" s="2" t="s">
        <v>569</v>
      </c>
      <c r="D5120" s="2" t="str">
        <f t="shared" si="79"/>
        <v>Error?</v>
      </c>
    </row>
    <row r="5121" spans="1:4" x14ac:dyDescent="0.2">
      <c r="A5121" s="5">
        <v>5060</v>
      </c>
      <c r="B5121" s="1832">
        <f>'Revenues 9-14'!C109</f>
        <v>3747780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1229282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1229282</v>
      </c>
      <c r="C5132" s="2" t="s">
        <v>569</v>
      </c>
      <c r="D5132" s="2" t="str">
        <f t="shared" si="79"/>
        <v>Error?</v>
      </c>
    </row>
    <row r="5133" spans="1:4" x14ac:dyDescent="0.2">
      <c r="A5133" s="5">
        <v>5072</v>
      </c>
      <c r="B5133" s="1832">
        <f>'Revenues 9-14'!C125</f>
        <v>32247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36571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68818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625</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69443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1298725</v>
      </c>
      <c r="C5223" s="2" t="s">
        <v>569</v>
      </c>
      <c r="D5223" s="2" t="str">
        <f t="shared" si="80"/>
        <v>Error?</v>
      </c>
    </row>
    <row r="5224" spans="1:4" x14ac:dyDescent="0.2">
      <c r="A5224" s="5">
        <v>5163</v>
      </c>
      <c r="B5224" s="1832">
        <f>'Revenues 9-14'!C173</f>
        <v>21679</v>
      </c>
      <c r="D5224" s="2" t="str">
        <f t="shared" si="80"/>
        <v>Error?</v>
      </c>
    </row>
    <row r="5225" spans="1:4" x14ac:dyDescent="0.2">
      <c r="A5225" s="5">
        <v>5164</v>
      </c>
      <c r="B5225" s="1832">
        <f>'Revenues 9-14'!C175</f>
        <v>21679</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70916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70916</v>
      </c>
      <c r="C5246" s="2" t="s">
        <v>569</v>
      </c>
      <c r="D5246" s="2" t="str">
        <f t="shared" si="80"/>
        <v>Error?</v>
      </c>
    </row>
    <row r="5247" spans="1:4" x14ac:dyDescent="0.2">
      <c r="A5247" s="5">
        <v>5186</v>
      </c>
      <c r="B5247" s="1832">
        <f>'Revenues 9-14'!C200</f>
        <v>83707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83707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3639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116524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120163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328224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349903</v>
      </c>
      <c r="C5326" s="2" t="s">
        <v>569</v>
      </c>
      <c r="D5326" s="2" t="str">
        <f t="shared" si="82"/>
        <v>Error?</v>
      </c>
    </row>
    <row r="5327" spans="1:5" x14ac:dyDescent="0.2">
      <c r="A5327" s="5">
        <v>5266</v>
      </c>
      <c r="B5327" s="1832">
        <f>'Revenues 9-14'!C268</f>
        <v>5396408</v>
      </c>
      <c r="C5327" s="2" t="s">
        <v>569</v>
      </c>
      <c r="D5327" s="2" t="str">
        <f t="shared" si="82"/>
        <v>Error?</v>
      </c>
    </row>
    <row r="5328" spans="1:5" x14ac:dyDescent="0.2">
      <c r="A5328" s="5">
        <v>5267</v>
      </c>
      <c r="B5328" s="1832">
        <f>'Revenues 9-14'!D5</f>
        <v>999055</v>
      </c>
      <c r="D5328" s="2" t="str">
        <f t="shared" si="82"/>
        <v>Error?</v>
      </c>
    </row>
    <row r="5329" spans="1:4" x14ac:dyDescent="0.2">
      <c r="A5329" s="10">
        <v>5268</v>
      </c>
      <c r="B5329" s="1832"/>
      <c r="D5329" s="2" t="str">
        <f t="shared" si="82"/>
        <v>OK</v>
      </c>
    </row>
    <row r="5330" spans="1:4" x14ac:dyDescent="0.2">
      <c r="A5330" s="5">
        <v>5269</v>
      </c>
      <c r="B5330" s="1832">
        <f>'Revenues 9-14'!D6</f>
        <v>9331</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1008386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14066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14066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3400</v>
      </c>
      <c r="D5354" s="2" t="str">
        <f t="shared" si="82"/>
        <v>Error?</v>
      </c>
    </row>
    <row r="5355" spans="1:4" x14ac:dyDescent="0.2">
      <c r="A5355" s="5">
        <v>5294</v>
      </c>
      <c r="B5355" s="1832">
        <f>'Revenues 9-14'!D108</f>
        <v>3400</v>
      </c>
      <c r="C5355" s="2" t="s">
        <v>569</v>
      </c>
      <c r="D5355" s="2" t="str">
        <f t="shared" si="82"/>
        <v>Error?</v>
      </c>
    </row>
    <row r="5356" spans="1:4" x14ac:dyDescent="0.2">
      <c r="A5356" s="5">
        <v>5295</v>
      </c>
      <c r="B5356" s="1832">
        <f>'Revenues 9-14'!D109</f>
        <v>1025852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1025852</v>
      </c>
      <c r="C5508" s="2" t="s">
        <v>569</v>
      </c>
      <c r="D5508" s="2" t="str">
        <f t="shared" si="85"/>
        <v>Error?</v>
      </c>
    </row>
    <row r="5509" spans="1:4" x14ac:dyDescent="0.2">
      <c r="A5509" s="5">
        <v>5448</v>
      </c>
      <c r="B5509" s="1832">
        <f>'Revenues 9-14'!E5</f>
        <v>1838994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1838994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3664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3664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1842658</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1842658</v>
      </c>
      <c r="C5552" s="2" t="s">
        <v>569</v>
      </c>
      <c r="D5552" s="2" t="str">
        <f t="shared" si="85"/>
        <v>Error?</v>
      </c>
    </row>
    <row r="5553" spans="1:4" x14ac:dyDescent="0.2">
      <c r="A5553" s="5">
        <v>5492</v>
      </c>
      <c r="B5553" s="1832">
        <f>'Revenues 9-14'!F5</f>
        <v>206711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206711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3647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3647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210358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25931</v>
      </c>
      <c r="D5615" s="2" t="str">
        <f t="shared" si="86"/>
        <v>Error?</v>
      </c>
    </row>
    <row r="5616" spans="1:4" x14ac:dyDescent="0.2">
      <c r="A5616" s="10">
        <v>5555</v>
      </c>
      <c r="B5616" s="1832"/>
      <c r="D5616" s="2" t="str">
        <f t="shared" si="86"/>
        <v>OK</v>
      </c>
    </row>
    <row r="5617" spans="1:5" x14ac:dyDescent="0.2">
      <c r="A5617" s="5">
        <v>5556</v>
      </c>
      <c r="B5617" s="1832">
        <f>'Revenues 9-14'!F153</f>
        <v>137015</v>
      </c>
      <c r="D5617" s="2" t="str">
        <f t="shared" si="86"/>
        <v>Error?</v>
      </c>
    </row>
    <row r="5618" spans="1:5" x14ac:dyDescent="0.2">
      <c r="A5618" s="5">
        <v>5557</v>
      </c>
      <c r="B5618" s="1832">
        <f>'Revenues 9-14'!F155</f>
        <v>162946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162946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162946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373304</v>
      </c>
      <c r="C5720" s="2" t="s">
        <v>569</v>
      </c>
      <c r="D5720" s="2" t="str">
        <f t="shared" si="88"/>
        <v>Error?</v>
      </c>
    </row>
    <row r="5721" spans="1:4" x14ac:dyDescent="0.2">
      <c r="A5721" s="5">
        <v>5660</v>
      </c>
      <c r="B5721" s="1832">
        <f>'Revenues 9-14'!G5</f>
        <v>69391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74476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143867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1815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1815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145682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8632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8632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3105631</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3105631</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3114263</v>
      </c>
      <c r="C5915" s="2" t="s">
        <v>569</v>
      </c>
      <c r="D5915" s="2" t="str">
        <f t="shared" si="91"/>
        <v>Error?</v>
      </c>
    </row>
    <row r="5916" spans="1:4" x14ac:dyDescent="0.2">
      <c r="A5916" s="5">
        <v>5855</v>
      </c>
      <c r="B5916" s="1832">
        <f>'Revenues 9-14'!I5</f>
        <v>90822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90822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6538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6538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97360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90822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90822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9692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9692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100514</v>
      </c>
      <c r="C6023" s="2" t="s">
        <v>569</v>
      </c>
      <c r="D6023" s="2" t="str">
        <f t="shared" si="93"/>
        <v>Error?</v>
      </c>
    </row>
    <row r="6024" spans="1:5" x14ac:dyDescent="0.2">
      <c r="A6024" s="5">
        <v>5963</v>
      </c>
      <c r="B6024" s="1832">
        <f>'Revenues 9-14'!G109</f>
        <v>145682</v>
      </c>
      <c r="C6024" s="2" t="s">
        <v>569</v>
      </c>
      <c r="D6024" s="2" t="str">
        <f t="shared" si="93"/>
        <v>Error?</v>
      </c>
    </row>
    <row r="6025" spans="1:5" x14ac:dyDescent="0.2">
      <c r="A6025" s="5">
        <v>5964</v>
      </c>
      <c r="B6025" s="1832">
        <f>'Revenues 9-14'!H109</f>
        <v>8632</v>
      </c>
      <c r="C6025" s="2" t="s">
        <v>569</v>
      </c>
      <c r="D6025" s="2" t="str">
        <f t="shared" si="93"/>
        <v>Error?</v>
      </c>
    </row>
    <row r="6026" spans="1:5" x14ac:dyDescent="0.2">
      <c r="A6026" s="5">
        <v>5965</v>
      </c>
      <c r="B6026" s="1832">
        <f>'Revenues 9-14'!I109</f>
        <v>97360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100514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102087</v>
      </c>
      <c r="D6031" s="2" t="str">
        <f t="shared" si="93"/>
        <v>Error?</v>
      </c>
    </row>
    <row r="6032" spans="1:5" x14ac:dyDescent="0.2">
      <c r="A6032" s="5">
        <v>5971</v>
      </c>
      <c r="B6032" s="1832">
        <f>'Acct Summary 7-8'!G15</f>
        <v>120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12811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699.8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279656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279656</v>
      </c>
      <c r="D6215" s="2" t="str">
        <f t="shared" si="96"/>
        <v>Error?</v>
      </c>
      <c r="E6215" s="2" t="s">
        <v>189</v>
      </c>
    </row>
    <row r="6216" spans="1:5" x14ac:dyDescent="0.2">
      <c r="A6216">
        <v>6155</v>
      </c>
      <c r="B6216" s="1832">
        <f>'Assets-Liab 5-6'!J41</f>
        <v>279656</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279656</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376121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376121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376121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319235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319235</v>
      </c>
      <c r="D6229" s="2" t="str">
        <f t="shared" si="96"/>
        <v>Error?</v>
      </c>
      <c r="E6229" s="2" t="s">
        <v>189</v>
      </c>
    </row>
    <row r="6230" spans="1:5" x14ac:dyDescent="0.2">
      <c r="A6230">
        <v>6169</v>
      </c>
      <c r="B6230" s="1832">
        <f>'Acct Summary 7-8'!J20</f>
        <v>56886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24128</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17778</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56886</v>
      </c>
      <c r="D6263" s="2" t="str">
        <f t="shared" si="96"/>
        <v>Error?</v>
      </c>
      <c r="E6263" s="2" t="s">
        <v>189</v>
      </c>
    </row>
    <row r="6264" spans="1:5" x14ac:dyDescent="0.2">
      <c r="A6264">
        <v>6203</v>
      </c>
      <c r="B6264" s="1832">
        <f>'Acct Summary 7-8'!J79</f>
        <v>222770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279656</v>
      </c>
      <c r="D6266" s="2" t="str">
        <f t="shared" si="96"/>
        <v>Error?</v>
      </c>
      <c r="E6266" s="2" t="s">
        <v>189</v>
      </c>
    </row>
    <row r="6267" spans="1:5" x14ac:dyDescent="0.2">
      <c r="A6267">
        <v>6206</v>
      </c>
      <c r="B6267" s="1832">
        <f>'Acct Summary 7-8'!C82</f>
        <v>-10344</v>
      </c>
      <c r="D6267" s="2" t="str">
        <f t="shared" si="96"/>
        <v>Error?</v>
      </c>
      <c r="E6267" s="2" t="s">
        <v>189</v>
      </c>
    </row>
    <row r="6268" spans="1:5" x14ac:dyDescent="0.2">
      <c r="A6268">
        <v>6207</v>
      </c>
      <c r="B6268" s="1832">
        <f>'Acct Summary 7-8'!D82</f>
        <v>1594654</v>
      </c>
      <c r="D6268" s="2" t="str">
        <f t="shared" si="96"/>
        <v>Error?</v>
      </c>
      <c r="E6268" s="2" t="s">
        <v>189</v>
      </c>
    </row>
    <row r="6269" spans="1:5" x14ac:dyDescent="0.2">
      <c r="A6269">
        <v>6208</v>
      </c>
      <c r="B6269" s="1832">
        <f>'Acct Summary 7-8'!E82</f>
        <v>-8331</v>
      </c>
      <c r="D6269" s="2" t="str">
        <f t="shared" si="96"/>
        <v>Error?</v>
      </c>
      <c r="E6269" s="2" t="s">
        <v>189</v>
      </c>
    </row>
    <row r="6270" spans="1:5" x14ac:dyDescent="0.2">
      <c r="A6270">
        <v>6209</v>
      </c>
      <c r="B6270" s="1832">
        <f>'Acct Summary 7-8'!F82</f>
        <v>43597</v>
      </c>
      <c r="D6270" s="2" t="str">
        <f t="shared" si="96"/>
        <v>Error?</v>
      </c>
      <c r="E6270" s="2" t="s">
        <v>189</v>
      </c>
    </row>
    <row r="6271" spans="1:5" x14ac:dyDescent="0.2">
      <c r="A6271">
        <v>6210</v>
      </c>
      <c r="B6271" s="1832">
        <f>'Acct Summary 7-8'!G82</f>
        <v>-57622</v>
      </c>
      <c r="D6271" s="2" t="str">
        <f t="shared" ref="D6271:D6334" si="97">IF(ISBLANK(B6271),"OK",IF(A6271-B6271=0,"OK","Error?"))</f>
        <v>Error?</v>
      </c>
      <c r="E6271" s="2" t="s">
        <v>189</v>
      </c>
    </row>
    <row r="6272" spans="1:5" x14ac:dyDescent="0.2">
      <c r="A6272">
        <v>6211</v>
      </c>
      <c r="B6272" s="1832">
        <f>'Acct Summary 7-8'!H82</f>
        <v>1360693</v>
      </c>
      <c r="D6272" s="2" t="str">
        <f t="shared" si="97"/>
        <v>Error?</v>
      </c>
      <c r="E6272" s="2" t="s">
        <v>189</v>
      </c>
    </row>
    <row r="6273" spans="1:5" x14ac:dyDescent="0.2">
      <c r="A6273">
        <v>6212</v>
      </c>
      <c r="B6273" s="1832">
        <f>'Acct Summary 7-8'!I82</f>
        <v>-879640</v>
      </c>
      <c r="D6273" s="2" t="str">
        <f t="shared" si="97"/>
        <v>Error?</v>
      </c>
      <c r="E6273" s="2" t="s">
        <v>189</v>
      </c>
    </row>
    <row r="6274" spans="1:5" x14ac:dyDescent="0.2">
      <c r="A6274">
        <v>6213</v>
      </c>
      <c r="B6274" s="1832">
        <f>'Acct Summary 7-8'!J82</f>
        <v>56886</v>
      </c>
      <c r="D6274" s="2" t="str">
        <f t="shared" si="97"/>
        <v>Error?</v>
      </c>
      <c r="E6274" s="2" t="s">
        <v>189</v>
      </c>
    </row>
    <row r="6275" spans="1:5" x14ac:dyDescent="0.2">
      <c r="A6275">
        <v>6214</v>
      </c>
      <c r="B6275" s="1832">
        <f>'Acct Summary 7-8'!K82</f>
        <v>8600514</v>
      </c>
      <c r="D6275" s="2" t="str">
        <f t="shared" si="97"/>
        <v>Error?</v>
      </c>
      <c r="E6275" s="2" t="s">
        <v>189</v>
      </c>
    </row>
    <row r="6276" spans="1:5" x14ac:dyDescent="0.2">
      <c r="A6276">
        <v>6215</v>
      </c>
      <c r="B6276" s="1832">
        <f>'Acct Summary 7-8'!C83</f>
        <v>-0.1640316518926119</v>
      </c>
      <c r="D6276" s="2" t="str">
        <f t="shared" si="97"/>
        <v>Error?</v>
      </c>
      <c r="E6276" s="2" t="s">
        <v>189</v>
      </c>
    </row>
    <row r="6277" spans="1:5" x14ac:dyDescent="0.2">
      <c r="A6277">
        <v>6216</v>
      </c>
      <c r="B6277" s="1832">
        <f>'Acct Summary 7-8'!D83</f>
        <v>0.48899372081691628</v>
      </c>
      <c r="D6277" s="2" t="str">
        <f t="shared" si="97"/>
        <v>Error?</v>
      </c>
      <c r="E6277" s="2" t="s">
        <v>189</v>
      </c>
    </row>
    <row r="6278" spans="1:5" x14ac:dyDescent="0.2">
      <c r="A6278">
        <v>6217</v>
      </c>
      <c r="B6278" s="1832">
        <f>'Acct Summary 7-8'!E83</f>
        <v>-7.1275794805105916E-2</v>
      </c>
      <c r="D6278" s="2" t="str">
        <f t="shared" si="97"/>
        <v>Error?</v>
      </c>
      <c r="E6278" s="2" t="s">
        <v>189</v>
      </c>
    </row>
    <row r="6279" spans="1:5" x14ac:dyDescent="0.2">
      <c r="A6279">
        <v>6218</v>
      </c>
      <c r="B6279" s="1832">
        <f>'Acct Summary 7-8'!F83</f>
        <v>8.0261493739724993E-2</v>
      </c>
      <c r="D6279" s="2" t="str">
        <f t="shared" si="97"/>
        <v>Error?</v>
      </c>
      <c r="E6279" s="2" t="s">
        <v>189</v>
      </c>
    </row>
    <row r="6280" spans="1:5" x14ac:dyDescent="0.2">
      <c r="A6280">
        <v>6219</v>
      </c>
      <c r="B6280" s="1832">
        <f>'Acct Summary 7-8'!G83</f>
        <v>-0.35519364840624557</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-0.47283041930883679</v>
      </c>
      <c r="D6282" s="2" t="str">
        <f t="shared" si="97"/>
        <v>Error?</v>
      </c>
      <c r="E6282" s="2" t="s">
        <v>189</v>
      </c>
    </row>
    <row r="6283" spans="1:5" x14ac:dyDescent="0.2">
      <c r="A6283">
        <v>6222</v>
      </c>
      <c r="B6283" s="1832">
        <f>'Acct Summary 7-8'!J83</f>
        <v>0.20341419458191493</v>
      </c>
      <c r="D6283" s="2" t="str">
        <f t="shared" si="97"/>
        <v>Error?</v>
      </c>
      <c r="E6283" s="2" t="s">
        <v>189</v>
      </c>
    </row>
    <row r="6284" spans="1:5" x14ac:dyDescent="0.2">
      <c r="A6284">
        <v>6223</v>
      </c>
      <c r="B6284" s="1832">
        <f>'Acct Summary 7-8'!K83</f>
        <v>0.95730773957086679</v>
      </c>
      <c r="D6284" s="2" t="str">
        <f t="shared" si="97"/>
        <v>Error?</v>
      </c>
      <c r="E6284" s="2" t="s">
        <v>189</v>
      </c>
    </row>
    <row r="6285" spans="1:5" x14ac:dyDescent="0.2">
      <c r="A6285">
        <v>6224</v>
      </c>
      <c r="B6285" s="1832">
        <f>'Acct Summary 7-8'!E37</f>
        <v>24128</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372741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372741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1721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1721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10900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1659</v>
      </c>
      <c r="D6350" s="2" t="str">
        <f t="shared" si="98"/>
        <v>Error?</v>
      </c>
      <c r="E6350" s="2" t="s">
        <v>189</v>
      </c>
    </row>
    <row r="6351" spans="1:5" x14ac:dyDescent="0.2">
      <c r="A6351">
        <v>6290</v>
      </c>
      <c r="B6351" s="1832">
        <f>'Revenues 9-14'!J108</f>
        <v>1659</v>
      </c>
      <c r="D6351" s="2" t="str">
        <f t="shared" si="98"/>
        <v>Error?</v>
      </c>
      <c r="E6351" s="2" t="s">
        <v>189</v>
      </c>
    </row>
    <row r="6352" spans="1:5" x14ac:dyDescent="0.2">
      <c r="A6352">
        <v>6291</v>
      </c>
      <c r="B6352" s="1832">
        <f>'Revenues 9-14'!J109</f>
        <v>376121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70321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974</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75056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974</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170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170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170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364225</v>
      </c>
      <c r="D6983" s="2" t="str">
        <f t="shared" si="108"/>
        <v>Error?</v>
      </c>
    </row>
    <row r="6984" spans="1:4" x14ac:dyDescent="0.2">
      <c r="A6984">
        <v>6923</v>
      </c>
      <c r="B6984" s="1832">
        <f>'Expenditures 15-22'!K86</f>
        <v>364225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364225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1144</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319235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376121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10904</v>
      </c>
      <c r="D7073" s="2" t="str">
        <f t="shared" si="109"/>
        <v>Error?</v>
      </c>
    </row>
    <row r="7074" spans="1:4" x14ac:dyDescent="0.2">
      <c r="A7074">
        <v>7013</v>
      </c>
      <c r="B7074" s="1832">
        <f>'Expenditures 15-22'!K216</f>
        <v>10904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7061</v>
      </c>
      <c r="D7089" s="2" t="str">
        <f t="shared" si="109"/>
        <v>Error?</v>
      </c>
    </row>
    <row r="7090" spans="1:4" x14ac:dyDescent="0.2">
      <c r="A7090">
        <v>7029</v>
      </c>
      <c r="B7090" s="1832">
        <f>'Expenditures 15-22'!K252</f>
        <v>7061</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35993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35993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4896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4896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38619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38619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6808</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6808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182479</v>
      </c>
      <c r="D7172" s="2" t="str">
        <f t="shared" si="111"/>
        <v>Error?</v>
      </c>
    </row>
    <row r="7173" spans="1:4" x14ac:dyDescent="0.2">
      <c r="A7173">
        <v>7112</v>
      </c>
      <c r="B7173" s="1832">
        <f>'Expenditures 15-22'!D325</f>
        <v>19761</v>
      </c>
      <c r="D7173" s="2" t="str">
        <f t="shared" si="111"/>
        <v>Error?</v>
      </c>
    </row>
    <row r="7174" spans="1:4" x14ac:dyDescent="0.2">
      <c r="A7174">
        <v>7113</v>
      </c>
      <c r="B7174" s="1832">
        <f>'Expenditures 15-22'!E325</f>
        <v>500</v>
      </c>
      <c r="D7174" s="2" t="str">
        <f t="shared" si="111"/>
        <v>Error?</v>
      </c>
    </row>
    <row r="7175" spans="1:4" x14ac:dyDescent="0.2">
      <c r="A7175">
        <v>7114</v>
      </c>
      <c r="B7175" s="1832">
        <f>'Expenditures 15-22'!F325</f>
        <v>7085</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209825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23094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23094</v>
      </c>
      <c r="D7198" s="2" t="str">
        <f t="shared" si="111"/>
        <v>Error?</v>
      </c>
    </row>
    <row r="7199" spans="1:4" x14ac:dyDescent="0.2">
      <c r="A7199">
        <v>7138</v>
      </c>
      <c r="B7199" s="1832">
        <f>'Expenditures 15-22'!C330</f>
        <v>182479</v>
      </c>
      <c r="D7199" s="2" t="str">
        <f t="shared" si="111"/>
        <v>Error?</v>
      </c>
    </row>
    <row r="7200" spans="1:4" x14ac:dyDescent="0.2">
      <c r="A7200">
        <v>7139</v>
      </c>
      <c r="B7200" s="1832">
        <f>'Expenditures 15-22'!D330</f>
        <v>19761</v>
      </c>
      <c r="D7200" s="2" t="str">
        <f t="shared" si="111"/>
        <v>Error?</v>
      </c>
    </row>
    <row r="7201" spans="1:4" x14ac:dyDescent="0.2">
      <c r="A7201">
        <v>7140</v>
      </c>
      <c r="B7201" s="1832">
        <f>'Expenditures 15-22'!E330</f>
        <v>103102</v>
      </c>
      <c r="D7201" s="2" t="str">
        <f t="shared" si="111"/>
        <v>Error?</v>
      </c>
    </row>
    <row r="7202" spans="1:4" x14ac:dyDescent="0.2">
      <c r="A7202">
        <v>7141</v>
      </c>
      <c r="B7202" s="1832">
        <f>'Expenditures 15-22'!F330</f>
        <v>7085</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6808</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319235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182479</v>
      </c>
      <c r="D7216" s="2" t="str">
        <f t="shared" si="111"/>
        <v>Error?</v>
      </c>
    </row>
    <row r="7217" spans="1:4" x14ac:dyDescent="0.2">
      <c r="A7217">
        <v>7156</v>
      </c>
      <c r="B7217" s="1832">
        <f>'Expenditures 15-22'!D342</f>
        <v>19761</v>
      </c>
      <c r="D7217" s="2" t="str">
        <f t="shared" si="111"/>
        <v>Error?</v>
      </c>
    </row>
    <row r="7218" spans="1:4" x14ac:dyDescent="0.2">
      <c r="A7218">
        <v>7157</v>
      </c>
      <c r="B7218" s="1832">
        <f>'Expenditures 15-22'!E342</f>
        <v>103102</v>
      </c>
      <c r="D7218" s="2" t="str">
        <f t="shared" si="111"/>
        <v>Error?</v>
      </c>
    </row>
    <row r="7219" spans="1:4" x14ac:dyDescent="0.2">
      <c r="A7219">
        <v>7158</v>
      </c>
      <c r="B7219" s="1832">
        <f>'Expenditures 15-22'!F342</f>
        <v>7085</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6808</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319235</v>
      </c>
      <c r="D7224" s="2" t="str">
        <f t="shared" si="111"/>
        <v>Error?</v>
      </c>
    </row>
    <row r="7225" spans="1:4" x14ac:dyDescent="0.2">
      <c r="A7225">
        <v>7164</v>
      </c>
      <c r="B7225" s="1832">
        <f>'Expenditures 15-22'!K343</f>
        <v>56886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3463</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1272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1144</v>
      </c>
      <c r="D7624" s="2" t="str">
        <f t="shared" si="124"/>
        <v>Error?</v>
      </c>
      <c r="E7624" s="2" t="s">
        <v>19</v>
      </c>
    </row>
    <row r="7625" spans="1:5" x14ac:dyDescent="0.2">
      <c r="A7625">
        <f t="shared" si="123"/>
        <v>7564</v>
      </c>
      <c r="B7625" s="1832">
        <f>'Cap Outlay Deprec 26'!I17</f>
        <v>114.4</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403640.4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36327</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350000</v>
      </c>
      <c r="D7748" s="2" t="str">
        <f t="shared" si="127"/>
        <v>Error?</v>
      </c>
      <c r="E7748" s="4" t="s">
        <v>1324</v>
      </c>
    </row>
    <row r="7749" spans="1:6" x14ac:dyDescent="0.2">
      <c r="A7749">
        <v>7688</v>
      </c>
      <c r="B7749" s="1832">
        <f>'Acct Summary 7-8'!D25</f>
        <v>1500000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10953210</v>
      </c>
      <c r="D7817" s="2" t="str">
        <f t="shared" si="128"/>
        <v>Error?</v>
      </c>
      <c r="E7817" s="4" t="s">
        <v>1969</v>
      </c>
    </row>
    <row r="7818" spans="1:5" x14ac:dyDescent="0.2">
      <c r="A7818">
        <v>7757</v>
      </c>
      <c r="B7818" s="1832">
        <f>'PCTC-OEPP 27-28'!F172</f>
        <v>214225</v>
      </c>
      <c r="D7818" s="2" t="str">
        <f t="shared" si="128"/>
        <v>Error?</v>
      </c>
      <c r="E7818" s="4" t="s">
        <v>1983</v>
      </c>
    </row>
    <row r="7819" spans="1:5" x14ac:dyDescent="0.2">
      <c r="A7819">
        <v>7758</v>
      </c>
      <c r="B7819" s="1832">
        <f>'PCTC-OEPP 27-28'!F173</f>
        <v>141</v>
      </c>
      <c r="D7819" s="2" t="str">
        <f t="shared" si="128"/>
        <v>Error?</v>
      </c>
      <c r="E7819" s="4" t="s">
        <v>1983</v>
      </c>
    </row>
    <row r="7820" spans="1:5" x14ac:dyDescent="0.2">
      <c r="A7820">
        <v>7759</v>
      </c>
      <c r="B7820" s="1832">
        <f>'ICR Computation 30'!E40</f>
        <v>-115365</v>
      </c>
      <c r="D7820" s="2" t="str">
        <f t="shared" si="128"/>
        <v>Error?</v>
      </c>
    </row>
    <row r="7821" spans="1:5" x14ac:dyDescent="0.2">
      <c r="A7821">
        <v>7760</v>
      </c>
      <c r="B7821" s="1832">
        <f>'ICR Computation 30'!G40</f>
        <v>-115365</v>
      </c>
      <c r="D7821" s="2" t="str">
        <f t="shared" si="128"/>
        <v>Error?</v>
      </c>
    </row>
    <row r="7822" spans="1:5" x14ac:dyDescent="0.2">
      <c r="A7822" s="1">
        <v>7761</v>
      </c>
      <c r="B7822" s="1832">
        <f>'PCTC-OEPP 27-28'!F14</f>
        <v>9683046</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75056</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7180</v>
      </c>
      <c r="D7830" s="2" t="str">
        <f t="shared" si="129"/>
        <v>Error?</v>
      </c>
      <c r="E7830" s="4" t="s">
        <v>2001</v>
      </c>
    </row>
    <row r="7831" spans="1:5" x14ac:dyDescent="0.2">
      <c r="A7831">
        <v>7770</v>
      </c>
      <c r="B7831" s="1832">
        <f>'PCTC-OEPP 27-28'!F52</f>
        <v>117827</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2608187</v>
      </c>
      <c r="D7834" s="2" t="str">
        <f t="shared" si="129"/>
        <v>Error?</v>
      </c>
      <c r="E7834" s="4" t="s">
        <v>2001</v>
      </c>
    </row>
    <row r="7835" spans="1:5" x14ac:dyDescent="0.2">
      <c r="A7835">
        <v>7774</v>
      </c>
      <c r="B7835" s="1832">
        <f>'PCTC-OEPP 27-28'!F78</f>
        <v>7074859</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10109.829951414691</v>
      </c>
      <c r="D7837" s="2" t="str">
        <f t="shared" si="129"/>
        <v>Error?</v>
      </c>
      <c r="E7837" s="4" t="s">
        <v>2001</v>
      </c>
    </row>
    <row r="7838" spans="1:5" x14ac:dyDescent="0.2">
      <c r="A7838">
        <v>7777</v>
      </c>
      <c r="B7838" s="1832">
        <f>'PCTC-OEPP 27-28'!F96</f>
        <v>125519</v>
      </c>
      <c r="D7838" s="2" t="str">
        <f t="shared" si="129"/>
        <v>Error?</v>
      </c>
      <c r="E7838" s="4" t="s">
        <v>2001</v>
      </c>
    </row>
    <row r="7839" spans="1:5" x14ac:dyDescent="0.2">
      <c r="A7839">
        <v>7778</v>
      </c>
      <c r="B7839" s="1832">
        <f>'PCTC-OEPP 27-28'!F102</f>
        <v>0</v>
      </c>
      <c r="D7839" s="2" t="str">
        <f t="shared" si="129"/>
        <v>Error?</v>
      </c>
      <c r="E7839" s="4" t="s">
        <v>2001</v>
      </c>
    </row>
    <row r="7840" spans="1:5" x14ac:dyDescent="0.2">
      <c r="A7840">
        <v>7779</v>
      </c>
      <c r="B7840" s="1832">
        <f>'PCTC-OEPP 27-28'!F103</f>
        <v>0</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68818</v>
      </c>
      <c r="D7842" s="2" t="str">
        <f t="shared" si="129"/>
        <v>Error?</v>
      </c>
      <c r="E7842" s="4" t="s">
        <v>2001</v>
      </c>
    </row>
    <row r="7843" spans="1:5" x14ac:dyDescent="0.2">
      <c r="A7843">
        <v>7782</v>
      </c>
      <c r="B7843" s="1832">
        <f>'PCTC-OEPP 27-28'!F107</f>
        <v>0</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0</v>
      </c>
      <c r="D7846" s="2" t="str">
        <f t="shared" si="129"/>
        <v>Error?</v>
      </c>
      <c r="E7846" s="4" t="s">
        <v>2001</v>
      </c>
    </row>
    <row r="7847" spans="1:5" x14ac:dyDescent="0.2">
      <c r="A7847">
        <v>7786</v>
      </c>
      <c r="B7847" s="1832">
        <f>'PCTC-OEPP 27-28'!F112</f>
        <v>162946</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0</v>
      </c>
      <c r="D7855" s="2" t="str">
        <f t="shared" si="129"/>
        <v>Error?</v>
      </c>
      <c r="E7855" s="4" t="s">
        <v>2001</v>
      </c>
    </row>
    <row r="7856" spans="1:5" x14ac:dyDescent="0.2">
      <c r="A7856">
        <v>7795</v>
      </c>
      <c r="B7856" s="1832">
        <f>'PCTC-OEPP 27-28'!F124</f>
        <v>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70916</v>
      </c>
      <c r="D7858" s="2" t="str">
        <f t="shared" si="129"/>
        <v>Error?</v>
      </c>
      <c r="E7858" s="4" t="s">
        <v>2001</v>
      </c>
    </row>
    <row r="7859" spans="1:5" x14ac:dyDescent="0.2">
      <c r="A7859">
        <v>7798</v>
      </c>
      <c r="B7859" s="1832">
        <f>'PCTC-OEPP 27-28'!F127</f>
        <v>83707</v>
      </c>
      <c r="D7859" s="2" t="str">
        <f t="shared" si="129"/>
        <v>Error?</v>
      </c>
      <c r="E7859" s="4" t="s">
        <v>2001</v>
      </c>
    </row>
    <row r="7860" spans="1:5" x14ac:dyDescent="0.2">
      <c r="A7860">
        <v>7799</v>
      </c>
      <c r="B7860" s="1832">
        <f>'PCTC-OEPP 27-28'!F128</f>
        <v>10000</v>
      </c>
      <c r="D7860" s="2" t="str">
        <f t="shared" si="129"/>
        <v>Error?</v>
      </c>
      <c r="E7860" s="4" t="s">
        <v>2001</v>
      </c>
    </row>
    <row r="7861" spans="1:5" x14ac:dyDescent="0.2">
      <c r="A7861">
        <v>7800</v>
      </c>
      <c r="B7861" s="1832">
        <f>'PCTC-OEPP 27-28'!F129</f>
        <v>116524</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24730</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0</v>
      </c>
      <c r="D7874" s="2" t="str">
        <f t="shared" si="129"/>
        <v>Error?</v>
      </c>
      <c r="E7874" s="4" t="s">
        <v>2001</v>
      </c>
    </row>
    <row r="7875" spans="1:5" x14ac:dyDescent="0.2">
      <c r="A7875">
        <v>7814</v>
      </c>
      <c r="B7875" s="1832">
        <f>'PCTC-OEPP 27-28'!F170</f>
        <v>18708</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1185433</v>
      </c>
      <c r="D7877" s="2" t="str">
        <f t="shared" si="129"/>
        <v>Error?</v>
      </c>
      <c r="E7877" s="4" t="s">
        <v>2001</v>
      </c>
    </row>
    <row r="7878" spans="1:5" x14ac:dyDescent="0.2">
      <c r="A7878">
        <v>7817</v>
      </c>
      <c r="B7878" s="1832">
        <f>'PCTC-OEPP 27-28'!F176</f>
        <v>5889426</v>
      </c>
      <c r="D7878" s="2" t="str">
        <f t="shared" si="129"/>
        <v>Error?</v>
      </c>
      <c r="E7878" s="4" t="s">
        <v>2001</v>
      </c>
    </row>
    <row r="7879" spans="1:5" x14ac:dyDescent="0.2">
      <c r="A7879">
        <v>7818</v>
      </c>
      <c r="B7879" s="1832">
        <f>'PCTC-OEPP 27-28'!F178</f>
        <v>6293066.4000000004</v>
      </c>
      <c r="D7879" s="2" t="str">
        <f t="shared" si="129"/>
        <v>Error?</v>
      </c>
      <c r="E7879" s="4" t="s">
        <v>2001</v>
      </c>
    </row>
    <row r="7880" spans="1:5" x14ac:dyDescent="0.2">
      <c r="A7880">
        <v>7819</v>
      </c>
      <c r="B7880" s="1832">
        <f>'PCTC-OEPP 27-28'!F180</f>
        <v>8992.6641897685058</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1" t="s">
        <v>1183</v>
      </c>
      <c r="B2" s="2511"/>
      <c r="C2" s="2511"/>
      <c r="D2" s="2511"/>
      <c r="E2" s="2511"/>
      <c r="F2" s="2511"/>
      <c r="G2" s="2511"/>
      <c r="H2" s="2511"/>
      <c r="I2" s="2511"/>
      <c r="J2" s="2511"/>
      <c r="K2" s="2511"/>
      <c r="L2" s="2511"/>
    </row>
    <row r="3" spans="1:29" ht="13.5" customHeight="1" x14ac:dyDescent="0.2">
      <c r="A3" s="2543" t="s">
        <v>1182</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4" t="str">
        <f>COVER!A17</f>
        <v xml:space="preserve"> Wolf Branch SD 113</v>
      </c>
      <c r="B7" s="2535"/>
      <c r="C7" s="2535"/>
      <c r="D7" s="2536"/>
      <c r="E7" s="2537">
        <f>COVER!A13</f>
        <v>50082113002</v>
      </c>
      <c r="F7" s="2538"/>
      <c r="G7" s="2544" t="str">
        <f>COVER!T23</f>
        <v>066-003590</v>
      </c>
      <c r="H7" s="2545"/>
      <c r="I7" s="2545"/>
      <c r="J7" s="2545"/>
      <c r="K7" s="2545"/>
      <c r="L7" s="2546"/>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47"/>
      <c r="B9" s="2548"/>
      <c r="C9" s="2548"/>
      <c r="D9" s="2548"/>
      <c r="E9" s="2548"/>
      <c r="F9" s="2549"/>
      <c r="G9" s="2517" t="str">
        <f>COVER!T13</f>
        <v>C. J. Schlosser &amp; Company, L.L.C.</v>
      </c>
      <c r="H9" s="2550"/>
      <c r="I9" s="2550"/>
      <c r="J9" s="2550"/>
      <c r="K9" s="2550"/>
      <c r="L9" s="2551"/>
    </row>
    <row r="10" spans="1:29" ht="13.5" customHeight="1" x14ac:dyDescent="0.2">
      <c r="A10" s="2523">
        <f>COVER!A38</f>
        <v>0</v>
      </c>
      <c r="B10" s="2524"/>
      <c r="C10" s="2524"/>
      <c r="D10" s="2524"/>
      <c r="E10" s="2524"/>
      <c r="F10" s="2525"/>
      <c r="G10" s="2517" t="str">
        <f>COVER!T17</f>
        <v>233 East Center Drive</v>
      </c>
      <c r="H10" s="2518"/>
      <c r="I10" s="2518"/>
      <c r="J10" s="2518"/>
      <c r="K10" s="2518"/>
      <c r="L10" s="2519"/>
    </row>
    <row r="11" spans="1:29" ht="13.5" customHeight="1" x14ac:dyDescent="0.2">
      <c r="A11" s="963" t="s">
        <v>1505</v>
      </c>
      <c r="B11" s="964"/>
      <c r="C11" s="965"/>
      <c r="D11" s="970"/>
      <c r="E11" s="965"/>
      <c r="F11" s="969"/>
      <c r="G11" s="2517" t="str">
        <f>COVER!T19</f>
        <v>Alton</v>
      </c>
      <c r="H11" s="2518"/>
      <c r="I11" s="2518"/>
      <c r="J11" s="2518"/>
      <c r="K11" s="2518"/>
      <c r="L11" s="2519"/>
    </row>
    <row r="12" spans="1:29" ht="13.5" customHeight="1" x14ac:dyDescent="0.2">
      <c r="A12" s="2526" t="s">
        <v>1504</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1506</v>
      </c>
      <c r="H13" s="2513"/>
      <c r="I13" s="2529">
        <f>COVER!T25</f>
        <v>0</v>
      </c>
      <c r="J13" s="2530"/>
      <c r="K13" s="2530"/>
      <c r="L13" s="2531"/>
    </row>
    <row r="14" spans="1:29" ht="13.5" customHeight="1" x14ac:dyDescent="0.2">
      <c r="A14" s="2517" t="str">
        <f>COVER!A19</f>
        <v>410 Huntwood Drive</v>
      </c>
      <c r="B14" s="2518"/>
      <c r="C14" s="2518"/>
      <c r="D14" s="2518"/>
      <c r="E14" s="2518"/>
      <c r="F14" s="2519"/>
      <c r="G14" s="974" t="s">
        <v>1177</v>
      </c>
      <c r="H14" s="972"/>
      <c r="I14" s="972"/>
      <c r="J14" s="972"/>
      <c r="K14" s="972"/>
      <c r="L14" s="973"/>
    </row>
    <row r="15" spans="1:29" ht="13.5" customHeight="1" x14ac:dyDescent="0.2">
      <c r="A15" s="2517" t="str">
        <f>COVER!A21</f>
        <v>Swansea</v>
      </c>
      <c r="B15" s="2518"/>
      <c r="C15" s="2518"/>
      <c r="D15" s="2518"/>
      <c r="E15" s="2518"/>
      <c r="F15" s="2519"/>
      <c r="G15" s="2514" t="str">
        <f>COVER!T15</f>
        <v>Kevin Tepen</v>
      </c>
      <c r="H15" s="2515"/>
      <c r="I15" s="2515"/>
      <c r="J15" s="2515"/>
      <c r="K15" s="2515"/>
      <c r="L15" s="2516"/>
    </row>
    <row r="16" spans="1:29" ht="12.2" customHeight="1" x14ac:dyDescent="0.2">
      <c r="A16" s="2540">
        <f>COVER!A25</f>
        <v>62226</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4" t="s">
        <v>1176</v>
      </c>
      <c r="H17" s="972"/>
      <c r="I17" s="972"/>
      <c r="J17" s="972"/>
      <c r="K17" s="976" t="s">
        <v>1175</v>
      </c>
      <c r="L17" s="969"/>
      <c r="M17" s="962"/>
    </row>
    <row r="18" spans="1:13" ht="12.2" customHeight="1" x14ac:dyDescent="0.2">
      <c r="A18" s="2523"/>
      <c r="B18" s="2524"/>
      <c r="C18" s="2524"/>
      <c r="D18" s="2524"/>
      <c r="E18" s="2524"/>
      <c r="F18" s="2525"/>
      <c r="G18" s="2534" t="str">
        <f>COVER!T21</f>
        <v>(618) 465-7717</v>
      </c>
      <c r="H18" s="2535"/>
      <c r="I18" s="2535"/>
      <c r="J18" s="2535"/>
      <c r="K18" s="2534" t="str">
        <f>COVER!X21</f>
        <v>(618) 465-7710</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Wolf Branch SD 113</v>
      </c>
      <c r="B1" s="2557"/>
      <c r="C1" s="2557"/>
      <c r="D1" s="2557"/>
    </row>
    <row r="2" spans="1:11" s="991" customFormat="1" ht="12.75" x14ac:dyDescent="0.2">
      <c r="A2" s="2558">
        <f>'Single Audit Cover'!E7</f>
        <v>50082113002</v>
      </c>
      <c r="B2" s="2559"/>
      <c r="C2" s="2559"/>
      <c r="D2" s="2559"/>
    </row>
    <row r="3" spans="1:11" s="991" customFormat="1" ht="12.75" x14ac:dyDescent="0.2">
      <c r="A3" s="2556" t="s">
        <v>1499</v>
      </c>
      <c r="B3" s="2557"/>
      <c r="C3" s="2557"/>
      <c r="D3" s="2557"/>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Wolf Branch SD 113</v>
      </c>
      <c r="B1" s="2561"/>
      <c r="C1" s="2561"/>
      <c r="D1" s="2561"/>
      <c r="E1" s="2561"/>
    </row>
    <row r="2" spans="1:5" x14ac:dyDescent="0.2">
      <c r="A2" s="2562">
        <f>'Single Audit Cover'!E7</f>
        <v>50082113002</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1036" t="s">
        <v>1234</v>
      </c>
    </row>
    <row r="10" spans="1:5" x14ac:dyDescent="0.2">
      <c r="A10" s="1037" t="s">
        <v>1233</v>
      </c>
      <c r="B10" s="1038" t="s">
        <v>1232</v>
      </c>
      <c r="C10" s="1038"/>
      <c r="D10" s="1039">
        <f>SUM('Acct Summary 7-8'!C7:K7)</f>
        <v>349903</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12811</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-18708</v>
      </c>
    </row>
    <row r="19" spans="1:4" ht="13.5" thickBot="1" x14ac:dyDescent="0.25">
      <c r="A19" s="1041" t="s">
        <v>1226</v>
      </c>
      <c r="D19" s="1042">
        <f>SUM(D10:D17)</f>
        <v>344006</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1224</v>
      </c>
      <c r="D32" s="1039">
        <f>SUM(D19:D30)</f>
        <v>344006</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1218</v>
      </c>
      <c r="C47" s="1048"/>
      <c r="D47" s="1049">
        <f>SUM(D35:D45)</f>
        <v>0</v>
      </c>
    </row>
    <row r="49" spans="2:4" x14ac:dyDescent="0.2">
      <c r="B49" s="1048" t="s">
        <v>1217</v>
      </c>
      <c r="C49" s="1048"/>
      <c r="D49" s="1049">
        <f>D32-D47</f>
        <v>344006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Wolf Branch SD 113</v>
      </c>
      <c r="C1" s="2565"/>
      <c r="D1" s="2565"/>
      <c r="E1" s="2565"/>
      <c r="F1" s="2565"/>
      <c r="G1" s="2565"/>
      <c r="H1" s="2565"/>
      <c r="I1" s="2565"/>
      <c r="J1" s="2565"/>
      <c r="K1" s="2565"/>
      <c r="L1" s="2565"/>
      <c r="M1" s="2565"/>
    </row>
    <row r="2" spans="2:14" ht="15" x14ac:dyDescent="0.2">
      <c r="B2" s="2566">
        <f>'Single Audit Cover'!E7</f>
        <v>50082113002</v>
      </c>
      <c r="C2" s="2566"/>
      <c r="D2" s="2566"/>
      <c r="E2" s="2566"/>
      <c r="F2" s="2566"/>
      <c r="G2" s="2566"/>
      <c r="H2" s="2566"/>
      <c r="I2" s="2566"/>
      <c r="J2" s="2566"/>
      <c r="K2" s="2566"/>
      <c r="L2" s="2566"/>
      <c r="M2" s="2566"/>
      <c r="N2" s="1078"/>
    </row>
    <row r="3" spans="2:14" ht="15" x14ac:dyDescent="0.2">
      <c r="B3" s="2567" t="s">
        <v>1210</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Wolf Branch SD 113</v>
      </c>
      <c r="B1" s="2578"/>
      <c r="C1" s="2578"/>
      <c r="D1" s="2578"/>
      <c r="E1" s="2578"/>
      <c r="F1" s="2578"/>
    </row>
    <row r="2" spans="1:7" ht="13.5" customHeight="1" x14ac:dyDescent="0.2">
      <c r="A2" s="2566">
        <f>'Single Audit Cover'!E7</f>
        <v>50082113002</v>
      </c>
      <c r="B2" s="2566"/>
      <c r="C2" s="2566"/>
      <c r="D2" s="2566"/>
      <c r="E2" s="2566"/>
      <c r="F2" s="2566"/>
      <c r="G2" s="1051"/>
    </row>
    <row r="3" spans="1:7" ht="15.75" customHeight="1" x14ac:dyDescent="0.2">
      <c r="A3" s="2579" t="s">
        <v>1262</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1708</v>
      </c>
      <c r="C6" s="295"/>
      <c r="D6" s="295"/>
    </row>
    <row r="7" spans="1:7" ht="60.95" customHeight="1" x14ac:dyDescent="0.2">
      <c r="A7" s="2577" t="s">
        <v>1709</v>
      </c>
      <c r="B7" s="2577"/>
      <c r="C7" s="2577"/>
      <c r="D7" s="2577"/>
      <c r="E7" s="2577"/>
      <c r="F7" s="2577"/>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7" t="s">
        <v>1711</v>
      </c>
      <c r="B13" s="2577"/>
      <c r="C13" s="2577"/>
      <c r="D13" s="2577"/>
      <c r="E13" s="2577"/>
      <c r="F13" s="2577"/>
    </row>
    <row r="14" spans="1:7" ht="9.75" customHeight="1" x14ac:dyDescent="0.2">
      <c r="C14" s="1036"/>
      <c r="D14" s="1036"/>
    </row>
    <row r="15" spans="1:7" ht="13.5" customHeight="1" x14ac:dyDescent="0.2">
      <c r="C15" s="1476" t="s">
        <v>1261</v>
      </c>
      <c r="D15" s="2575" t="s">
        <v>1260</v>
      </c>
      <c r="E15" s="2575"/>
      <c r="F15" s="2575"/>
    </row>
    <row r="16" spans="1:7" ht="13.5" customHeight="1" x14ac:dyDescent="0.2">
      <c r="A16" s="1058"/>
      <c r="B16" s="1052" t="s">
        <v>1259</v>
      </c>
      <c r="C16" s="1476" t="s">
        <v>1258</v>
      </c>
      <c r="D16" s="2576" t="s">
        <v>1574</v>
      </c>
      <c r="E16" s="2576"/>
      <c r="F16" s="2576"/>
    </row>
    <row r="17" spans="1:6" ht="20.45" customHeight="1" x14ac:dyDescent="0.2">
      <c r="A17" s="1059"/>
      <c r="B17" s="1060"/>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1" t="s">
        <v>1712</v>
      </c>
      <c r="B32" s="2571"/>
      <c r="C32" s="2571"/>
      <c r="D32" s="2571"/>
      <c r="E32" s="2571"/>
      <c r="F32" s="2571"/>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2">
        <f>+C33+C34</f>
        <v>0</v>
      </c>
      <c r="F34" s="2573"/>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4" t="s">
        <v>1576</v>
      </c>
      <c r="C49" s="2574"/>
      <c r="D49" s="2574"/>
      <c r="E49" s="1168"/>
    </row>
    <row r="50" spans="1:5" s="1076" customFormat="1" ht="3.75" customHeight="1" x14ac:dyDescent="0.2">
      <c r="A50" s="1075"/>
      <c r="B50" s="1475"/>
      <c r="C50" s="1475"/>
      <c r="D50" s="1475"/>
      <c r="E50" s="1168"/>
    </row>
    <row r="51" spans="1:5" s="1076" customFormat="1" ht="20.25" customHeight="1" x14ac:dyDescent="0.2">
      <c r="A51" s="1077">
        <v>6</v>
      </c>
      <c r="B51" s="2569" t="s">
        <v>1537</v>
      </c>
      <c r="C51" s="2569"/>
      <c r="D51" s="2569"/>
    </row>
    <row r="52" spans="1:5" ht="14.25" customHeight="1" x14ac:dyDescent="0.2">
      <c r="A52" s="1077"/>
      <c r="B52" s="2569"/>
      <c r="C52" s="2569"/>
      <c r="D52" s="25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Wolf Branch SD 113</v>
      </c>
      <c r="C1" s="2593"/>
      <c r="D1" s="2593"/>
      <c r="E1" s="2593"/>
      <c r="F1" s="2593"/>
      <c r="G1" s="2593"/>
      <c r="H1" s="2593"/>
      <c r="I1" s="2593"/>
      <c r="J1" s="1178"/>
    </row>
    <row r="2" spans="2:10" s="295" customFormat="1" ht="12.75" customHeight="1" x14ac:dyDescent="0.2">
      <c r="B2" s="2594">
        <f>'Single Audit Cover'!E7</f>
        <v>50082113002</v>
      </c>
      <c r="C2" s="2595"/>
      <c r="D2" s="2595"/>
      <c r="E2" s="2595"/>
      <c r="F2" s="2595"/>
      <c r="G2" s="2595"/>
      <c r="H2" s="2595"/>
      <c r="I2" s="2595"/>
      <c r="J2" s="1178"/>
    </row>
    <row r="3" spans="2:10" s="295" customFormat="1" ht="12.75" customHeight="1" x14ac:dyDescent="0.2">
      <c r="B3" s="2596" t="s">
        <v>1276</v>
      </c>
      <c r="C3" s="2597"/>
      <c r="D3" s="2597"/>
      <c r="E3" s="2597"/>
      <c r="F3" s="2597"/>
      <c r="G3" s="2597"/>
      <c r="H3" s="2597"/>
      <c r="I3" s="2597"/>
      <c r="J3" s="1179"/>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6" t="s">
        <v>1275</v>
      </c>
      <c r="C7" s="2597"/>
      <c r="D7" s="2597"/>
      <c r="E7" s="2597"/>
      <c r="F7" s="2597"/>
      <c r="G7" s="2597"/>
      <c r="H7" s="2597"/>
      <c r="I7" s="2597"/>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8"/>
      <c r="D11" s="2598"/>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99"/>
      <c r="E29" s="2599"/>
      <c r="F29" s="2599"/>
      <c r="G29" s="2599"/>
      <c r="H29" s="2599"/>
      <c r="I29" s="2599"/>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0" t="s">
        <v>1731</v>
      </c>
      <c r="D37" s="2601"/>
      <c r="E37" s="2601"/>
      <c r="F37" s="2602"/>
      <c r="G37" s="2600" t="s">
        <v>1578</v>
      </c>
      <c r="H37" s="2601"/>
      <c r="I37" s="2602"/>
    </row>
    <row r="38" spans="2:9" ht="16.5" customHeight="1" x14ac:dyDescent="0.2">
      <c r="B38" s="1200"/>
      <c r="C38" s="2588"/>
      <c r="D38" s="2589"/>
      <c r="E38" s="2589"/>
      <c r="F38" s="2590"/>
      <c r="G38" s="2603"/>
      <c r="H38" s="2604"/>
      <c r="I38" s="2605"/>
    </row>
    <row r="39" spans="2:9" ht="16.5" customHeight="1" x14ac:dyDescent="0.2">
      <c r="B39" s="1200"/>
      <c r="C39" s="2588"/>
      <c r="D39" s="2589"/>
      <c r="E39" s="2589"/>
      <c r="F39" s="2590"/>
      <c r="G39" s="2591"/>
      <c r="H39" s="2591"/>
      <c r="I39" s="2591"/>
    </row>
    <row r="40" spans="2:9" ht="16.5" customHeight="1" x14ac:dyDescent="0.2">
      <c r="B40" s="1200"/>
      <c r="C40" s="2588"/>
      <c r="D40" s="2589"/>
      <c r="E40" s="2589"/>
      <c r="F40" s="2590"/>
      <c r="G40" s="2591"/>
      <c r="H40" s="2591"/>
      <c r="I40" s="2591"/>
    </row>
    <row r="41" spans="2:9" ht="16.5" customHeight="1" x14ac:dyDescent="0.2">
      <c r="B41" s="1200"/>
      <c r="C41" s="2588"/>
      <c r="D41" s="2589"/>
      <c r="E41" s="2589"/>
      <c r="F41" s="2590"/>
      <c r="G41" s="2591"/>
      <c r="H41" s="2591"/>
      <c r="I41" s="2591"/>
    </row>
    <row r="42" spans="2:9" ht="16.5" customHeight="1" x14ac:dyDescent="0.2">
      <c r="B42" s="1200"/>
      <c r="C42" s="2588"/>
      <c r="D42" s="2589"/>
      <c r="E42" s="2589"/>
      <c r="F42" s="2590"/>
      <c r="G42" s="2591"/>
      <c r="H42" s="2591"/>
      <c r="I42" s="2591"/>
    </row>
    <row r="43" spans="2:9" ht="16.5" customHeight="1" x14ac:dyDescent="0.2">
      <c r="B43" s="1200"/>
      <c r="C43" s="2581" t="s">
        <v>1579</v>
      </c>
      <c r="D43" s="2582"/>
      <c r="E43" s="2582"/>
      <c r="F43" s="2583"/>
      <c r="G43" s="2584">
        <f>SUM(G38:I42)</f>
        <v>0</v>
      </c>
      <c r="H43" s="2584"/>
      <c r="I43" s="2584"/>
    </row>
    <row r="44" spans="2:9" ht="12.75" customHeight="1" x14ac:dyDescent="0.2"/>
    <row r="45" spans="2:9" ht="12.75" customHeight="1" x14ac:dyDescent="0.2">
      <c r="B45" s="1916" t="str">
        <f>"Total Federal Expenditures for 7/1/"&amp;MID('AFR20'!E2,3,2)-1&amp;"-6/30/"&amp;MID('AFR20'!E2,3,2)</f>
        <v>Total Federal Expenditures for 7/1/19-6/30/20</v>
      </c>
      <c r="C45" s="1917"/>
      <c r="D45" s="2585">
        <v>0</v>
      </c>
      <c r="E45" s="2586"/>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87"/>
      <c r="F49" s="2587"/>
      <c r="G49" s="2587"/>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Wolf Branch SD 113</v>
      </c>
      <c r="C1" s="2592"/>
      <c r="D1" s="2592"/>
      <c r="E1" s="2592"/>
      <c r="F1" s="2592"/>
      <c r="G1" s="2592"/>
      <c r="H1" s="2592"/>
      <c r="I1" s="2592"/>
      <c r="J1" s="2592"/>
      <c r="K1" s="2592"/>
      <c r="L1" s="1144"/>
      <c r="M1" s="1144"/>
    </row>
    <row r="2" spans="1:13" ht="12" customHeight="1" x14ac:dyDescent="0.2">
      <c r="B2" s="2594">
        <f>'Single Audit Cover'!E7</f>
        <v>50082113002</v>
      </c>
      <c r="C2" s="2594"/>
      <c r="D2" s="2594"/>
      <c r="E2" s="2594"/>
      <c r="F2" s="2594"/>
      <c r="G2" s="2594"/>
      <c r="H2" s="2594"/>
      <c r="I2" s="2594"/>
      <c r="J2" s="2594"/>
      <c r="K2" s="2594"/>
      <c r="L2" s="1145"/>
      <c r="M2" s="1146"/>
    </row>
    <row r="3" spans="1:13" ht="10.35" customHeight="1" x14ac:dyDescent="0.2">
      <c r="B3" s="2608" t="s">
        <v>1276</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1287</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Wolf Branch SD 113</v>
      </c>
      <c r="C1" s="2615"/>
      <c r="D1" s="2615"/>
      <c r="E1" s="2615"/>
      <c r="F1" s="2615"/>
      <c r="G1" s="2615"/>
      <c r="H1" s="2615"/>
      <c r="I1" s="2615"/>
      <c r="J1" s="2615"/>
      <c r="K1" s="2615"/>
      <c r="L1" s="1221"/>
    </row>
    <row r="2" spans="1:12" ht="12.75" customHeight="1" x14ac:dyDescent="0.2">
      <c r="B2" s="2616">
        <f>'Single Audit Cover'!E7</f>
        <v>50082113002</v>
      </c>
      <c r="C2" s="2616"/>
      <c r="D2" s="2616"/>
      <c r="E2" s="2616"/>
      <c r="F2" s="2616"/>
      <c r="G2" s="2616"/>
      <c r="H2" s="2616"/>
      <c r="I2" s="2616"/>
      <c r="J2" s="2616"/>
      <c r="K2" s="2616"/>
      <c r="L2" s="1222"/>
    </row>
    <row r="3" spans="1:12" ht="12.75" customHeight="1" x14ac:dyDescent="0.2">
      <c r="B3" s="2608" t="s">
        <v>1276</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1161</v>
      </c>
      <c r="C5" s="1036"/>
      <c r="L5" s="300"/>
    </row>
    <row r="6" spans="1:12" ht="30.75" customHeight="1" x14ac:dyDescent="0.2">
      <c r="A6" s="300"/>
      <c r="B6" s="2617" t="s">
        <v>1299</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99"/>
      <c r="G12" s="2599"/>
      <c r="H12" s="2599"/>
      <c r="I12" s="2599"/>
      <c r="J12" s="2599"/>
      <c r="K12" s="25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2"/>
      <c r="E14" s="2612"/>
      <c r="F14" s="2612"/>
      <c r="H14" s="1230" t="s">
        <v>1294</v>
      </c>
      <c r="I14" s="2613"/>
      <c r="J14" s="2613"/>
      <c r="K14" s="261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3"/>
      <c r="E16" s="2613"/>
      <c r="F16" s="2613"/>
      <c r="G16" s="2613"/>
      <c r="H16" s="2613"/>
      <c r="I16" s="2613"/>
      <c r="J16" s="2613"/>
      <c r="K16" s="2613"/>
      <c r="L16" s="300"/>
    </row>
    <row r="17" spans="2:12" ht="13.5" customHeight="1" x14ac:dyDescent="0.2">
      <c r="B17" s="1156" t="s">
        <v>1292</v>
      </c>
      <c r="C17" s="1156"/>
      <c r="D17" s="2614"/>
      <c r="E17" s="2614"/>
      <c r="F17" s="2614"/>
      <c r="G17" s="2614"/>
      <c r="H17" s="2614"/>
      <c r="I17" s="2614"/>
      <c r="J17" s="2614"/>
      <c r="K17" s="261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2" t="str">
        <f>'Single Audit Cover'!A7</f>
        <v xml:space="preserve"> Wolf Branch SD 113</v>
      </c>
      <c r="C1" s="2592"/>
      <c r="D1" s="2592"/>
      <c r="E1" s="1240"/>
    </row>
    <row r="2" spans="2:5" s="1058" customFormat="1" ht="12.75" customHeight="1" x14ac:dyDescent="0.2">
      <c r="B2" s="2594">
        <f>'Single Audit Cover'!E7</f>
        <v>50082113002</v>
      </c>
      <c r="C2" s="2594"/>
      <c r="D2" s="2594"/>
      <c r="E2" s="1241"/>
    </row>
    <row r="3" spans="2:5" ht="12.75" customHeight="1" x14ac:dyDescent="0.2">
      <c r="B3" s="2608" t="s">
        <v>1746</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4d435f69-8686-490b-bd6d-b153bf22ab50"/>
    <ds:schemaRef ds:uri="6ce3111e-7420-4802-b50a-75d4e9a0b980"/>
    <ds:schemaRef ds:uri="http://purl.org/dc/terms/"/>
    <ds:schemaRef ds:uri="http://purl.org/dc/elements/1.1/"/>
    <ds:schemaRef ds:uri="http://schemas.microsoft.com/office/infopath/2007/PartnerControls"/>
    <ds:schemaRef ds:uri="d21dc803-237d-4c68-8692-8d731fd29118"/>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2020-09-24T18:56:59Z</cp:lastPrinted>
  <dcterms:created xsi:type="dcterms:W3CDTF">2003-10-29T19:06:34Z</dcterms:created>
  <dcterms:modified xsi:type="dcterms:W3CDTF">2020-10-18T17:34:12Z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