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AC37157-A5FF-447F-B945-71ECEC97A337}"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(2)'!$B$1:$M$47</definedName>
    <definedName name="_xlnm.Print_Area" localSheetId="29">' SEFA (3)'!$B$1:$M$49</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Sec-1'!$A$1:$J$64</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2" i="36" l="1"/>
  <c r="F208" i="183" l="1"/>
  <c r="D208" i="183"/>
  <c r="E208" i="183"/>
  <c r="F9" i="3" l="1"/>
  <c r="M40" i="3" l="1"/>
  <c r="F203" i="183"/>
  <c r="E203" i="183"/>
  <c r="F202" i="183"/>
  <c r="E202" i="183"/>
  <c r="F201" i="183"/>
  <c r="E201" i="183"/>
  <c r="F200" i="183"/>
  <c r="E200" i="183"/>
  <c r="F199" i="183"/>
  <c r="E199" i="183"/>
  <c r="E198" i="183"/>
  <c r="F198" i="183" s="1"/>
  <c r="E197" i="183"/>
  <c r="F197" i="183" s="1"/>
  <c r="F196" i="183"/>
  <c r="E196" i="183"/>
  <c r="E195" i="183"/>
  <c r="F195" i="183" s="1"/>
  <c r="F194" i="183"/>
  <c r="E194" i="183"/>
  <c r="E193" i="183"/>
  <c r="F193" i="183" s="1"/>
  <c r="F192" i="183"/>
  <c r="E192" i="183"/>
  <c r="F191" i="183"/>
  <c r="E191" i="183"/>
  <c r="F190" i="183"/>
  <c r="E190" i="183"/>
  <c r="E189" i="183"/>
  <c r="F189" i="183" s="1"/>
  <c r="E188" i="183"/>
  <c r="F188" i="183" s="1"/>
  <c r="F187" i="183"/>
  <c r="E187" i="183"/>
  <c r="E186" i="183"/>
  <c r="F186" i="183" s="1"/>
  <c r="F185" i="183"/>
  <c r="E185" i="183"/>
  <c r="F184" i="183"/>
  <c r="E184" i="183"/>
  <c r="F183" i="183"/>
  <c r="E183" i="183"/>
  <c r="F182" i="183"/>
  <c r="E182" i="183"/>
  <c r="F181" i="183"/>
  <c r="E181" i="183"/>
  <c r="F180" i="183"/>
  <c r="E180" i="183"/>
  <c r="E179" i="183"/>
  <c r="F179" i="183" s="1"/>
  <c r="F178" i="183"/>
  <c r="E178" i="183"/>
  <c r="F177" i="183"/>
  <c r="E177" i="183"/>
  <c r="F176" i="183"/>
  <c r="E176" i="183"/>
  <c r="F175" i="183"/>
  <c r="E175" i="183"/>
  <c r="E174" i="183"/>
  <c r="F174" i="183" s="1"/>
  <c r="E173" i="183"/>
  <c r="F173" i="183" s="1"/>
  <c r="F172" i="183"/>
  <c r="E172" i="183"/>
  <c r="E171" i="183"/>
  <c r="F171" i="183" s="1"/>
  <c r="F170" i="183"/>
  <c r="E170" i="183"/>
  <c r="E169" i="183"/>
  <c r="F169" i="183" s="1"/>
  <c r="E168" i="183"/>
  <c r="F168" i="183" s="1"/>
  <c r="F167" i="183"/>
  <c r="E167" i="183"/>
  <c r="F166" i="183"/>
  <c r="E166" i="183"/>
  <c r="F165" i="183"/>
  <c r="E165" i="183"/>
  <c r="F164" i="183"/>
  <c r="E164" i="183"/>
  <c r="F163" i="183"/>
  <c r="E163" i="183"/>
  <c r="F162" i="183"/>
  <c r="E162" i="183"/>
  <c r="E161" i="183"/>
  <c r="F161" i="183" s="1"/>
  <c r="F160" i="183"/>
  <c r="E160" i="183"/>
  <c r="F159" i="183"/>
  <c r="E159" i="183"/>
  <c r="F158" i="183"/>
  <c r="E158" i="183"/>
  <c r="F157" i="183"/>
  <c r="E157" i="183"/>
  <c r="F156" i="183"/>
  <c r="E156" i="183"/>
  <c r="F155" i="183"/>
  <c r="E155" i="183"/>
  <c r="E154" i="183"/>
  <c r="F154" i="183" s="1"/>
  <c r="F153" i="183"/>
  <c r="E153" i="183"/>
  <c r="F152" i="183"/>
  <c r="E152" i="183"/>
  <c r="F151" i="183"/>
  <c r="E151" i="183"/>
  <c r="F150" i="183"/>
  <c r="E150" i="183"/>
  <c r="F149" i="183"/>
  <c r="E149" i="183"/>
  <c r="F148" i="183"/>
  <c r="E148" i="183"/>
  <c r="F147" i="183"/>
  <c r="E147" i="183"/>
  <c r="F146" i="183"/>
  <c r="E146" i="183"/>
  <c r="E145" i="183"/>
  <c r="F145" i="183" s="1"/>
  <c r="F144" i="183"/>
  <c r="E144" i="183"/>
  <c r="F143" i="183"/>
  <c r="E143" i="183"/>
  <c r="E142" i="183"/>
  <c r="F142" i="183" s="1"/>
  <c r="E141" i="183"/>
  <c r="F141" i="183" s="1"/>
  <c r="F140" i="183"/>
  <c r="E140" i="183"/>
  <c r="F139" i="183"/>
  <c r="E139" i="183"/>
  <c r="F138" i="183"/>
  <c r="E138" i="183"/>
  <c r="F137" i="183"/>
  <c r="E137" i="183"/>
  <c r="F136" i="183"/>
  <c r="E136" i="183"/>
  <c r="F135" i="183"/>
  <c r="E135" i="183"/>
  <c r="F134" i="183"/>
  <c r="E134" i="183"/>
  <c r="F133" i="183"/>
  <c r="E133" i="183"/>
  <c r="F132" i="183"/>
  <c r="E132" i="183"/>
  <c r="F131" i="183"/>
  <c r="E131" i="183"/>
  <c r="F130" i="183"/>
  <c r="E130" i="183"/>
  <c r="E129" i="183"/>
  <c r="F129" i="183" s="1"/>
  <c r="E128" i="183"/>
  <c r="F128" i="183" s="1"/>
  <c r="F127" i="183"/>
  <c r="E127" i="183"/>
  <c r="F126" i="183"/>
  <c r="E126" i="183"/>
  <c r="F125" i="183"/>
  <c r="E125" i="183"/>
  <c r="F124" i="183"/>
  <c r="E124" i="183"/>
  <c r="F123" i="183"/>
  <c r="E123" i="183"/>
  <c r="E122" i="183"/>
  <c r="F122" i="183" s="1"/>
  <c r="F121" i="183"/>
  <c r="E121" i="183"/>
  <c r="F120" i="183"/>
  <c r="E120" i="183"/>
  <c r="E119" i="183"/>
  <c r="F119" i="183" s="1"/>
  <c r="F118" i="183"/>
  <c r="E118" i="183"/>
  <c r="F117" i="183"/>
  <c r="E117" i="183"/>
  <c r="F116" i="183"/>
  <c r="E116" i="183"/>
  <c r="F115" i="183"/>
  <c r="E115" i="183"/>
  <c r="F114" i="183"/>
  <c r="E114" i="183"/>
  <c r="F113" i="183"/>
  <c r="E113" i="183"/>
  <c r="F112" i="183"/>
  <c r="E112" i="183"/>
  <c r="F111" i="183"/>
  <c r="E111" i="183"/>
  <c r="F110" i="183"/>
  <c r="E110" i="183"/>
  <c r="F109" i="183"/>
  <c r="E109" i="183"/>
  <c r="F108" i="183"/>
  <c r="E108" i="183"/>
  <c r="F107" i="183"/>
  <c r="E107" i="183"/>
  <c r="F106" i="183"/>
  <c r="E106" i="183"/>
  <c r="F105" i="183"/>
  <c r="E105" i="183"/>
  <c r="F104" i="183"/>
  <c r="E104" i="183"/>
  <c r="F103" i="183"/>
  <c r="E103" i="183"/>
  <c r="F102" i="183"/>
  <c r="E102" i="183"/>
  <c r="F101" i="183"/>
  <c r="E101" i="183"/>
  <c r="F100" i="183"/>
  <c r="E100" i="183"/>
  <c r="F99" i="183"/>
  <c r="E99" i="183"/>
  <c r="F98" i="183"/>
  <c r="E98" i="183"/>
  <c r="F97" i="183"/>
  <c r="E97" i="183"/>
  <c r="F96" i="183"/>
  <c r="E96" i="183"/>
  <c r="F95" i="183"/>
  <c r="E95" i="183"/>
  <c r="F94" i="183"/>
  <c r="E94" i="183"/>
  <c r="F93" i="183"/>
  <c r="E93" i="183"/>
  <c r="F92" i="183"/>
  <c r="E92" i="183"/>
  <c r="F91" i="183"/>
  <c r="E91" i="183"/>
  <c r="E90" i="183"/>
  <c r="F90" i="183" s="1"/>
  <c r="E89" i="183"/>
  <c r="F89" i="183" s="1"/>
  <c r="F88" i="183"/>
  <c r="E88" i="183"/>
  <c r="E87" i="183"/>
  <c r="F87" i="183" s="1"/>
  <c r="F86" i="183"/>
  <c r="E86" i="183"/>
  <c r="F85" i="183"/>
  <c r="E85" i="183"/>
  <c r="F84" i="183"/>
  <c r="E84" i="183"/>
  <c r="F83" i="183"/>
  <c r="E83" i="183"/>
  <c r="E82" i="183"/>
  <c r="F82" i="183" s="1"/>
  <c r="F81" i="183"/>
  <c r="E81" i="183"/>
  <c r="E80" i="183"/>
  <c r="F80" i="183" s="1"/>
  <c r="F79" i="183"/>
  <c r="E79" i="183"/>
  <c r="F78" i="183"/>
  <c r="E78" i="183"/>
  <c r="F77" i="183"/>
  <c r="E77" i="183"/>
  <c r="F76" i="183"/>
  <c r="E76" i="183"/>
  <c r="F75" i="183"/>
  <c r="E75" i="183"/>
  <c r="F74" i="183"/>
  <c r="E74" i="183"/>
  <c r="F73" i="183"/>
  <c r="E73" i="183"/>
  <c r="F72" i="183"/>
  <c r="E72" i="183"/>
  <c r="F71" i="183"/>
  <c r="E71" i="183"/>
  <c r="F70" i="183"/>
  <c r="E70" i="183"/>
  <c r="F69" i="183"/>
  <c r="E69" i="183"/>
  <c r="F68" i="183"/>
  <c r="E68" i="183"/>
  <c r="F67" i="183"/>
  <c r="E67" i="183"/>
  <c r="E66" i="183"/>
  <c r="F66" i="183" s="1"/>
  <c r="F65" i="183"/>
  <c r="E65" i="183"/>
  <c r="F64" i="183"/>
  <c r="E64" i="183"/>
  <c r="F63" i="183"/>
  <c r="E63" i="183"/>
  <c r="E62" i="183"/>
  <c r="F62" i="183" s="1"/>
  <c r="E61" i="183"/>
  <c r="F61" i="183" s="1"/>
  <c r="E60" i="183"/>
  <c r="F60" i="183" s="1"/>
  <c r="F59" i="183"/>
  <c r="E59" i="183"/>
  <c r="F58" i="183"/>
  <c r="E58" i="183"/>
  <c r="F57" i="183"/>
  <c r="E57" i="183"/>
  <c r="F56" i="183"/>
  <c r="E56" i="183"/>
  <c r="F55" i="183"/>
  <c r="E55" i="183"/>
  <c r="F54" i="183"/>
  <c r="E54" i="183"/>
  <c r="F53" i="183"/>
  <c r="E53" i="183"/>
  <c r="F52" i="183"/>
  <c r="E52" i="183"/>
  <c r="F51" i="183"/>
  <c r="E51" i="183"/>
  <c r="F50" i="183"/>
  <c r="E50" i="183"/>
  <c r="F49" i="183"/>
  <c r="E49" i="183"/>
  <c r="F48" i="183"/>
  <c r="E48" i="183"/>
  <c r="F47" i="183"/>
  <c r="E47" i="183"/>
  <c r="E46" i="183"/>
  <c r="F46" i="183" s="1"/>
  <c r="F45" i="183"/>
  <c r="E45" i="183"/>
  <c r="F44" i="183"/>
  <c r="E44" i="183"/>
  <c r="F43" i="183"/>
  <c r="E43" i="183"/>
  <c r="F42" i="183"/>
  <c r="E42" i="183"/>
  <c r="F41" i="183"/>
  <c r="E41" i="183"/>
  <c r="F40" i="183"/>
  <c r="E40" i="183"/>
  <c r="F39" i="183"/>
  <c r="E39" i="183"/>
  <c r="F38" i="183"/>
  <c r="E38" i="183"/>
  <c r="F37" i="183"/>
  <c r="E37" i="183"/>
  <c r="F36" i="183"/>
  <c r="E36" i="183"/>
  <c r="F35" i="183"/>
  <c r="E35" i="183"/>
  <c r="F34" i="183"/>
  <c r="E34" i="183"/>
  <c r="F33" i="183"/>
  <c r="E33" i="183"/>
  <c r="F32" i="183"/>
  <c r="E32" i="183"/>
  <c r="F31" i="183"/>
  <c r="E31" i="183"/>
  <c r="F30" i="183"/>
  <c r="E30" i="183"/>
  <c r="F29" i="183"/>
  <c r="E29" i="183"/>
  <c r="F28" i="183"/>
  <c r="E28" i="183"/>
  <c r="F27" i="183"/>
  <c r="E27" i="183"/>
  <c r="F26" i="183"/>
  <c r="E26" i="183"/>
  <c r="F25" i="183"/>
  <c r="E25" i="183"/>
  <c r="F24" i="183"/>
  <c r="E24" i="183"/>
  <c r="F23" i="183"/>
  <c r="E23" i="183"/>
  <c r="F22" i="183"/>
  <c r="E22" i="183"/>
  <c r="F21" i="183"/>
  <c r="E21" i="183"/>
  <c r="F20" i="183"/>
  <c r="E20" i="183"/>
  <c r="F19" i="183"/>
  <c r="E19" i="183"/>
  <c r="F18" i="183"/>
  <c r="E18" i="183"/>
  <c r="F204" i="183"/>
  <c r="F205" i="183"/>
  <c r="F206" i="183"/>
  <c r="F207" i="183"/>
  <c r="E204" i="183"/>
  <c r="E205" i="183"/>
  <c r="E206" i="183"/>
  <c r="E207" i="183"/>
  <c r="J20" i="186" l="1"/>
  <c r="K20" i="186"/>
  <c r="L20" i="186"/>
  <c r="L30" i="186"/>
  <c r="E20" i="187" l="1"/>
  <c r="G30" i="186"/>
  <c r="H30" i="186"/>
  <c r="I30" i="186"/>
  <c r="J30" i="186"/>
  <c r="K30" i="186"/>
  <c r="E30" i="186"/>
  <c r="F20" i="186"/>
  <c r="G20" i="186"/>
  <c r="H20" i="186"/>
  <c r="I20" i="186"/>
  <c r="E20" i="186"/>
  <c r="G18" i="187"/>
  <c r="G20" i="187" s="1"/>
  <c r="H18" i="187"/>
  <c r="H20" i="187" s="1"/>
  <c r="I18" i="187"/>
  <c r="I20" i="187" s="1"/>
  <c r="J18" i="187"/>
  <c r="K18" i="187"/>
  <c r="E18" i="187"/>
  <c r="F18" i="187"/>
  <c r="F14" i="187"/>
  <c r="G14" i="187"/>
  <c r="H14" i="187"/>
  <c r="I14" i="187"/>
  <c r="J14" i="187"/>
  <c r="K14" i="187"/>
  <c r="E14" i="187"/>
  <c r="L13" i="187"/>
  <c r="F24" i="186"/>
  <c r="G24" i="186"/>
  <c r="H24" i="186"/>
  <c r="I24" i="186"/>
  <c r="J24" i="186"/>
  <c r="K24" i="186"/>
  <c r="E24" i="186"/>
  <c r="L19" i="186"/>
  <c r="L15" i="185"/>
  <c r="I15" i="185"/>
  <c r="K20" i="187" l="1"/>
  <c r="J20" i="187"/>
  <c r="M19" i="3"/>
  <c r="M18" i="3"/>
  <c r="M17" i="3"/>
  <c r="L33" i="3"/>
  <c r="L4" i="3"/>
  <c r="I12" i="11" l="1"/>
  <c r="K169" i="29"/>
  <c r="K170" i="29"/>
  <c r="K166" i="29"/>
  <c r="K167" i="29"/>
  <c r="K168" i="29"/>
  <c r="K172" i="29"/>
  <c r="E16" i="4"/>
  <c r="E17" i="4"/>
  <c r="E20" i="4"/>
  <c r="E78" i="4"/>
  <c r="E81" i="4"/>
  <c r="J31" i="8"/>
  <c r="N21" i="3"/>
  <c r="H85" i="28"/>
  <c r="F26" i="179"/>
  <c r="F27" i="179"/>
  <c r="E11" i="108"/>
  <c r="I26" i="179"/>
  <c r="I27" i="179" s="1"/>
  <c r="C34" i="173"/>
  <c r="C33" i="173"/>
  <c r="L24" i="179"/>
  <c r="L26" i="179"/>
  <c r="F28" i="186"/>
  <c r="G28" i="186"/>
  <c r="H28" i="186"/>
  <c r="I28" i="186"/>
  <c r="J28" i="186"/>
  <c r="K28" i="186"/>
  <c r="L26" i="186"/>
  <c r="L28" i="186" s="1"/>
  <c r="L27" i="186"/>
  <c r="E28" i="186"/>
  <c r="I23" i="186"/>
  <c r="I22" i="186"/>
  <c r="F16" i="186"/>
  <c r="G16" i="186"/>
  <c r="H16" i="186"/>
  <c r="I16" i="186"/>
  <c r="J16" i="186"/>
  <c r="K16" i="186"/>
  <c r="E16" i="186"/>
  <c r="F26" i="185"/>
  <c r="F30" i="186" s="1"/>
  <c r="F20" i="187" s="1"/>
  <c r="G26" i="185"/>
  <c r="H26" i="185"/>
  <c r="I26" i="185"/>
  <c r="L26" i="185" s="1"/>
  <c r="J26" i="185"/>
  <c r="K26" i="185"/>
  <c r="E26" i="185"/>
  <c r="F22" i="185"/>
  <c r="G22" i="185"/>
  <c r="H22" i="185"/>
  <c r="I22" i="185"/>
  <c r="J22" i="185"/>
  <c r="K22" i="185"/>
  <c r="E22" i="185"/>
  <c r="F17" i="185"/>
  <c r="G17" i="185"/>
  <c r="H17" i="185"/>
  <c r="I17" i="185"/>
  <c r="J17" i="185"/>
  <c r="K17" i="185"/>
  <c r="E17" i="185"/>
  <c r="H26" i="179"/>
  <c r="H27" i="179"/>
  <c r="J26" i="179"/>
  <c r="J27" i="179"/>
  <c r="K26" i="179"/>
  <c r="K27" i="179"/>
  <c r="L25" i="179"/>
  <c r="G26" i="179"/>
  <c r="E26" i="179"/>
  <c r="F23" i="179"/>
  <c r="H23" i="179"/>
  <c r="I23" i="179"/>
  <c r="L13" i="179"/>
  <c r="L14" i="179"/>
  <c r="L15" i="179"/>
  <c r="L16" i="179"/>
  <c r="L17" i="179"/>
  <c r="L18" i="179"/>
  <c r="L19" i="179"/>
  <c r="L20" i="179"/>
  <c r="L21" i="179"/>
  <c r="L22" i="179"/>
  <c r="L23" i="179" s="1"/>
  <c r="L27" i="179" s="1"/>
  <c r="E23" i="179"/>
  <c r="E27" i="179" s="1"/>
  <c r="G25" i="179"/>
  <c r="G24" i="179"/>
  <c r="G14" i="179"/>
  <c r="G15" i="179"/>
  <c r="G16" i="179"/>
  <c r="G17" i="179"/>
  <c r="G18" i="179"/>
  <c r="G19" i="179"/>
  <c r="G20" i="179"/>
  <c r="G21" i="179"/>
  <c r="G22" i="179"/>
  <c r="G23" i="179" s="1"/>
  <c r="G27" i="179" s="1"/>
  <c r="G13" i="179"/>
  <c r="I25" i="179"/>
  <c r="I14" i="179"/>
  <c r="I15" i="179"/>
  <c r="I16" i="179"/>
  <c r="I17" i="179"/>
  <c r="I18" i="179"/>
  <c r="I19" i="179"/>
  <c r="I20" i="179"/>
  <c r="I21" i="179"/>
  <c r="I22" i="179"/>
  <c r="I13" i="179"/>
  <c r="L27" i="187"/>
  <c r="L26" i="187"/>
  <c r="L25" i="187"/>
  <c r="L24" i="187"/>
  <c r="L23" i="187"/>
  <c r="L22" i="187"/>
  <c r="L21" i="187"/>
  <c r="L19" i="187"/>
  <c r="L18" i="187"/>
  <c r="L20" i="187" s="1"/>
  <c r="L17" i="187"/>
  <c r="L16" i="187"/>
  <c r="L15" i="187"/>
  <c r="L12" i="187"/>
  <c r="L14" i="187" s="1"/>
  <c r="L11" i="187"/>
  <c r="I9" i="187"/>
  <c r="G9" i="187"/>
  <c r="F9" i="187"/>
  <c r="E9" i="187"/>
  <c r="J8" i="187"/>
  <c r="H8" i="187"/>
  <c r="B4" i="187"/>
  <c r="L29" i="186"/>
  <c r="L23" i="186"/>
  <c r="L22" i="186"/>
  <c r="L24" i="186" s="1"/>
  <c r="L21" i="186"/>
  <c r="L18" i="186"/>
  <c r="L17" i="186"/>
  <c r="L16" i="186"/>
  <c r="L15" i="186"/>
  <c r="L14" i="186"/>
  <c r="L13" i="186"/>
  <c r="L12" i="186"/>
  <c r="L11" i="186"/>
  <c r="I9" i="186"/>
  <c r="G9" i="186"/>
  <c r="F9" i="186"/>
  <c r="E9" i="186"/>
  <c r="J8" i="186"/>
  <c r="H8" i="186"/>
  <c r="B4" i="186"/>
  <c r="B1" i="186"/>
  <c r="L28" i="185"/>
  <c r="L25" i="185"/>
  <c r="L24" i="185"/>
  <c r="L22" i="185"/>
  <c r="L21" i="185"/>
  <c r="L20" i="185"/>
  <c r="L19" i="185"/>
  <c r="L16" i="185"/>
  <c r="L14" i="185"/>
  <c r="L13" i="185"/>
  <c r="I9" i="185"/>
  <c r="G9" i="185"/>
  <c r="F9" i="185"/>
  <c r="E9" i="185"/>
  <c r="J8" i="185"/>
  <c r="H8" i="185"/>
  <c r="B4" i="185"/>
  <c r="B1" i="185"/>
  <c r="J11" i="12"/>
  <c r="J15" i="12"/>
  <c r="J23" i="12" s="1"/>
  <c r="H14" i="12"/>
  <c r="J8" i="12"/>
  <c r="J6" i="12"/>
  <c r="H5" i="12"/>
  <c r="E325" i="29"/>
  <c r="D13" i="3"/>
  <c r="D39" i="3" s="1"/>
  <c r="E13" i="3"/>
  <c r="E39" i="3"/>
  <c r="F13" i="3"/>
  <c r="G13" i="3"/>
  <c r="I13" i="3"/>
  <c r="I39" i="3"/>
  <c r="J39" i="3"/>
  <c r="K39" i="3"/>
  <c r="C13" i="3"/>
  <c r="C39" i="3"/>
  <c r="C198" i="5"/>
  <c r="C266" i="5"/>
  <c r="C267" i="5"/>
  <c r="C7" i="4"/>
  <c r="C108" i="5"/>
  <c r="C109" i="5"/>
  <c r="C4" i="4"/>
  <c r="C8" i="4"/>
  <c r="B8" i="146"/>
  <c r="F8" i="146"/>
  <c r="K7" i="29"/>
  <c r="K5" i="29"/>
  <c r="K33" i="29"/>
  <c r="E19" i="108" s="1"/>
  <c r="L12" i="184"/>
  <c r="L13" i="184"/>
  <c r="L14" i="184"/>
  <c r="L15" i="184"/>
  <c r="L16" i="184"/>
  <c r="L19" i="184"/>
  <c r="D84" i="36"/>
  <c r="J7" i="184"/>
  <c r="L53" i="184" s="1"/>
  <c r="J6" i="184"/>
  <c r="L52" i="184"/>
  <c r="M68" i="184"/>
  <c r="L68" i="184"/>
  <c r="K68" i="184"/>
  <c r="G16" i="184"/>
  <c r="J68" i="184"/>
  <c r="G15" i="184"/>
  <c r="I68" i="184"/>
  <c r="G14" i="184"/>
  <c r="H68" i="184"/>
  <c r="G13" i="184"/>
  <c r="G68" i="184"/>
  <c r="G12" i="184"/>
  <c r="K19" i="184"/>
  <c r="J19" i="184"/>
  <c r="I19" i="184"/>
  <c r="L18" i="184"/>
  <c r="H18" i="184"/>
  <c r="L17" i="184"/>
  <c r="G17" i="184"/>
  <c r="G19" i="184"/>
  <c r="E17" i="183"/>
  <c r="F17" i="183" s="1"/>
  <c r="F80" i="34"/>
  <c r="B7837" i="106" s="1"/>
  <c r="D7837" i="106" s="1"/>
  <c r="B7885" i="106"/>
  <c r="D7885" i="106"/>
  <c r="B7884" i="106"/>
  <c r="B7883" i="106"/>
  <c r="B7882" i="106"/>
  <c r="D7882" i="106"/>
  <c r="D7884" i="106"/>
  <c r="D7883" i="106"/>
  <c r="B11" i="7"/>
  <c r="D7836" i="106"/>
  <c r="J88" i="28"/>
  <c r="J85" i="28"/>
  <c r="J90" i="28"/>
  <c r="B7819" i="106"/>
  <c r="D7819" i="106" s="1"/>
  <c r="B7818" i="106"/>
  <c r="D7818" i="106"/>
  <c r="A15" i="183"/>
  <c r="D82" i="36"/>
  <c r="D81" i="36"/>
  <c r="E40" i="108"/>
  <c r="B7820" i="106" s="1"/>
  <c r="D7820" i="106" s="1"/>
  <c r="G40" i="108"/>
  <c r="B7821" i="106" s="1"/>
  <c r="D7821" i="106" s="1"/>
  <c r="D80" i="36"/>
  <c r="D79" i="36"/>
  <c r="D79" i="34"/>
  <c r="D179" i="34"/>
  <c r="A46" i="24"/>
  <c r="F2" i="8"/>
  <c r="B2" i="24"/>
  <c r="B1" i="24"/>
  <c r="A1" i="24"/>
  <c r="A2" i="24"/>
  <c r="C8" i="176"/>
  <c r="C10" i="175"/>
  <c r="B46"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B7810" i="106"/>
  <c r="B7809" i="106"/>
  <c r="B7816" i="106"/>
  <c r="D7816" i="106"/>
  <c r="B7815" i="106"/>
  <c r="D7815" i="106"/>
  <c r="B7814" i="106"/>
  <c r="D7814" i="106"/>
  <c r="B7813" i="106"/>
  <c r="D7813" i="106"/>
  <c r="D7811" i="106"/>
  <c r="D7812" i="106"/>
  <c r="D7810" i="106"/>
  <c r="D7809" i="106"/>
  <c r="B7808" i="106"/>
  <c r="D7808" i="106"/>
  <c r="B7807" i="106"/>
  <c r="D7807" i="106"/>
  <c r="B7806" i="106"/>
  <c r="D7806" i="106"/>
  <c r="B7805" i="106"/>
  <c r="D7805" i="106"/>
  <c r="B7804" i="106"/>
  <c r="D7804" i="106"/>
  <c r="B7803" i="106"/>
  <c r="D7803" i="106"/>
  <c r="B7802" i="106"/>
  <c r="D7802" i="106"/>
  <c r="B7801" i="106"/>
  <c r="D7801" i="106"/>
  <c r="B5196" i="106"/>
  <c r="F29" i="34"/>
  <c r="B7881" i="106"/>
  <c r="D7881"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3" i="36"/>
  <c r="K356" i="29"/>
  <c r="B3673" i="106"/>
  <c r="K355" i="29"/>
  <c r="B7794" i="106"/>
  <c r="K354" i="29"/>
  <c r="H357" i="29"/>
  <c r="B7237" i="106"/>
  <c r="L334" i="29"/>
  <c r="K333" i="29"/>
  <c r="B7788" i="106"/>
  <c r="K332" i="29"/>
  <c r="B7786" i="106"/>
  <c r="H334" i="29"/>
  <c r="B7789" i="106"/>
  <c r="K282" i="29"/>
  <c r="B7784" i="106"/>
  <c r="H160" i="29"/>
  <c r="B7053" i="106"/>
  <c r="K159" i="29"/>
  <c r="B7782" i="106"/>
  <c r="K158" i="29"/>
  <c r="B7780" i="106"/>
  <c r="K157" i="29"/>
  <c r="B7795" i="106"/>
  <c r="K133" i="29"/>
  <c r="B7776" i="106"/>
  <c r="B7793" i="106"/>
  <c r="B7791" i="106"/>
  <c r="B7787" i="106"/>
  <c r="B7785" i="106"/>
  <c r="B7783" i="106"/>
  <c r="B7781" i="106"/>
  <c r="B7779" i="106"/>
  <c r="B7778" i="106"/>
  <c r="B7777" i="106"/>
  <c r="B7775" i="106"/>
  <c r="B7774" i="106"/>
  <c r="K334" i="29"/>
  <c r="F74" i="34"/>
  <c r="K357" i="29"/>
  <c r="B3674" i="106"/>
  <c r="B7792" i="106"/>
  <c r="K15" i="4"/>
  <c r="B7790" i="106"/>
  <c r="J15" i="4"/>
  <c r="B7796" i="106"/>
  <c r="L357" i="29"/>
  <c r="L285" i="29"/>
  <c r="D285" i="29"/>
  <c r="L160" i="29"/>
  <c r="K160" i="29"/>
  <c r="L137" i="29"/>
  <c r="H137" i="29"/>
  <c r="E137" i="29"/>
  <c r="E139" i="29"/>
  <c r="F60" i="34"/>
  <c r="B1323" i="106"/>
  <c r="E15" i="4"/>
  <c r="B4" i="179"/>
  <c r="D17" i="171"/>
  <c r="D14" i="171"/>
  <c r="D12" i="171"/>
  <c r="A10" i="169"/>
  <c r="A16" i="169"/>
  <c r="A15" i="169"/>
  <c r="A14" i="169"/>
  <c r="K18" i="169"/>
  <c r="G18" i="169"/>
  <c r="G15" i="169"/>
  <c r="I13" i="169"/>
  <c r="G11" i="169"/>
  <c r="G10" i="169"/>
  <c r="G9" i="169"/>
  <c r="G7" i="169"/>
  <c r="E7" i="169"/>
  <c r="B2" i="187" s="1"/>
  <c r="A7" i="169"/>
  <c r="B1" i="187" s="1"/>
  <c r="B4" i="177"/>
  <c r="B4" i="176"/>
  <c r="B4" i="175"/>
  <c r="G44" i="174"/>
  <c r="B4" i="174"/>
  <c r="E34" i="173"/>
  <c r="A4" i="173"/>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B2" i="174"/>
  <c r="A1" i="171"/>
  <c r="B1" i="179"/>
  <c r="B2" i="176"/>
  <c r="B1" i="175"/>
  <c r="B1" i="177"/>
  <c r="A1" i="170"/>
  <c r="A2" i="171"/>
  <c r="A1" i="173"/>
  <c r="B1" i="174"/>
  <c r="B1" i="176"/>
  <c r="B7773" i="106"/>
  <c r="B61" i="106"/>
  <c r="B52" i="106"/>
  <c r="B51" i="106"/>
  <c r="B49" i="106"/>
  <c r="B48" i="106"/>
  <c r="B47" i="106"/>
  <c r="B46" i="106"/>
  <c r="B45" i="106"/>
  <c r="B44" i="106"/>
  <c r="B43" i="106"/>
  <c r="B42" i="106"/>
  <c r="B41" i="106"/>
  <c r="B50" i="106"/>
  <c r="F160" i="34"/>
  <c r="B7867" i="106"/>
  <c r="D7867" i="106"/>
  <c r="B7769" i="106"/>
  <c r="D7769" i="106"/>
  <c r="B7768" i="106"/>
  <c r="B7766" i="106"/>
  <c r="D7766" i="106"/>
  <c r="B7765" i="106"/>
  <c r="B7764" i="106"/>
  <c r="D7764" i="106"/>
  <c r="B7758" i="106"/>
  <c r="D7758" i="106"/>
  <c r="K6" i="29"/>
  <c r="B7763" i="106"/>
  <c r="D7763" i="106"/>
  <c r="B7762" i="106"/>
  <c r="D7762" i="106"/>
  <c r="K12" i="12"/>
  <c r="K23" i="12"/>
  <c r="B7800" i="106"/>
  <c r="J12" i="12"/>
  <c r="J21" i="12"/>
  <c r="B7729" i="106"/>
  <c r="D7729" i="106"/>
  <c r="B7734" i="106"/>
  <c r="D7734" i="106"/>
  <c r="B7726" i="106"/>
  <c r="D7726" i="106"/>
  <c r="F159" i="34"/>
  <c r="B30" i="36"/>
  <c r="B33" i="36"/>
  <c r="B43" i="36"/>
  <c r="B56" i="36"/>
  <c r="B66" i="36"/>
  <c r="B70" i="36"/>
  <c r="B74" i="36"/>
  <c r="D73" i="36"/>
  <c r="C188" i="5"/>
  <c r="B4395" i="106"/>
  <c r="D4395" i="106"/>
  <c r="B5246" i="106"/>
  <c r="D5246" i="106"/>
  <c r="C204" i="5"/>
  <c r="B5260" i="106"/>
  <c r="D5260" i="106"/>
  <c r="C209" i="5"/>
  <c r="B4411" i="106"/>
  <c r="D4411" i="106"/>
  <c r="C217" i="5"/>
  <c r="B5286" i="106"/>
  <c r="D5286" i="106"/>
  <c r="C221" i="5"/>
  <c r="B5304" i="106"/>
  <c r="D5304" i="106"/>
  <c r="C252" i="5"/>
  <c r="B7761" i="106"/>
  <c r="D7761" i="106"/>
  <c r="L127" i="29"/>
  <c r="L129" i="29"/>
  <c r="L139" i="29"/>
  <c r="L149" i="29"/>
  <c r="D78" i="36"/>
  <c r="K75" i="29"/>
  <c r="C14" i="4"/>
  <c r="B2558" i="106"/>
  <c r="D2558" i="106"/>
  <c r="K130" i="29"/>
  <c r="K185" i="29"/>
  <c r="F62" i="34"/>
  <c r="B7833" i="106"/>
  <c r="D7833" i="106"/>
  <c r="K122" i="29"/>
  <c r="F15" i="184"/>
  <c r="F19" i="184"/>
  <c r="K67" i="29"/>
  <c r="K64" i="29"/>
  <c r="K59" i="29"/>
  <c r="E15" i="184"/>
  <c r="H15" i="184"/>
  <c r="K56" i="29"/>
  <c r="E14" i="184"/>
  <c r="H14" i="184"/>
  <c r="K51" i="29"/>
  <c r="E13" i="184"/>
  <c r="H13" i="184"/>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10" i="106"/>
  <c r="D111" i="106"/>
  <c r="D112" i="106"/>
  <c r="D113" i="106"/>
  <c r="D114" i="106"/>
  <c r="D115" i="106"/>
  <c r="D116" i="106"/>
  <c r="B117" i="106"/>
  <c r="D117" i="106"/>
  <c r="D118" i="106"/>
  <c r="B119" i="106"/>
  <c r="D119" i="106"/>
  <c r="D120" i="106"/>
  <c r="D121" i="106"/>
  <c r="D34" i="3"/>
  <c r="D125" i="106"/>
  <c r="B126" i="106"/>
  <c r="D126" i="106"/>
  <c r="D127" i="106"/>
  <c r="D128" i="106"/>
  <c r="B129" i="106"/>
  <c r="D129" i="106"/>
  <c r="B130" i="106"/>
  <c r="D130" i="106"/>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B157" i="106"/>
  <c r="D157" i="106" s="1"/>
  <c r="D158" i="106"/>
  <c r="D159" i="106"/>
  <c r="D160" i="106"/>
  <c r="D161" i="106"/>
  <c r="D162" i="106"/>
  <c r="D163" i="106"/>
  <c r="B164" i="106"/>
  <c r="D164" i="106"/>
  <c r="D165" i="106"/>
  <c r="B166" i="106"/>
  <c r="D166" i="106"/>
  <c r="D167" i="106"/>
  <c r="D168" i="106"/>
  <c r="F34" i="3"/>
  <c r="D172" i="106"/>
  <c r="B173" i="106"/>
  <c r="D173" i="106"/>
  <c r="D174" i="106"/>
  <c r="D175" i="106"/>
  <c r="D176" i="106"/>
  <c r="B177" i="106"/>
  <c r="D177" i="106"/>
  <c r="D178" i="106"/>
  <c r="B179" i="106"/>
  <c r="D179" i="106"/>
  <c r="B180" i="106"/>
  <c r="D180" i="106"/>
  <c r="D181" i="106"/>
  <c r="D182" i="106"/>
  <c r="D183" i="106"/>
  <c r="B184" i="106"/>
  <c r="D184" i="106"/>
  <c r="B185" i="106"/>
  <c r="D185" i="106"/>
  <c r="D186" i="106"/>
  <c r="D187" i="106"/>
  <c r="G34" i="3"/>
  <c r="B188" i="106" s="1"/>
  <c r="D188"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c r="D207" i="106"/>
  <c r="B208" i="106"/>
  <c r="D208" i="106" s="1"/>
  <c r="D209" i="106"/>
  <c r="D210" i="106"/>
  <c r="H34" i="3"/>
  <c r="B211" i="106" s="1"/>
  <c r="D211"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H92" i="29"/>
  <c r="K92" i="29"/>
  <c r="B2089" i="106"/>
  <c r="D2089" i="106"/>
  <c r="H100" i="29"/>
  <c r="B7012" i="106"/>
  <c r="D7012" i="106"/>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K60" i="29"/>
  <c r="D27" i="108"/>
  <c r="K61" i="29"/>
  <c r="B1128" i="106"/>
  <c r="D1128" i="106"/>
  <c r="K62" i="29"/>
  <c r="B1129" i="106"/>
  <c r="D1129" i="106"/>
  <c r="K63" i="29"/>
  <c r="B1130" i="106"/>
  <c r="D1130" i="106"/>
  <c r="D1132" i="106"/>
  <c r="K68" i="29"/>
  <c r="G34" i="108"/>
  <c r="K69" i="29"/>
  <c r="B1136" i="106"/>
  <c r="D1136" i="106"/>
  <c r="K70" i="29"/>
  <c r="B1137" i="106"/>
  <c r="D1137" i="106"/>
  <c r="D1138" i="106"/>
  <c r="K71" i="29"/>
  <c r="B1139" i="106"/>
  <c r="D1139" i="106"/>
  <c r="D1140" i="106"/>
  <c r="K73" i="29"/>
  <c r="B1142" i="106"/>
  <c r="D1142" i="106"/>
  <c r="K78" i="29"/>
  <c r="B2973" i="106"/>
  <c r="D2973" i="106"/>
  <c r="K79" i="29"/>
  <c r="B2974" i="106"/>
  <c r="D2974" i="106"/>
  <c r="K80" i="29"/>
  <c r="K81" i="29"/>
  <c r="B2976" i="106"/>
  <c r="D2976" i="106"/>
  <c r="K82" i="29"/>
  <c r="B2977" i="106"/>
  <c r="D2977" i="106"/>
  <c r="K83" i="29"/>
  <c r="B2978" i="106"/>
  <c r="D2978" i="106"/>
  <c r="K93" i="29"/>
  <c r="K94" i="29"/>
  <c r="B6999" i="106"/>
  <c r="D6999" i="106"/>
  <c r="K95" i="29"/>
  <c r="K96" i="29"/>
  <c r="K97" i="29"/>
  <c r="K98" i="29"/>
  <c r="K99" i="29"/>
  <c r="B7010" i="106"/>
  <c r="D7010" i="106"/>
  <c r="K101" i="29"/>
  <c r="B7015" i="106"/>
  <c r="D7015" i="106"/>
  <c r="K105" i="29"/>
  <c r="K106" i="29"/>
  <c r="B1147" i="106"/>
  <c r="D1147" i="106"/>
  <c r="D1148" i="106"/>
  <c r="K109" i="29"/>
  <c r="B1149" i="106"/>
  <c r="D1149" i="106"/>
  <c r="D1150" i="106"/>
  <c r="K107" i="29"/>
  <c r="B2795" i="106"/>
  <c r="D2795" i="106"/>
  <c r="K108" i="29"/>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K124" i="29"/>
  <c r="B1276" i="106"/>
  <c r="D1276" i="106"/>
  <c r="K126" i="29"/>
  <c r="B1277" i="106"/>
  <c r="D1277" i="106"/>
  <c r="D1278" i="106"/>
  <c r="K125" i="29"/>
  <c r="B3488" i="106"/>
  <c r="D3488" i="106"/>
  <c r="K128" i="29"/>
  <c r="B1280" i="106"/>
  <c r="D1280" i="106"/>
  <c r="K120" i="29"/>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D1323" i="106"/>
  <c r="K163" i="29"/>
  <c r="B1324" i="106"/>
  <c r="D1324" i="106"/>
  <c r="K164" i="29"/>
  <c r="B1325" i="106"/>
  <c r="D1325" i="106"/>
  <c r="B1326" i="106"/>
  <c r="D1326" i="106"/>
  <c r="B1327" i="106"/>
  <c r="D1327" i="106"/>
  <c r="K165" i="29"/>
  <c r="B2818" i="106"/>
  <c r="D2818" i="106"/>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8" i="29"/>
  <c r="B3007" i="106"/>
  <c r="D3007" i="106"/>
  <c r="K189" i="29"/>
  <c r="B3008" i="106"/>
  <c r="D3008" i="106"/>
  <c r="K190" i="29"/>
  <c r="K191" i="29"/>
  <c r="B3010" i="106"/>
  <c r="D3010" i="106"/>
  <c r="K192" i="29"/>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B7068" i="106"/>
  <c r="D7068" i="106"/>
  <c r="K206" i="29"/>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s="1"/>
  <c r="B1434" i="106"/>
  <c r="D1434" i="106"/>
  <c r="D1435" i="106"/>
  <c r="D270" i="29"/>
  <c r="B1436" i="106" s="1"/>
  <c r="D1436" i="106" s="1"/>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s="1"/>
  <c r="K216" i="29"/>
  <c r="K217" i="29"/>
  <c r="B3391" i="106"/>
  <c r="D3391" i="106"/>
  <c r="K218" i="29"/>
  <c r="K219" i="29"/>
  <c r="B3065" i="106"/>
  <c r="D3065" i="106"/>
  <c r="K220" i="29"/>
  <c r="K226" i="29"/>
  <c r="B7080" i="106"/>
  <c r="D7080" i="106"/>
  <c r="K228" i="29"/>
  <c r="B3392" i="106"/>
  <c r="D3392" i="106"/>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K248" i="29"/>
  <c r="B7082" i="106"/>
  <c r="D7082" i="106"/>
  <c r="K249" i="29"/>
  <c r="K250" i="29"/>
  <c r="B7086" i="106"/>
  <c r="D7086" i="106"/>
  <c r="K251" i="29"/>
  <c r="B7088" i="106"/>
  <c r="D7088" i="106"/>
  <c r="K252" i="29"/>
  <c r="B7090" i="106"/>
  <c r="D7090" i="106"/>
  <c r="K253" i="29"/>
  <c r="K254" i="29"/>
  <c r="B7094" i="106"/>
  <c r="D7094" i="106"/>
  <c r="K255" i="29"/>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s="1"/>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K284" i="29"/>
  <c r="B4166" i="106"/>
  <c r="D416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7114" i="106"/>
  <c r="D7114" i="106"/>
  <c r="B1537" i="106"/>
  <c r="D1537" i="106"/>
  <c r="D1538" i="106"/>
  <c r="D1539" i="106"/>
  <c r="B1540" i="106"/>
  <c r="D1540" i="106"/>
  <c r="F303" i="29"/>
  <c r="B1541" i="106"/>
  <c r="D1541" i="106"/>
  <c r="B1543" i="106"/>
  <c r="D1543" i="106" s="1"/>
  <c r="D1544" i="106"/>
  <c r="D1545" i="106"/>
  <c r="B1546" i="106"/>
  <c r="D1546" i="106"/>
  <c r="G303" i="29"/>
  <c r="B1547" i="106" s="1"/>
  <c r="D1547" i="106" s="1"/>
  <c r="B1549" i="106"/>
  <c r="D1549" i="106"/>
  <c r="D1550" i="106"/>
  <c r="D1551" i="106"/>
  <c r="B1552" i="106"/>
  <c r="D1552" i="106"/>
  <c r="H303" i="29"/>
  <c r="B1553" i="106"/>
  <c r="D1553" i="106"/>
  <c r="H310" i="29"/>
  <c r="B7115" i="106"/>
  <c r="D7115" i="106"/>
  <c r="K301" i="29"/>
  <c r="D1556" i="106"/>
  <c r="D1557" i="106"/>
  <c r="K302" i="29"/>
  <c r="B1558" i="106"/>
  <c r="D1558" i="106"/>
  <c r="K306" i="29"/>
  <c r="K307" i="29"/>
  <c r="K308" i="29"/>
  <c r="B4100" i="106"/>
  <c r="D4100" i="106"/>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c r="B2813" i="106"/>
  <c r="D2813" i="106"/>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B2888" i="106"/>
  <c r="D2888" i="106"/>
  <c r="D2889" i="106"/>
  <c r="D2890" i="106"/>
  <c r="B2891" i="106"/>
  <c r="D2891" i="106"/>
  <c r="B2892" i="106"/>
  <c r="D2892" i="106"/>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s="1"/>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s="1"/>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C352" i="29"/>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D3673" i="106"/>
  <c r="K360" i="29"/>
  <c r="B3675" i="106"/>
  <c r="D3675" i="106"/>
  <c r="K361" i="29"/>
  <c r="B7239" i="106"/>
  <c r="D7239" i="106"/>
  <c r="D3677" i="106"/>
  <c r="K363" i="29"/>
  <c r="B7241" i="106"/>
  <c r="D7241" i="106"/>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c r="B4883" i="106"/>
  <c r="D4883" i="106"/>
  <c r="B4884" i="106"/>
  <c r="D4884" i="106"/>
  <c r="B4885" i="106"/>
  <c r="D4885" i="106"/>
  <c r="B4886" i="106"/>
  <c r="D4886"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s="1"/>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s="1"/>
  <c r="A6103" i="106"/>
  <c r="B6103" i="106"/>
  <c r="B6104" i="106"/>
  <c r="D6104" i="106" s="1"/>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s="1"/>
  <c r="B6146" i="106"/>
  <c r="D6146" i="106" s="1"/>
  <c r="B6147" i="106"/>
  <c r="D6147" i="106" s="1"/>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s="1"/>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6" i="106"/>
  <c r="D6286"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B6848" i="106"/>
  <c r="D6848" i="106"/>
  <c r="B6849" i="106"/>
  <c r="D6849" i="106"/>
  <c r="B6850" i="106"/>
  <c r="D6850" i="106"/>
  <c r="B6851" i="106"/>
  <c r="D6851" i="106"/>
  <c r="B6852" i="106"/>
  <c r="D6852" i="106"/>
  <c r="K9" i="29"/>
  <c r="B6853" i="106" s="1"/>
  <c r="D6853" i="106" s="1"/>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1" i="106"/>
  <c r="D7011" i="106"/>
  <c r="B7014" i="106"/>
  <c r="D7014" i="106"/>
  <c r="B7016" i="106"/>
  <c r="D7016" i="106"/>
  <c r="K111" i="29"/>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J129" i="29"/>
  <c r="B7038" i="106"/>
  <c r="D7038" i="106"/>
  <c r="B7039" i="106"/>
  <c r="D7039" i="106"/>
  <c r="B7040" i="106"/>
  <c r="D7040" i="106"/>
  <c r="B7043" i="106"/>
  <c r="D7043" i="106"/>
  <c r="B7044" i="106"/>
  <c r="D7044" i="106"/>
  <c r="B7045" i="106"/>
  <c r="D7045" i="106"/>
  <c r="B7046" i="106"/>
  <c r="D7046" i="106"/>
  <c r="B7047" i="106"/>
  <c r="D7047" i="106"/>
  <c r="B7049" i="106"/>
  <c r="D7049"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J210" i="29"/>
  <c r="B7072" i="106"/>
  <c r="D7072" i="106"/>
  <c r="B7073" i="106"/>
  <c r="D7073" i="106" s="1"/>
  <c r="B7074" i="106"/>
  <c r="D7074" i="106" s="1"/>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8" i="106"/>
  <c r="D7118" i="106"/>
  <c r="B7119" i="106"/>
  <c r="D7119" i="106"/>
  <c r="B7120" i="106"/>
  <c r="D7120" i="106"/>
  <c r="B7121" i="106"/>
  <c r="D7121" i="106"/>
  <c r="B7122" i="106"/>
  <c r="D7122" i="106"/>
  <c r="B7123" i="106"/>
  <c r="D7123" i="106"/>
  <c r="B7124" i="106"/>
  <c r="D7124" i="106"/>
  <c r="B7125" i="106"/>
  <c r="D7125" i="106"/>
  <c r="K319" i="29"/>
  <c r="B7127" i="106"/>
  <c r="D7127" i="106"/>
  <c r="B7128" i="106"/>
  <c r="D7128" i="106"/>
  <c r="B7129" i="106"/>
  <c r="D7129" i="106"/>
  <c r="B7130" i="106"/>
  <c r="D7130" i="106"/>
  <c r="B7131" i="106"/>
  <c r="D7131" i="106"/>
  <c r="B7132" i="106"/>
  <c r="D7132" i="106"/>
  <c r="B7133" i="106"/>
  <c r="D7133" i="106"/>
  <c r="B7134" i="106"/>
  <c r="D7134" i="106"/>
  <c r="K320" i="29"/>
  <c r="B7136" i="106"/>
  <c r="D7136" i="106"/>
  <c r="B7137" i="106"/>
  <c r="D7137" i="106"/>
  <c r="B7138" i="106"/>
  <c r="D7138" i="106"/>
  <c r="B7139" i="106"/>
  <c r="D7139" i="106"/>
  <c r="B7140" i="106"/>
  <c r="D7140" i="106"/>
  <c r="B7141" i="106"/>
  <c r="D7141" i="106"/>
  <c r="B7142" i="106"/>
  <c r="D7142" i="106"/>
  <c r="B7143" i="106"/>
  <c r="D7143" i="106"/>
  <c r="K321" i="29"/>
  <c r="E59" i="184"/>
  <c r="N59" i="184"/>
  <c r="B7145" i="106"/>
  <c r="D7145" i="106"/>
  <c r="B7146" i="106"/>
  <c r="D7146" i="106"/>
  <c r="B7147" i="106"/>
  <c r="D7147" i="106"/>
  <c r="B7148" i="106"/>
  <c r="D7148" i="106"/>
  <c r="B7149" i="106"/>
  <c r="D7149" i="106"/>
  <c r="B7150" i="106"/>
  <c r="D7150" i="106"/>
  <c r="B7151" i="106"/>
  <c r="D7151" i="106"/>
  <c r="B7152" i="106"/>
  <c r="D7152" i="106"/>
  <c r="K322" i="29"/>
  <c r="B7154" i="106"/>
  <c r="D7154" i="106"/>
  <c r="B7155" i="106"/>
  <c r="D7155" i="106"/>
  <c r="B7156" i="106"/>
  <c r="D7156" i="106"/>
  <c r="B7157" i="106"/>
  <c r="D7157" i="106"/>
  <c r="B7158" i="106"/>
  <c r="D7158" i="106"/>
  <c r="B7159" i="106"/>
  <c r="D7159" i="106"/>
  <c r="B7160" i="106"/>
  <c r="D7160" i="106"/>
  <c r="B7161" i="106"/>
  <c r="D7161" i="106"/>
  <c r="K323" i="29"/>
  <c r="B7163" i="106"/>
  <c r="D7163" i="106"/>
  <c r="B7164" i="106"/>
  <c r="D7164" i="106"/>
  <c r="B7165" i="106"/>
  <c r="D7165" i="106"/>
  <c r="B7166" i="106"/>
  <c r="D7166" i="106"/>
  <c r="B7167" i="106"/>
  <c r="D7167" i="106"/>
  <c r="B7168" i="106"/>
  <c r="D7168" i="106"/>
  <c r="B7169" i="106"/>
  <c r="D7169" i="106"/>
  <c r="B7170" i="106"/>
  <c r="D7170" i="106"/>
  <c r="K324" i="29"/>
  <c r="B7172" i="106"/>
  <c r="D7172" i="106"/>
  <c r="B7173" i="106"/>
  <c r="D7173" i="106"/>
  <c r="B7174" i="106"/>
  <c r="D7174" i="106"/>
  <c r="B7175" i="106"/>
  <c r="D7175" i="106"/>
  <c r="B7176" i="106"/>
  <c r="D7176" i="106"/>
  <c r="B7177" i="106"/>
  <c r="D7177" i="106"/>
  <c r="B7178" i="106"/>
  <c r="D7178" i="106"/>
  <c r="B7179" i="106"/>
  <c r="D7179" i="106"/>
  <c r="K325" i="29"/>
  <c r="B7181" i="106"/>
  <c r="D7181" i="106"/>
  <c r="B7182" i="106"/>
  <c r="D7182" i="106"/>
  <c r="B7183" i="106"/>
  <c r="D7183" i="106"/>
  <c r="B7184" i="106"/>
  <c r="D7184" i="106"/>
  <c r="B7185" i="106"/>
  <c r="D7185" i="106"/>
  <c r="B7186" i="106"/>
  <c r="D7186" i="106"/>
  <c r="B7187" i="106"/>
  <c r="D7187" i="106"/>
  <c r="B7188" i="106"/>
  <c r="D7188" i="106"/>
  <c r="K326" i="29"/>
  <c r="B7190" i="106"/>
  <c r="D7190" i="106"/>
  <c r="B7191" i="106"/>
  <c r="D7191" i="106"/>
  <c r="B7192" i="106"/>
  <c r="D7192" i="106"/>
  <c r="B7193" i="106"/>
  <c r="D7193" i="106"/>
  <c r="B7194" i="106"/>
  <c r="D7194" i="106"/>
  <c r="B7195" i="106"/>
  <c r="D7195" i="106"/>
  <c r="B7196" i="106"/>
  <c r="D7196" i="106"/>
  <c r="B7197" i="106"/>
  <c r="D7197" i="106"/>
  <c r="K327" i="29"/>
  <c r="C330" i="29"/>
  <c r="B7199" i="106"/>
  <c r="D7199" i="106"/>
  <c r="D330" i="29"/>
  <c r="E330" i="29"/>
  <c r="F330" i="29"/>
  <c r="G330" i="29"/>
  <c r="B7203" i="106"/>
  <c r="D7203" i="106"/>
  <c r="H330" i="29"/>
  <c r="B7204" i="106"/>
  <c r="D7204" i="106"/>
  <c r="I330" i="29"/>
  <c r="B7205" i="106"/>
  <c r="D7205" i="106"/>
  <c r="J330" i="29"/>
  <c r="B7206" i="106"/>
  <c r="D7206" i="106"/>
  <c r="K328" i="29"/>
  <c r="K329" i="29"/>
  <c r="B7208" i="106"/>
  <c r="D7208" i="106"/>
  <c r="K337" i="29"/>
  <c r="B7209" i="106"/>
  <c r="D7209" i="106"/>
  <c r="B7210" i="106"/>
  <c r="D7210" i="106"/>
  <c r="K338" i="29"/>
  <c r="B7212" i="106"/>
  <c r="D7212" i="106"/>
  <c r="K339" i="29"/>
  <c r="B7213" i="106"/>
  <c r="D7213" i="106"/>
  <c r="H340" i="29"/>
  <c r="H342" i="29"/>
  <c r="C342" i="29"/>
  <c r="B7216" i="106"/>
  <c r="D7216" i="106"/>
  <c r="B7226" i="106"/>
  <c r="D7226" i="106"/>
  <c r="B7227" i="106"/>
  <c r="D7227" i="106"/>
  <c r="B7228" i="106"/>
  <c r="D7228" i="106"/>
  <c r="B7229" i="106"/>
  <c r="D7229" i="106"/>
  <c r="I350" i="29"/>
  <c r="J350" i="29"/>
  <c r="B7231" i="106"/>
  <c r="D7231" i="106"/>
  <c r="B7232" i="106"/>
  <c r="D7232" i="106"/>
  <c r="B7233" i="106"/>
  <c r="D7233" i="106"/>
  <c r="D7236" i="106"/>
  <c r="D7237" i="106"/>
  <c r="B7238" i="106"/>
  <c r="D7238" i="106"/>
  <c r="B7240" i="106"/>
  <c r="D7240"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s="1"/>
  <c r="B7714" i="106"/>
  <c r="D7714" i="106"/>
  <c r="B7715" i="106"/>
  <c r="D7715" i="106"/>
  <c r="B7716" i="106"/>
  <c r="D7716" i="106"/>
  <c r="B7717" i="106"/>
  <c r="D7717" i="106"/>
  <c r="B7718" i="106"/>
  <c r="D7718" i="106" s="1"/>
  <c r="B7719" i="106"/>
  <c r="D7719" i="106"/>
  <c r="B7720" i="106"/>
  <c r="D7720" i="106"/>
  <c r="B7721" i="106"/>
  <c r="D7721" i="106"/>
  <c r="B7723" i="106"/>
  <c r="D7723" i="106"/>
  <c r="B7724" i="106"/>
  <c r="D7724" i="106"/>
  <c r="B7725" i="106"/>
  <c r="D7725" i="106"/>
  <c r="B7728" i="106"/>
  <c r="D7728" i="106"/>
  <c r="B7731" i="106"/>
  <c r="D7731"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69" i="36"/>
  <c r="D71" i="36"/>
  <c r="D72" i="36"/>
  <c r="B61" i="127"/>
  <c r="B62"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c r="C33" i="34"/>
  <c r="D33" i="34"/>
  <c r="F33" i="34"/>
  <c r="C34" i="34"/>
  <c r="D34" i="34"/>
  <c r="C35" i="34"/>
  <c r="D35" i="34"/>
  <c r="C36" i="34"/>
  <c r="D36" i="34"/>
  <c r="C37" i="34"/>
  <c r="D37" i="34"/>
  <c r="F37" i="34"/>
  <c r="B7829" i="106"/>
  <c r="D7829" i="106"/>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c r="D7831" i="106"/>
  <c r="C53" i="34"/>
  <c r="D53" i="34"/>
  <c r="C56" i="34"/>
  <c r="F56" i="34"/>
  <c r="B7832" i="106"/>
  <c r="D7832" i="106"/>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c r="D96" i="34"/>
  <c r="C97" i="34"/>
  <c r="D97" i="34"/>
  <c r="F97" i="34"/>
  <c r="C98" i="34"/>
  <c r="D98" i="34"/>
  <c r="F98" i="34"/>
  <c r="C99" i="34"/>
  <c r="D99" i="34"/>
  <c r="F99" i="34"/>
  <c r="C100" i="34"/>
  <c r="D100" i="34"/>
  <c r="F100" i="34"/>
  <c r="C101" i="34"/>
  <c r="D101" i="34"/>
  <c r="F101" i="34"/>
  <c r="C102" i="34"/>
  <c r="D102" i="34"/>
  <c r="F102" i="34"/>
  <c r="B7839" i="106"/>
  <c r="D7839" i="106"/>
  <c r="C103" i="34"/>
  <c r="D103" i="34"/>
  <c r="F103" i="34"/>
  <c r="B7840" i="106"/>
  <c r="D7840" i="106"/>
  <c r="C104" i="34"/>
  <c r="D104" i="34"/>
  <c r="F104" i="34"/>
  <c r="B7841" i="106"/>
  <c r="D7841" i="106"/>
  <c r="C105" i="34"/>
  <c r="D105" i="34"/>
  <c r="F105" i="34"/>
  <c r="D106" i="34"/>
  <c r="D107" i="34"/>
  <c r="D108" i="34"/>
  <c r="C109" i="34"/>
  <c r="D109" i="34"/>
  <c r="F109" i="34"/>
  <c r="C110" i="34"/>
  <c r="D110" i="34"/>
  <c r="F110" i="34"/>
  <c r="B7845" i="106"/>
  <c r="D7845" i="106"/>
  <c r="C111" i="34"/>
  <c r="D111" i="34"/>
  <c r="F111" i="34"/>
  <c r="B7846" i="106"/>
  <c r="D7846" i="106"/>
  <c r="D112" i="34"/>
  <c r="C113" i="34"/>
  <c r="D113" i="34"/>
  <c r="F113" i="34"/>
  <c r="C114" i="34"/>
  <c r="D114" i="34"/>
  <c r="F114" i="34"/>
  <c r="B7848" i="106"/>
  <c r="D7848" i="106"/>
  <c r="C115" i="34"/>
  <c r="D115" i="34"/>
  <c r="F115" i="34"/>
  <c r="B7849" i="106"/>
  <c r="D7849" i="106"/>
  <c r="C116" i="34"/>
  <c r="D116" i="34"/>
  <c r="F116" i="34"/>
  <c r="B7850" i="106"/>
  <c r="D7850" i="106"/>
  <c r="C117" i="34"/>
  <c r="D117" i="34"/>
  <c r="F117" i="34"/>
  <c r="B7851" i="106"/>
  <c r="D7851" i="106"/>
  <c r="C118" i="34"/>
  <c r="D118" i="34"/>
  <c r="F118" i="34"/>
  <c r="B7852" i="106"/>
  <c r="D7852" i="106"/>
  <c r="C119" i="34"/>
  <c r="D119" i="34"/>
  <c r="F119" i="34"/>
  <c r="B7853" i="106"/>
  <c r="D7853" i="106"/>
  <c r="C120" i="34"/>
  <c r="D120" i="34"/>
  <c r="F120" i="34"/>
  <c r="B7854" i="106"/>
  <c r="D7854" i="106"/>
  <c r="C121" i="34"/>
  <c r="D121" i="34"/>
  <c r="F121" i="34"/>
  <c r="C122" i="34"/>
  <c r="F122" i="34"/>
  <c r="B7855" i="106"/>
  <c r="D7855" i="106"/>
  <c r="C123" i="34"/>
  <c r="D123" i="34"/>
  <c r="F123" i="34"/>
  <c r="D124" i="34"/>
  <c r="D125" i="34"/>
  <c r="D126" i="34"/>
  <c r="D127" i="34"/>
  <c r="D128" i="34"/>
  <c r="C129" i="34"/>
  <c r="D129" i="34"/>
  <c r="F129" i="34"/>
  <c r="B7861" i="106"/>
  <c r="D7861" i="106"/>
  <c r="C130" i="34"/>
  <c r="D130" i="34"/>
  <c r="F130" i="34"/>
  <c r="B7862" i="106"/>
  <c r="D7862" i="106"/>
  <c r="C131" i="34"/>
  <c r="D131" i="34"/>
  <c r="F131" i="34"/>
  <c r="B7863" i="106"/>
  <c r="D7863" i="106"/>
  <c r="C132" i="34"/>
  <c r="D132" i="34"/>
  <c r="F132" i="34"/>
  <c r="B7864" i="106"/>
  <c r="D7864" i="106"/>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c r="C162" i="34"/>
  <c r="D162" i="34"/>
  <c r="F162" i="34"/>
  <c r="B7869" i="106"/>
  <c r="D7869" i="106"/>
  <c r="C163" i="34"/>
  <c r="D163" i="34"/>
  <c r="F163" i="34"/>
  <c r="B7870" i="106"/>
  <c r="D7870" i="106"/>
  <c r="C164" i="34"/>
  <c r="D164" i="34"/>
  <c r="F164" i="34"/>
  <c r="B7871" i="106"/>
  <c r="D7871" i="106"/>
  <c r="C165" i="34"/>
  <c r="D165" i="34"/>
  <c r="F165" i="34"/>
  <c r="B7872" i="106"/>
  <c r="D7872" i="106"/>
  <c r="C166" i="34"/>
  <c r="D166" i="34"/>
  <c r="F166" i="34"/>
  <c r="B7873" i="106"/>
  <c r="D7873" i="106"/>
  <c r="C169" i="34"/>
  <c r="D169" i="34"/>
  <c r="F169" i="34"/>
  <c r="B7874" i="106"/>
  <c r="D7874" i="106"/>
  <c r="C170" i="34"/>
  <c r="D170" i="34"/>
  <c r="F170" i="34"/>
  <c r="B7875" i="106"/>
  <c r="D7875" i="106"/>
  <c r="C171" i="34"/>
  <c r="D171" i="34"/>
  <c r="F171" i="34"/>
  <c r="B7876" i="106"/>
  <c r="D7876" i="106"/>
  <c r="F179" i="34"/>
  <c r="F3" i="11"/>
  <c r="B7591" i="106"/>
  <c r="F5" i="11"/>
  <c r="B2026" i="106"/>
  <c r="D2026" i="106"/>
  <c r="C16" i="11"/>
  <c r="B2013" i="106"/>
  <c r="D2013" i="106"/>
  <c r="C49" i="8"/>
  <c r="B7817" i="106"/>
  <c r="D7817" i="106"/>
  <c r="B4" i="7"/>
  <c r="B1744" i="106"/>
  <c r="D1744" i="106"/>
  <c r="B5" i="7"/>
  <c r="B1745" i="106"/>
  <c r="D1745" i="106"/>
  <c r="B6" i="7"/>
  <c r="D6" i="7"/>
  <c r="B1762" i="106"/>
  <c r="D1762" i="106"/>
  <c r="B7" i="7"/>
  <c r="B1747" i="106"/>
  <c r="D1747" i="106"/>
  <c r="B8" i="7"/>
  <c r="B1748" i="106"/>
  <c r="D1748" i="106"/>
  <c r="B9" i="7"/>
  <c r="B1751" i="106"/>
  <c r="D1751" i="106"/>
  <c r="B10" i="7"/>
  <c r="B1749" i="106"/>
  <c r="D1749" i="106"/>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E12" i="184"/>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B5120" i="106"/>
  <c r="D5120" i="106"/>
  <c r="D108" i="5"/>
  <c r="B5355" i="106"/>
  <c r="D5355" i="106"/>
  <c r="E108" i="5"/>
  <c r="B5526" i="106"/>
  <c r="D5526" i="106"/>
  <c r="F108" i="5"/>
  <c r="B5587" i="106"/>
  <c r="D5587" i="106"/>
  <c r="G108" i="5"/>
  <c r="B5737" i="106"/>
  <c r="D5737" i="106"/>
  <c r="H108" i="5"/>
  <c r="B5886" i="106" s="1"/>
  <c r="D5886" i="106" s="1"/>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D204" i="5"/>
  <c r="B5444" i="106"/>
  <c r="D5444" i="106"/>
  <c r="F204" i="5"/>
  <c r="B5677" i="106"/>
  <c r="D5677" i="106"/>
  <c r="G204" i="5"/>
  <c r="B5803" i="106"/>
  <c r="D5803" i="106"/>
  <c r="D209" i="5"/>
  <c r="B4412" i="106"/>
  <c r="D4412" i="106"/>
  <c r="F209" i="5"/>
  <c r="B4413" i="106"/>
  <c r="D4413" i="106"/>
  <c r="G209" i="5"/>
  <c r="B4414" i="106"/>
  <c r="D4414" i="106"/>
  <c r="D217" i="5"/>
  <c r="B5470" i="106"/>
  <c r="D5470" i="106"/>
  <c r="F217" i="5"/>
  <c r="B5703" i="106"/>
  <c r="D5703" i="106"/>
  <c r="G217" i="5"/>
  <c r="B5829" i="106"/>
  <c r="D5829"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D14" i="4"/>
  <c r="B2570" i="106"/>
  <c r="D2570" i="106"/>
  <c r="B2633" i="106"/>
  <c r="D2633" i="106"/>
  <c r="D7" i="118"/>
  <c r="D8" i="118"/>
  <c r="D9" i="118"/>
  <c r="H14" i="118"/>
  <c r="H19" i="118"/>
  <c r="H24" i="118"/>
  <c r="H28" i="118"/>
  <c r="H33" i="118"/>
  <c r="D22" i="37"/>
  <c r="L22" i="37"/>
  <c r="D24" i="37"/>
  <c r="B4270" i="106"/>
  <c r="D4270" i="106"/>
  <c r="B5752" i="106"/>
  <c r="D5752" i="106"/>
  <c r="B7705" i="106"/>
  <c r="D7705" i="106"/>
  <c r="E67" i="184"/>
  <c r="N67" i="184"/>
  <c r="B7696" i="106"/>
  <c r="D7696" i="106"/>
  <c r="E66" i="184"/>
  <c r="N66" i="184"/>
  <c r="B7135" i="106"/>
  <c r="D7135" i="106"/>
  <c r="E58" i="184"/>
  <c r="N58" i="184"/>
  <c r="I210" i="29"/>
  <c r="B7071" i="106"/>
  <c r="D7071" i="106"/>
  <c r="I129" i="29"/>
  <c r="B7037" i="106"/>
  <c r="D7037" i="106"/>
  <c r="D31" i="108"/>
  <c r="E16" i="184"/>
  <c r="H16" i="184"/>
  <c r="B7126" i="106"/>
  <c r="D7126" i="106"/>
  <c r="E57" i="184"/>
  <c r="E19" i="184"/>
  <c r="H12" i="184"/>
  <c r="H19" i="184"/>
  <c r="L20" i="184"/>
  <c r="B7180" i="106"/>
  <c r="D7180" i="106"/>
  <c r="E63" i="184"/>
  <c r="N63" i="184"/>
  <c r="N68" i="184" s="1"/>
  <c r="F77" i="4"/>
  <c r="B3255" i="106"/>
  <c r="D3255" i="106"/>
  <c r="G33" i="108"/>
  <c r="E17" i="184"/>
  <c r="H17" i="184"/>
  <c r="B7198" i="106"/>
  <c r="D7198" i="106"/>
  <c r="E65" i="184"/>
  <c r="N65" i="184"/>
  <c r="F34" i="34"/>
  <c r="B7826" i="106"/>
  <c r="D7826" i="106"/>
  <c r="B7189" i="106"/>
  <c r="D7189" i="106"/>
  <c r="E64" i="184"/>
  <c r="N64" i="184"/>
  <c r="B7171" i="106"/>
  <c r="D7171" i="106"/>
  <c r="E62" i="184"/>
  <c r="N62" i="184"/>
  <c r="C129" i="29"/>
  <c r="D68" i="36"/>
  <c r="F72" i="34"/>
  <c r="F36" i="34"/>
  <c r="B7828" i="106"/>
  <c r="D7828" i="106"/>
  <c r="B7162" i="106"/>
  <c r="D7162" i="106"/>
  <c r="E61" i="184"/>
  <c r="N61" i="184"/>
  <c r="H365" i="29"/>
  <c r="B7242" i="106"/>
  <c r="D7242" i="106"/>
  <c r="G30" i="108"/>
  <c r="B7153" i="106"/>
  <c r="D7153" i="106"/>
  <c r="E60" i="184"/>
  <c r="N60" i="184"/>
  <c r="F71" i="34"/>
  <c r="B1124" i="106"/>
  <c r="D1124" i="106"/>
  <c r="E33" i="108"/>
  <c r="B1126" i="106"/>
  <c r="D1126" i="106"/>
  <c r="J22" i="37"/>
  <c r="L367" i="29"/>
  <c r="L342" i="29"/>
  <c r="F19" i="7"/>
  <c r="B1807" i="106"/>
  <c r="D1807" i="106"/>
  <c r="F46" i="34"/>
  <c r="F38" i="34"/>
  <c r="B7830" i="106"/>
  <c r="D7830" i="106"/>
  <c r="E38" i="108"/>
  <c r="E35" i="108"/>
  <c r="G29" i="108"/>
  <c r="F28" i="108"/>
  <c r="F27" i="108"/>
  <c r="E26" i="108"/>
  <c r="H112" i="29"/>
  <c r="B7018" i="106"/>
  <c r="D7018" i="106"/>
  <c r="J77" i="4"/>
  <c r="B6262" i="106"/>
  <c r="D6262" i="106"/>
  <c r="B3647" i="106"/>
  <c r="D3647" i="106"/>
  <c r="K76" i="4"/>
  <c r="B3586" i="106"/>
  <c r="D3586" i="106"/>
  <c r="L13" i="11"/>
  <c r="B2060" i="106"/>
  <c r="D2060" i="106"/>
  <c r="K184" i="29"/>
  <c r="F13" i="4"/>
  <c r="B2596" i="106"/>
  <c r="D2596" i="106"/>
  <c r="G210" i="29"/>
  <c r="L5" i="11"/>
  <c r="B2056" i="106"/>
  <c r="D2056" i="106"/>
  <c r="J352" i="29"/>
  <c r="J367" i="29"/>
  <c r="B7245" i="106"/>
  <c r="D7245" i="106"/>
  <c r="J41" i="3"/>
  <c r="D51" i="36"/>
  <c r="D6103" i="106"/>
  <c r="E29" i="108"/>
  <c r="B1308" i="106"/>
  <c r="D1308" i="106"/>
  <c r="E174" i="29"/>
  <c r="B1309" i="106"/>
  <c r="D1309" i="106"/>
  <c r="D17" i="7"/>
  <c r="B4104" i="106"/>
  <c r="D4104" i="106"/>
  <c r="D9" i="7"/>
  <c r="B1767" i="106"/>
  <c r="D1767" i="106"/>
  <c r="D11" i="37"/>
  <c r="H29" i="118"/>
  <c r="K28" i="118"/>
  <c r="O27" i="118"/>
  <c r="O29" i="118"/>
  <c r="N22" i="3"/>
  <c r="B283" i="106"/>
  <c r="D283" i="106"/>
  <c r="F14" i="4"/>
  <c r="B2597" i="106"/>
  <c r="D2597" i="106"/>
  <c r="B7727" i="106"/>
  <c r="D7727" i="106"/>
  <c r="F49" i="34"/>
  <c r="F44" i="34"/>
  <c r="G38" i="108"/>
  <c r="D37" i="108"/>
  <c r="E30" i="108"/>
  <c r="F37" i="108"/>
  <c r="E28" i="108"/>
  <c r="F26" i="108"/>
  <c r="D26" i="108"/>
  <c r="D31" i="36"/>
  <c r="B4087" i="106"/>
  <c r="D4087" i="106"/>
  <c r="K41" i="3"/>
  <c r="L15" i="11"/>
  <c r="B3459" i="106"/>
  <c r="D3459" i="106"/>
  <c r="B3254" i="106"/>
  <c r="D3254" i="106"/>
  <c r="I24" i="12"/>
  <c r="B3649" i="106"/>
  <c r="D3649" i="106"/>
  <c r="G367" i="29"/>
  <c r="D5" i="4"/>
  <c r="B3406" i="106"/>
  <c r="D3406" i="106"/>
  <c r="L312" i="29"/>
  <c r="I342" i="29"/>
  <c r="K350" i="29"/>
  <c r="F21" i="8"/>
  <c r="K24" i="12"/>
  <c r="B3621" i="106"/>
  <c r="D3621" i="106"/>
  <c r="C367" i="29"/>
  <c r="F41" i="34"/>
  <c r="D3583" i="106"/>
  <c r="F45" i="34"/>
  <c r="K285" i="29"/>
  <c r="B3724" i="106"/>
  <c r="D3724" i="106"/>
  <c r="B1410" i="106"/>
  <c r="D1410" i="106"/>
  <c r="B1329" i="106"/>
  <c r="D1329" i="106"/>
  <c r="F61" i="34"/>
  <c r="D12" i="7"/>
  <c r="B1769" i="106"/>
  <c r="D1769" i="106"/>
  <c r="B1746" i="106"/>
  <c r="D1746" i="106"/>
  <c r="F128" i="34"/>
  <c r="B7860" i="106"/>
  <c r="D7860" i="106"/>
  <c r="D13" i="7"/>
  <c r="B3726" i="106"/>
  <c r="D3726" i="106"/>
  <c r="I170" i="5"/>
  <c r="B4216" i="106"/>
  <c r="D4216" i="106"/>
  <c r="B5096" i="106"/>
  <c r="D5096" i="106"/>
  <c r="D4" i="7"/>
  <c r="B1760" i="106"/>
  <c r="D1760" i="106"/>
  <c r="F107" i="34"/>
  <c r="B7843" i="106"/>
  <c r="D7843" i="106"/>
  <c r="G5" i="4"/>
  <c r="B3409" i="106"/>
  <c r="D3409" i="106"/>
  <c r="F125" i="34"/>
  <c r="B7857" i="106"/>
  <c r="D7857" i="106"/>
  <c r="B5121" i="106"/>
  <c r="D5121" i="106"/>
  <c r="G169" i="5"/>
  <c r="B5770" i="106"/>
  <c r="D5770" i="106"/>
  <c r="G170" i="5"/>
  <c r="B5778" i="106"/>
  <c r="D5778" i="106"/>
  <c r="D109" i="5"/>
  <c r="I267" i="5"/>
  <c r="B4435" i="106"/>
  <c r="D4435" i="106"/>
  <c r="B4396" i="106"/>
  <c r="D4396" i="106"/>
  <c r="G109" i="5"/>
  <c r="B5066" i="106"/>
  <c r="D5066" i="106"/>
  <c r="F112" i="34"/>
  <c r="B7847" i="106"/>
  <c r="D7847" i="106"/>
  <c r="C169" i="5"/>
  <c r="F124" i="34"/>
  <c r="B7856" i="106"/>
  <c r="D7856" i="106"/>
  <c r="D5" i="7"/>
  <c r="B1761" i="106"/>
  <c r="D1761" i="106"/>
  <c r="K170" i="5"/>
  <c r="K6" i="4"/>
  <c r="B3570" i="106"/>
  <c r="D3570" i="106"/>
  <c r="J267" i="5"/>
  <c r="B7054" i="106"/>
  <c r="D7054" i="106"/>
  <c r="D15" i="7"/>
  <c r="B1772" i="106"/>
  <c r="D1772" i="106"/>
  <c r="K267" i="5"/>
  <c r="B6022" i="106"/>
  <c r="D6022" i="106"/>
  <c r="F127" i="34"/>
  <c r="B7859" i="106"/>
  <c r="D7859" i="106"/>
  <c r="H170" i="5"/>
  <c r="D11" i="7"/>
  <c r="B1768" i="106"/>
  <c r="D1768" i="106"/>
  <c r="H109" i="5"/>
  <c r="B6025" i="106" s="1"/>
  <c r="D6025" i="106" s="1"/>
  <c r="E109" i="5"/>
  <c r="E4" i="4"/>
  <c r="B2630" i="106"/>
  <c r="D2630" i="106"/>
  <c r="D7" i="7"/>
  <c r="B1763" i="106"/>
  <c r="D1763" i="106"/>
  <c r="F133" i="34"/>
  <c r="B7865" i="106"/>
  <c r="D7865" i="106"/>
  <c r="F169" i="5"/>
  <c r="B5644" i="106"/>
  <c r="D5644" i="106"/>
  <c r="C41" i="3"/>
  <c r="B93" i="106"/>
  <c r="D93" i="106"/>
  <c r="H295" i="29"/>
  <c r="B1454" i="106"/>
  <c r="D1454" i="106"/>
  <c r="B4156" i="106"/>
  <c r="D4156" i="106"/>
  <c r="H172" i="29"/>
  <c r="H174" i="29"/>
  <c r="B2823" i="106"/>
  <c r="D2823" i="106"/>
  <c r="H352" i="29"/>
  <c r="B3656" i="106"/>
  <c r="D3656" i="106"/>
  <c r="K174" i="29"/>
  <c r="F10" i="34"/>
  <c r="E102" i="29"/>
  <c r="B2790" i="106"/>
  <c r="D2790" i="106"/>
  <c r="J342" i="29"/>
  <c r="B7223" i="106"/>
  <c r="D7223" i="106"/>
  <c r="G342" i="29"/>
  <c r="K137" i="29"/>
  <c r="K84" i="29"/>
  <c r="B2088" i="106"/>
  <c r="D2088" i="106"/>
  <c r="B79" i="36"/>
  <c r="B77" i="36"/>
  <c r="D18" i="7"/>
  <c r="B4105" i="106"/>
  <c r="D4105" i="106"/>
  <c r="F106" i="34"/>
  <c r="B7842" i="106"/>
  <c r="D7842" i="106"/>
  <c r="F108" i="34"/>
  <c r="B7844" i="106"/>
  <c r="D7844" i="106"/>
  <c r="F109" i="5"/>
  <c r="J109" i="5"/>
  <c r="J170" i="5"/>
  <c r="F96" i="34"/>
  <c r="B7838" i="106"/>
  <c r="D7838" i="106"/>
  <c r="F126" i="34"/>
  <c r="B7858" i="106"/>
  <c r="D7858" i="106"/>
  <c r="D14" i="7"/>
  <c r="B1770" i="106"/>
  <c r="D1770" i="106"/>
  <c r="N23" i="3"/>
  <c r="B284" i="106"/>
  <c r="D284" i="106"/>
  <c r="F5" i="4"/>
  <c r="B3408" i="106"/>
  <c r="D3408" i="106"/>
  <c r="C5" i="4"/>
  <c r="B3405" i="106"/>
  <c r="D3405" i="106"/>
  <c r="B6840" i="106"/>
  <c r="D6840" i="106"/>
  <c r="B6839" i="106"/>
  <c r="D6839" i="106"/>
  <c r="B6838" i="106"/>
  <c r="D6838" i="106"/>
  <c r="D169" i="5"/>
  <c r="B5412" i="106"/>
  <c r="D5412" i="106"/>
  <c r="B5618" i="106"/>
  <c r="D5618" i="106"/>
  <c r="K109" i="5"/>
  <c r="F16" i="11"/>
  <c r="F48" i="34"/>
  <c r="F40" i="34"/>
  <c r="B7200" i="106"/>
  <c r="D7200" i="106"/>
  <c r="D342" i="29"/>
  <c r="B7217" i="106"/>
  <c r="D7217" i="106"/>
  <c r="B7144" i="106"/>
  <c r="D7144" i="106"/>
  <c r="K330" i="29"/>
  <c r="B6901" i="106"/>
  <c r="D6901" i="106"/>
  <c r="F51" i="34"/>
  <c r="B6885" i="106"/>
  <c r="D6885" i="106"/>
  <c r="F43" i="34"/>
  <c r="B7211" i="106"/>
  <c r="D7211" i="106"/>
  <c r="K340" i="29"/>
  <c r="K342" i="29"/>
  <c r="F13" i="34"/>
  <c r="B6893" i="106"/>
  <c r="D6893" i="106"/>
  <c r="F47" i="34"/>
  <c r="B6877" i="106"/>
  <c r="D6877" i="106"/>
  <c r="F39" i="34"/>
  <c r="B6216" i="106"/>
  <c r="D6216" i="106"/>
  <c r="B3703" i="106"/>
  <c r="D3703" i="106"/>
  <c r="K362" i="29"/>
  <c r="B3676" i="106"/>
  <c r="D3676" i="106"/>
  <c r="B3650" i="106"/>
  <c r="D3650" i="106"/>
  <c r="D352" i="29"/>
  <c r="D367" i="29"/>
  <c r="I76" i="4"/>
  <c r="L41" i="3"/>
  <c r="B2917" i="106" s="1"/>
  <c r="D2917" i="106" s="1"/>
  <c r="I41" i="3"/>
  <c r="K16" i="11"/>
  <c r="B2055" i="106"/>
  <c r="D2055" i="106"/>
  <c r="H312" i="29"/>
  <c r="B1554" i="106"/>
  <c r="D1554" i="106"/>
  <c r="E312" i="29"/>
  <c r="B1536" i="106"/>
  <c r="D1536" i="106"/>
  <c r="D312" i="29"/>
  <c r="B1530" i="106"/>
  <c r="D1530" i="106"/>
  <c r="B1512" i="106"/>
  <c r="D1512" i="106"/>
  <c r="K293" i="29"/>
  <c r="K229" i="29"/>
  <c r="G12" i="4" s="1"/>
  <c r="B1352" i="106"/>
  <c r="D1352" i="106"/>
  <c r="E210" i="29"/>
  <c r="B1353" i="106"/>
  <c r="D1353" i="106"/>
  <c r="B1264" i="106"/>
  <c r="D1264" i="106"/>
  <c r="H129" i="29"/>
  <c r="H151" i="29"/>
  <c r="B1273" i="106"/>
  <c r="D1273" i="106"/>
  <c r="B1239" i="106"/>
  <c r="D1239" i="106"/>
  <c r="E129" i="29"/>
  <c r="B1146" i="106"/>
  <c r="D1146" i="106"/>
  <c r="K110" i="29"/>
  <c r="B122" i="106"/>
  <c r="D122" i="106"/>
  <c r="B1134" i="106"/>
  <c r="D1134" i="106"/>
  <c r="B7759" i="106"/>
  <c r="D7759" i="106"/>
  <c r="B1339" i="106"/>
  <c r="D1339" i="106"/>
  <c r="C210" i="29"/>
  <c r="B1340" i="106"/>
  <c r="D1340" i="106"/>
  <c r="B1225" i="106"/>
  <c r="D1225" i="106"/>
  <c r="C151" i="29"/>
  <c r="B1226" i="106"/>
  <c r="D1226" i="106"/>
  <c r="B169" i="106"/>
  <c r="D169" i="106" s="1"/>
  <c r="B1131" i="106"/>
  <c r="D1131" i="106"/>
  <c r="L3" i="11"/>
  <c r="B7596" i="106"/>
  <c r="L9" i="11"/>
  <c r="B7614" i="106"/>
  <c r="L10" i="11"/>
  <c r="B2058" i="106"/>
  <c r="D2058" i="106"/>
  <c r="D10" i="7"/>
  <c r="B1765" i="106"/>
  <c r="D1765" i="106"/>
  <c r="D16" i="7"/>
  <c r="B19" i="7"/>
  <c r="B1759" i="106"/>
  <c r="D1759" i="106"/>
  <c r="D8" i="7"/>
  <c r="B1764" i="106"/>
  <c r="D1764" i="106"/>
  <c r="I7" i="4"/>
  <c r="B4444" i="106"/>
  <c r="D4444" i="106"/>
  <c r="F266" i="5"/>
  <c r="B5713" i="106"/>
  <c r="D5713" i="106"/>
  <c r="B4397" i="106"/>
  <c r="D4397" i="106"/>
  <c r="B4950" i="106"/>
  <c r="D4950" i="106"/>
  <c r="H267" i="5"/>
  <c r="H7" i="4"/>
  <c r="B2657" i="106"/>
  <c r="D2657" i="106"/>
  <c r="L210" i="29"/>
  <c r="L102" i="29"/>
  <c r="B1121" i="106"/>
  <c r="D1121" i="106"/>
  <c r="K53" i="29"/>
  <c r="B731" i="106"/>
  <c r="D731" i="106"/>
  <c r="C74" i="29"/>
  <c r="B755" i="106"/>
  <c r="D755" i="106"/>
  <c r="B1116" i="106"/>
  <c r="D1116" i="106"/>
  <c r="K47" i="29"/>
  <c r="F158" i="34"/>
  <c r="B7866" i="106"/>
  <c r="D7866" i="106"/>
  <c r="F41" i="108"/>
  <c r="G43" i="108"/>
  <c r="B7600" i="106"/>
  <c r="L6" i="11"/>
  <c r="B7605" i="106"/>
  <c r="A7250" i="106"/>
  <c r="A7251" i="106"/>
  <c r="A7252" i="106"/>
  <c r="A7253" i="106"/>
  <c r="A7254" i="106"/>
  <c r="A7255" i="106"/>
  <c r="A7256" i="106"/>
  <c r="A7257" i="106"/>
  <c r="D7249" i="106"/>
  <c r="D44" i="36"/>
  <c r="E266" i="5"/>
  <c r="B6835" i="106"/>
  <c r="D6835" i="106"/>
  <c r="G266" i="5"/>
  <c r="B4398" i="106"/>
  <c r="D4398" i="106"/>
  <c r="B5537" i="106"/>
  <c r="D5537" i="106"/>
  <c r="E170" i="5"/>
  <c r="I109" i="5"/>
  <c r="L279" i="29"/>
  <c r="L295" i="29"/>
  <c r="L74" i="29"/>
  <c r="L114" i="29"/>
  <c r="B720" i="106"/>
  <c r="D720" i="106" s="1"/>
  <c r="B2031" i="106"/>
  <c r="D2031" i="106"/>
  <c r="L16" i="11"/>
  <c r="B2061" i="106"/>
  <c r="D2061" i="106"/>
  <c r="B7618" i="106"/>
  <c r="L14" i="11"/>
  <c r="B7623" i="106"/>
  <c r="B7230" i="106"/>
  <c r="D7230" i="106"/>
  <c r="I352" i="29"/>
  <c r="I367" i="29"/>
  <c r="B7202" i="106"/>
  <c r="D7202" i="106"/>
  <c r="F342" i="29"/>
  <c r="B7219" i="106"/>
  <c r="D7219" i="106"/>
  <c r="B7214" i="106"/>
  <c r="D7214" i="106"/>
  <c r="B7221" i="106"/>
  <c r="D7221" i="106"/>
  <c r="B7201" i="106"/>
  <c r="D7201" i="106"/>
  <c r="E342" i="29"/>
  <c r="B7218" i="106"/>
  <c r="D7218" i="106"/>
  <c r="B6917" i="106"/>
  <c r="D6917" i="106"/>
  <c r="J74" i="29"/>
  <c r="D266" i="5"/>
  <c r="B5501" i="106"/>
  <c r="D5501" i="106"/>
  <c r="D7248" i="106"/>
  <c r="D7247" i="106"/>
  <c r="D7246" i="106"/>
  <c r="J312" i="29"/>
  <c r="B7117" i="106"/>
  <c r="D7117" i="106"/>
  <c r="I312" i="29"/>
  <c r="B7116" i="106"/>
  <c r="D7116" i="106"/>
  <c r="J151" i="29"/>
  <c r="B7052" i="106"/>
  <c r="D7052" i="106"/>
  <c r="I151" i="29"/>
  <c r="F59" i="34"/>
  <c r="B6916" i="106"/>
  <c r="D6916" i="106"/>
  <c r="I74" i="29"/>
  <c r="I49" i="8"/>
  <c r="B3633" i="106"/>
  <c r="D3633" i="106"/>
  <c r="E352" i="29"/>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s="1"/>
  <c r="K303" i="29"/>
  <c r="G312" i="29"/>
  <c r="B1548" i="106" s="1"/>
  <c r="D1548" i="106" s="1"/>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381" i="106"/>
  <c r="D1381" i="106"/>
  <c r="B1318" i="106"/>
  <c r="D1318" i="106"/>
  <c r="B1127" i="106"/>
  <c r="D1127" i="106"/>
  <c r="K65" i="29"/>
  <c r="B1133" i="106"/>
  <c r="D1133" i="106"/>
  <c r="B1123" i="106"/>
  <c r="D1123" i="106"/>
  <c r="K57"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K270" i="29"/>
  <c r="B1500" i="106" s="1"/>
  <c r="D1500" i="106" s="1"/>
  <c r="K257" i="29"/>
  <c r="B1488" i="106"/>
  <c r="D1488" i="106"/>
  <c r="B1417" i="106"/>
  <c r="D1417" i="106"/>
  <c r="D279" i="29"/>
  <c r="B1446" i="106" s="1"/>
  <c r="D1446" i="106" s="1"/>
  <c r="D295" i="29"/>
  <c r="B1448" i="106" s="1"/>
  <c r="D1448" i="106" s="1"/>
  <c r="H196" i="29"/>
  <c r="B2828" i="106"/>
  <c r="D2828" i="106"/>
  <c r="B1328" i="106"/>
  <c r="D13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47" i="106"/>
  <c r="D1247" i="106"/>
  <c r="F129" i="29"/>
  <c r="B1231" i="106"/>
  <c r="D1231" i="106"/>
  <c r="D129" i="29"/>
  <c r="B1109" i="106"/>
  <c r="D1109" i="106"/>
  <c r="K42" i="29"/>
  <c r="H102" i="29"/>
  <c r="B1047" i="106"/>
  <c r="D1047" i="106"/>
  <c r="G74" i="29"/>
  <c r="B905" i="106"/>
  <c r="D905" i="106"/>
  <c r="F74" i="29"/>
  <c r="D74" i="29"/>
  <c r="B139" i="106"/>
  <c r="D139" i="106"/>
  <c r="E41" i="3"/>
  <c r="L151" i="29"/>
  <c r="B3447" i="106"/>
  <c r="D3447" i="106"/>
  <c r="B7222" i="106"/>
  <c r="D7222" i="106"/>
  <c r="F76" i="34"/>
  <c r="B7887" i="106"/>
  <c r="D7887" i="106"/>
  <c r="B7235" i="106"/>
  <c r="D7235" i="106"/>
  <c r="J16" i="4"/>
  <c r="B6226" i="106"/>
  <c r="D6226" i="106"/>
  <c r="B7215" i="106"/>
  <c r="D7215" i="106"/>
  <c r="B7220" i="106"/>
  <c r="D7220" i="106"/>
  <c r="F75" i="34"/>
  <c r="B7886" i="106"/>
  <c r="D7886" i="106"/>
  <c r="N57" i="184"/>
  <c r="E68" i="184"/>
  <c r="B1266" i="106"/>
  <c r="D1266" i="106"/>
  <c r="K365" i="29"/>
  <c r="E367" i="29"/>
  <c r="B3635" i="106"/>
  <c r="B5527" i="106"/>
  <c r="D5527" i="106"/>
  <c r="F66" i="34"/>
  <c r="D7256" i="106"/>
  <c r="D7251" i="106"/>
  <c r="D7254" i="106"/>
  <c r="D7250" i="106"/>
  <c r="G6" i="4"/>
  <c r="B2604" i="106"/>
  <c r="D2604" i="106"/>
  <c r="C114" i="29"/>
  <c r="B757" i="106" s="1"/>
  <c r="D757" i="106" s="1"/>
  <c r="D41" i="108"/>
  <c r="E43" i="108"/>
  <c r="B1365" i="106"/>
  <c r="D1365" i="106"/>
  <c r="F65" i="34"/>
  <c r="I26" i="12"/>
  <c r="B7741" i="106"/>
  <c r="D7741" i="106"/>
  <c r="B1996" i="106"/>
  <c r="D1996" i="106"/>
  <c r="B1317" i="106"/>
  <c r="D1317" i="106"/>
  <c r="D7255" i="106"/>
  <c r="D7253" i="106"/>
  <c r="D7252" i="106"/>
  <c r="F175" i="34"/>
  <c r="B7877" i="106" s="1"/>
  <c r="D7877" i="106" s="1"/>
  <c r="B3568" i="106"/>
  <c r="D3568" i="106"/>
  <c r="D52" i="36"/>
  <c r="B7733" i="106"/>
  <c r="D7733" i="106"/>
  <c r="K26" i="12"/>
  <c r="B7743" i="106"/>
  <c r="D7743" i="106"/>
  <c r="B1879" i="106"/>
  <c r="D1879" i="106"/>
  <c r="H22" i="37"/>
  <c r="B3628" i="106"/>
  <c r="D3628" i="106"/>
  <c r="F73" i="34"/>
  <c r="G15" i="4"/>
  <c r="B6032" i="106"/>
  <c r="D6032" i="106"/>
  <c r="B3670" i="106"/>
  <c r="D3670" i="106"/>
  <c r="K352" i="29"/>
  <c r="H367" i="29"/>
  <c r="B3660" i="106"/>
  <c r="D3660" i="106"/>
  <c r="B5914" i="106"/>
  <c r="D5914" i="106"/>
  <c r="I6" i="4"/>
  <c r="B5011" i="106"/>
  <c r="D5011" i="106"/>
  <c r="K7" i="4"/>
  <c r="B3718" i="106"/>
  <c r="D3718" i="106"/>
  <c r="B2551" i="106"/>
  <c r="D2551" i="106"/>
  <c r="F170" i="5"/>
  <c r="F267" i="5"/>
  <c r="F7" i="4"/>
  <c r="B2594" i="106"/>
  <c r="D2594" i="106"/>
  <c r="D267" i="5"/>
  <c r="D7" i="4"/>
  <c r="D19" i="7"/>
  <c r="B1775" i="106"/>
  <c r="D1775" i="106"/>
  <c r="H268" i="5"/>
  <c r="B6024" i="106"/>
  <c r="D6024" i="106"/>
  <c r="G4" i="4"/>
  <c r="B2603" i="106"/>
  <c r="D2603" i="106"/>
  <c r="J7" i="4"/>
  <c r="B6222" i="106"/>
  <c r="D6222" i="106"/>
  <c r="B6014" i="106"/>
  <c r="D6014" i="106"/>
  <c r="H4" i="4"/>
  <c r="B5356" i="106"/>
  <c r="D5356" i="106"/>
  <c r="D4" i="4"/>
  <c r="B2564" i="106"/>
  <c r="D2564" i="106"/>
  <c r="B5906" i="106"/>
  <c r="D5906" i="106"/>
  <c r="H6" i="4"/>
  <c r="B2656" i="106"/>
  <c r="D2656" i="106"/>
  <c r="B5214" i="106"/>
  <c r="D5214" i="106"/>
  <c r="C170" i="5"/>
  <c r="B7760" i="106"/>
  <c r="D7760" i="106"/>
  <c r="D24" i="36"/>
  <c r="K102" i="29"/>
  <c r="F53" i="34"/>
  <c r="B1515" i="106"/>
  <c r="D1515" i="106"/>
  <c r="G16" i="4"/>
  <c r="B2611" i="106"/>
  <c r="D2611" i="106"/>
  <c r="B2913" i="106"/>
  <c r="D2913" i="106"/>
  <c r="D50" i="36"/>
  <c r="B3318" i="106"/>
  <c r="D3318" i="106"/>
  <c r="I77" i="4"/>
  <c r="B3319" i="106"/>
  <c r="D3319" i="106"/>
  <c r="D3674" i="106"/>
  <c r="B3573" i="106"/>
  <c r="D3573" i="106"/>
  <c r="K4" i="4"/>
  <c r="B6028" i="106"/>
  <c r="D6028" i="106"/>
  <c r="D170" i="5"/>
  <c r="F4" i="4"/>
  <c r="B2591" i="106"/>
  <c r="D2591" i="106"/>
  <c r="B5588" i="106"/>
  <c r="D5588" i="106"/>
  <c r="B1151" i="106"/>
  <c r="D1151" i="106"/>
  <c r="K112" i="29"/>
  <c r="B1241" i="106"/>
  <c r="D1241" i="106"/>
  <c r="E151" i="29"/>
  <c r="B1242" i="106"/>
  <c r="D1242"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B1145" i="106"/>
  <c r="D1145" i="106"/>
  <c r="G151" i="29"/>
  <c r="F58" i="34"/>
  <c r="B1258" i="106"/>
  <c r="D1258" i="106"/>
  <c r="B1331" i="106"/>
  <c r="D1331" i="106"/>
  <c r="B1125" i="106"/>
  <c r="D1125" i="106"/>
  <c r="G24" i="108"/>
  <c r="E24" i="108"/>
  <c r="K129" i="29"/>
  <c r="K208" i="29"/>
  <c r="B4157" i="106"/>
  <c r="D4157" i="106"/>
  <c r="K312" i="29"/>
  <c r="B1560" i="106" s="1"/>
  <c r="D1560" i="106" s="1"/>
  <c r="B1559" i="106"/>
  <c r="D1559" i="106" s="1"/>
  <c r="H13" i="4"/>
  <c r="B1875" i="106"/>
  <c r="D1875" i="106"/>
  <c r="F22" i="37"/>
  <c r="B1983" i="106"/>
  <c r="D1983" i="106"/>
  <c r="H26" i="12"/>
  <c r="B7740" i="106"/>
  <c r="D7740" i="106"/>
  <c r="B3274" i="106"/>
  <c r="D3274" i="106"/>
  <c r="E77" i="4"/>
  <c r="B3277" i="106"/>
  <c r="D3277" i="106"/>
  <c r="B6977" i="106"/>
  <c r="D6977" i="106"/>
  <c r="I114" i="29"/>
  <c r="B7051" i="106"/>
  <c r="D7051" i="106"/>
  <c r="B6026" i="106"/>
  <c r="D6026" i="106"/>
  <c r="I4" i="4"/>
  <c r="I268" i="5"/>
  <c r="B5946" i="106"/>
  <c r="D5946" i="106"/>
  <c r="G267" i="5"/>
  <c r="B5863" i="106"/>
  <c r="D5863" i="106"/>
  <c r="B7747" i="106"/>
  <c r="D7747" i="106"/>
  <c r="E267" i="5"/>
  <c r="A7258" i="106"/>
  <c r="D7257" i="106"/>
  <c r="E23" i="108"/>
  <c r="B1122" i="106"/>
  <c r="D1122" i="106"/>
  <c r="G23" i="108"/>
  <c r="B141" i="106"/>
  <c r="D141" i="106"/>
  <c r="D46"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G13" i="4" s="1"/>
  <c r="B2608" i="106" s="1"/>
  <c r="D2608" i="106" s="1"/>
  <c r="B1481" i="106"/>
  <c r="D1481" i="106"/>
  <c r="B2102" i="106"/>
  <c r="D2102" i="106"/>
  <c r="H15" i="4"/>
  <c r="B2660" i="106"/>
  <c r="D2660" i="106"/>
  <c r="B3636" i="106"/>
  <c r="D3636" i="106"/>
  <c r="D3635" i="106"/>
  <c r="B4171" i="106"/>
  <c r="D4171" i="106"/>
  <c r="N36" i="3"/>
  <c r="J114" i="29"/>
  <c r="B7021" i="106"/>
  <c r="D7021" i="106"/>
  <c r="B6978" i="106"/>
  <c r="D6978" i="106"/>
  <c r="B7224" i="106"/>
  <c r="D7224" i="106"/>
  <c r="B7244" i="106"/>
  <c r="D7244" i="106"/>
  <c r="B7234" i="106"/>
  <c r="D7234" i="106"/>
  <c r="B5544" i="106"/>
  <c r="D5544" i="106"/>
  <c r="E6" i="4"/>
  <c r="G22" i="108"/>
  <c r="B1119" i="106"/>
  <c r="D1119" i="106"/>
  <c r="E22" i="108"/>
  <c r="B5915" i="106"/>
  <c r="D5915" i="106" s="1"/>
  <c r="K367" i="29"/>
  <c r="F24" i="37"/>
  <c r="D268" i="5"/>
  <c r="J17" i="4"/>
  <c r="K13" i="4"/>
  <c r="B3572" i="106"/>
  <c r="D3572" i="106"/>
  <c r="B3672" i="106"/>
  <c r="D3672" i="106"/>
  <c r="F268" i="5"/>
  <c r="B5720" i="106"/>
  <c r="D5720" i="106"/>
  <c r="B5507" i="106"/>
  <c r="D5507" i="106"/>
  <c r="B5719" i="106"/>
  <c r="D5719" i="106"/>
  <c r="F6" i="4"/>
  <c r="B2593" i="106"/>
  <c r="D2593" i="106"/>
  <c r="B5653" i="106"/>
  <c r="D5653" i="106"/>
  <c r="B2655" i="106"/>
  <c r="D2655" i="106" s="1"/>
  <c r="H8" i="4"/>
  <c r="F8" i="4"/>
  <c r="F10" i="4"/>
  <c r="B4125" i="106"/>
  <c r="D4125" i="106"/>
  <c r="B5223" i="106"/>
  <c r="D5223" i="106"/>
  <c r="C6" i="4"/>
  <c r="B2553" i="106"/>
  <c r="D2553" i="106"/>
  <c r="J8" i="4"/>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A7259" i="106"/>
  <c r="D7258" i="106"/>
  <c r="B4434" i="106"/>
  <c r="D4434" i="106"/>
  <c r="E7" i="4"/>
  <c r="B4443" i="106"/>
  <c r="D4443" i="106"/>
  <c r="E268" i="5"/>
  <c r="K151" i="29"/>
  <c r="B1281" i="106"/>
  <c r="D1281" i="106"/>
  <c r="D13" i="4"/>
  <c r="B2634" i="106"/>
  <c r="D2634" i="106"/>
  <c r="B1332" i="106"/>
  <c r="D1332" i="106"/>
  <c r="B1259" i="106"/>
  <c r="D1259" i="106"/>
  <c r="B989" i="106"/>
  <c r="D989" i="106"/>
  <c r="F54" i="34"/>
  <c r="C268" i="5"/>
  <c r="B5326" i="106"/>
  <c r="D5326" i="106"/>
  <c r="H37" i="37"/>
  <c r="B285" i="106"/>
  <c r="D285" i="106"/>
  <c r="N37" i="3"/>
  <c r="B3678" i="106"/>
  <c r="D3678" i="106"/>
  <c r="K368" i="29"/>
  <c r="B3681" i="106"/>
  <c r="D3681" i="106"/>
  <c r="B3574" i="106"/>
  <c r="D3574" i="106"/>
  <c r="B1282" i="106"/>
  <c r="D1282" i="106"/>
  <c r="D15" i="4"/>
  <c r="B2571" i="106"/>
  <c r="D2571" i="106"/>
  <c r="J19" i="4"/>
  <c r="B6229" i="106"/>
  <c r="D6229" i="106"/>
  <c r="B6227" i="106"/>
  <c r="D6227" i="106"/>
  <c r="B5869" i="106"/>
  <c r="D5869" i="106"/>
  <c r="G268" i="5"/>
  <c r="G7" i="4"/>
  <c r="B3225" i="106"/>
  <c r="D3225" i="106"/>
  <c r="I8" i="4"/>
  <c r="B7020" i="106"/>
  <c r="D7020" i="106"/>
  <c r="F55" i="34"/>
  <c r="F17" i="11"/>
  <c r="B2659" i="106"/>
  <c r="D2659" i="106" s="1"/>
  <c r="H17" i="4"/>
  <c r="B2661" i="106" s="1"/>
  <c r="D2661" i="106" s="1"/>
  <c r="B1387" i="106"/>
  <c r="D1387" i="106"/>
  <c r="F16" i="4"/>
  <c r="B2599" i="106"/>
  <c r="D2599" i="106"/>
  <c r="B1382" i="106"/>
  <c r="D1382" i="106"/>
  <c r="F63" i="34"/>
  <c r="F15" i="4"/>
  <c r="K210" i="29"/>
  <c r="F11" i="34"/>
  <c r="B1287" i="106"/>
  <c r="D1287" i="106"/>
  <c r="D16" i="4"/>
  <c r="B2572" i="106"/>
  <c r="D2572" i="106"/>
  <c r="B1143" i="106"/>
  <c r="D1143" i="106"/>
  <c r="C13" i="4"/>
  <c r="B2557" i="106"/>
  <c r="D2557" i="106"/>
  <c r="J20" i="4"/>
  <c r="J10" i="4"/>
  <c r="B6225" i="106"/>
  <c r="D6225" i="106"/>
  <c r="B6223" i="106"/>
  <c r="D6223" i="106"/>
  <c r="B5508" i="106"/>
  <c r="D5508" i="106"/>
  <c r="B2567" i="106"/>
  <c r="D2567" i="106"/>
  <c r="K17" i="4"/>
  <c r="D8" i="146"/>
  <c r="B2595" i="106"/>
  <c r="D2595" i="106"/>
  <c r="D8" i="4"/>
  <c r="C8" i="146"/>
  <c r="D10" i="171"/>
  <c r="D19" i="171"/>
  <c r="D32" i="171"/>
  <c r="H10" i="4"/>
  <c r="B4127" i="106" s="1"/>
  <c r="D4127" i="106" s="1"/>
  <c r="K152" i="29"/>
  <c r="B1289" i="106"/>
  <c r="D1289" i="106"/>
  <c r="F9" i="34"/>
  <c r="K10" i="4"/>
  <c r="B4130" i="106"/>
  <c r="D4130" i="106"/>
  <c r="B3571" i="106"/>
  <c r="D3571" i="106"/>
  <c r="B1388" i="106"/>
  <c r="D1388" i="106"/>
  <c r="K211" i="29"/>
  <c r="B1389" i="106"/>
  <c r="D1389" i="106"/>
  <c r="H19" i="4"/>
  <c r="B4141" i="106"/>
  <c r="D4141" i="106" s="1"/>
  <c r="B7624" i="106"/>
  <c r="I17" i="11"/>
  <c r="B5870" i="106"/>
  <c r="D5870" i="106"/>
  <c r="B3575" i="106"/>
  <c r="D3575" i="106"/>
  <c r="K19" i="4"/>
  <c r="B4144" i="106"/>
  <c r="D4144" i="106"/>
  <c r="K20" i="4"/>
  <c r="N41" i="3"/>
  <c r="B287" i="106"/>
  <c r="D287" i="106"/>
  <c r="B4997" i="106"/>
  <c r="D4997" i="106"/>
  <c r="H32" i="118"/>
  <c r="K32" i="118"/>
  <c r="O31" i="118"/>
  <c r="O33" i="118"/>
  <c r="E19" i="4"/>
  <c r="B4138" i="106"/>
  <c r="D4138" i="106"/>
  <c r="B2635" i="106"/>
  <c r="D2635" i="106"/>
  <c r="B2569" i="106"/>
  <c r="D2569" i="106"/>
  <c r="D17" i="4"/>
  <c r="B1288" i="106"/>
  <c r="D1288" i="106"/>
  <c r="B2598" i="106"/>
  <c r="D2598" i="106"/>
  <c r="F17" i="4"/>
  <c r="B3226" i="106"/>
  <c r="D3226" i="106"/>
  <c r="E8" i="146"/>
  <c r="E10" i="146"/>
  <c r="I20" i="4"/>
  <c r="I10" i="4"/>
  <c r="B4128" i="106"/>
  <c r="D4128" i="106"/>
  <c r="G8" i="4"/>
  <c r="B2605" i="106"/>
  <c r="D2605" i="106"/>
  <c r="B2554" i="106"/>
  <c r="D2554" i="106"/>
  <c r="B5327" i="106"/>
  <c r="D5327" i="106"/>
  <c r="B5552" i="106"/>
  <c r="D5552" i="106"/>
  <c r="K175" i="29"/>
  <c r="B1333" i="106"/>
  <c r="D1333" i="106"/>
  <c r="A7260" i="106"/>
  <c r="D7259" i="106"/>
  <c r="E8" i="4"/>
  <c r="B6230" i="106"/>
  <c r="D6230" i="106"/>
  <c r="J78" i="4"/>
  <c r="D10" i="4"/>
  <c r="B4123" i="106"/>
  <c r="D4123" i="106"/>
  <c r="B2568" i="106"/>
  <c r="D2568" i="106"/>
  <c r="H13" i="118"/>
  <c r="D20" i="4"/>
  <c r="B2574" i="106"/>
  <c r="D2574" i="106"/>
  <c r="H18" i="118"/>
  <c r="C10" i="4"/>
  <c r="B4122" i="106"/>
  <c r="D4122" i="106"/>
  <c r="B2555" i="106"/>
  <c r="D2555" i="106"/>
  <c r="G10" i="4"/>
  <c r="B4126" i="106"/>
  <c r="D4126" i="106"/>
  <c r="B2606" i="106"/>
  <c r="D2606" i="106"/>
  <c r="D16" i="37"/>
  <c r="B2632" i="106"/>
  <c r="D2632" i="106"/>
  <c r="E10" i="4"/>
  <c r="B4124" i="106"/>
  <c r="D4124" i="106"/>
  <c r="A7261" i="106"/>
  <c r="D7260" i="106"/>
  <c r="B288" i="106"/>
  <c r="D288" i="106"/>
  <c r="D55" i="36"/>
  <c r="I18" i="11"/>
  <c r="B7625"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3588" i="106"/>
  <c r="D3588" i="106"/>
  <c r="K81" i="4"/>
  <c r="F78" i="4"/>
  <c r="B2601" i="106"/>
  <c r="D2601" i="106"/>
  <c r="B3320" i="106"/>
  <c r="D3320" i="106"/>
  <c r="I81" i="4"/>
  <c r="B7631" i="106"/>
  <c r="F177" i="34"/>
  <c r="A7262" i="106"/>
  <c r="D7261" i="106"/>
  <c r="B2636" i="106"/>
  <c r="D2636" i="106"/>
  <c r="D64" i="36"/>
  <c r="J82" i="4"/>
  <c r="B6266" i="106"/>
  <c r="D6266" i="106"/>
  <c r="D81" i="4"/>
  <c r="B3239" i="106"/>
  <c r="D3239" i="106"/>
  <c r="B3278" i="106"/>
  <c r="D3278" i="106"/>
  <c r="A7263" i="106"/>
  <c r="D7262" i="106"/>
  <c r="F81" i="4"/>
  <c r="B3256" i="106"/>
  <c r="D3256" i="106"/>
  <c r="B3323" i="106"/>
  <c r="D3323" i="106"/>
  <c r="I82" i="4"/>
  <c r="D63" i="36"/>
  <c r="E11" i="146"/>
  <c r="B3591" i="106"/>
  <c r="D3591" i="106"/>
  <c r="D65" i="36"/>
  <c r="K82" i="4"/>
  <c r="J83" i="4"/>
  <c r="B6283" i="106"/>
  <c r="D6283" i="106"/>
  <c r="B6274" i="106"/>
  <c r="D6274" i="106"/>
  <c r="D82" i="4"/>
  <c r="B1644" i="106"/>
  <c r="D1644" i="106"/>
  <c r="C11" i="146"/>
  <c r="B6275" i="106"/>
  <c r="D6275" i="106"/>
  <c r="K83" i="4"/>
  <c r="B6284" i="106"/>
  <c r="D6284" i="106"/>
  <c r="E82" i="4"/>
  <c r="B1658" i="106"/>
  <c r="D1658" i="106"/>
  <c r="D59" i="36"/>
  <c r="I83" i="4"/>
  <c r="B6282" i="106"/>
  <c r="D6282" i="106"/>
  <c r="B6273" i="106"/>
  <c r="D6273" i="106"/>
  <c r="B1672" i="106"/>
  <c r="D1672" i="106"/>
  <c r="F82" i="4"/>
  <c r="D11" i="146"/>
  <c r="A7264" i="106"/>
  <c r="D7263" i="106"/>
  <c r="B6268" i="106"/>
  <c r="D6268" i="106"/>
  <c r="D83" i="4"/>
  <c r="B6277" i="106"/>
  <c r="D6277" i="106"/>
  <c r="A7265" i="106"/>
  <c r="D7264" i="106"/>
  <c r="B6269" i="106"/>
  <c r="D6269" i="106"/>
  <c r="E83" i="4"/>
  <c r="B6278" i="106"/>
  <c r="D6278" i="106"/>
  <c r="B6270" i="106"/>
  <c r="D6270" i="106"/>
  <c r="F83" i="4"/>
  <c r="B6279" i="106"/>
  <c r="D6279"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 i="186" l="1"/>
  <c r="B2" i="175"/>
  <c r="A2" i="173"/>
  <c r="A2" i="170"/>
  <c r="B2" i="179"/>
  <c r="B2" i="185"/>
  <c r="G39" i="3"/>
  <c r="B189" i="106" s="1"/>
  <c r="D189" i="106" s="1"/>
  <c r="G41" i="3"/>
  <c r="F39" i="3"/>
  <c r="F41" i="3"/>
  <c r="D60" i="36"/>
  <c r="B170" i="106"/>
  <c r="D170" i="106" s="1"/>
  <c r="E41" i="108"/>
  <c r="E44" i="108" s="1"/>
  <c r="E45" i="108" s="1"/>
  <c r="D76" i="36"/>
  <c r="D58" i="36"/>
  <c r="D41" i="3"/>
  <c r="B124" i="106" s="1"/>
  <c r="D124" i="106" s="1"/>
  <c r="B123" i="106"/>
  <c r="D123" i="106" s="1"/>
  <c r="B109" i="106"/>
  <c r="D109" i="106" s="1"/>
  <c r="D35" i="171"/>
  <c r="D47" i="171" s="1"/>
  <c r="D49" i="171" s="1"/>
  <c r="D46" i="174"/>
  <c r="D48" i="174" s="1"/>
  <c r="L17" i="185"/>
  <c r="D54" i="36"/>
  <c r="B212" i="106"/>
  <c r="D212" i="106" s="1"/>
  <c r="D75" i="36"/>
  <c r="H41" i="3"/>
  <c r="J24" i="12"/>
  <c r="B7730" i="106"/>
  <c r="D7730" i="106" s="1"/>
  <c r="H20" i="4"/>
  <c r="B7722" i="106"/>
  <c r="D7722" i="106" s="1"/>
  <c r="K313" i="29"/>
  <c r="B1561" i="106" s="1"/>
  <c r="D1561" i="106" s="1"/>
  <c r="B1510" i="106"/>
  <c r="D1510" i="106" s="1"/>
  <c r="G17" i="4"/>
  <c r="B2607" i="106"/>
  <c r="D2607" i="106" s="1"/>
  <c r="B1474" i="106"/>
  <c r="D1474" i="106" s="1"/>
  <c r="K295" i="29"/>
  <c r="K296" i="29" s="1"/>
  <c r="B1518" i="106" s="1"/>
  <c r="D1518" i="106" s="1"/>
  <c r="G19" i="4"/>
  <c r="B4140" i="106" s="1"/>
  <c r="D4140" i="106" s="1"/>
  <c r="F35" i="34"/>
  <c r="B1108" i="106"/>
  <c r="D1108" i="106" s="1"/>
  <c r="C12" i="4"/>
  <c r="K114" i="29"/>
  <c r="G19" i="108"/>
  <c r="G41" i="108" s="1"/>
  <c r="G44" i="108" s="1"/>
  <c r="G45" i="108" s="1"/>
  <c r="H78" i="4"/>
  <c r="B2662" i="106"/>
  <c r="D2662" i="106" s="1"/>
  <c r="B2658" i="106"/>
  <c r="D2658" i="106" s="1"/>
  <c r="B190" i="106" l="1"/>
  <c r="D190" i="106" s="1"/>
  <c r="D48" i="36"/>
  <c r="D47" i="36"/>
  <c r="B171" i="106"/>
  <c r="D171" i="106" s="1"/>
  <c r="D45" i="36"/>
  <c r="B213" i="106"/>
  <c r="D213" i="106" s="1"/>
  <c r="D49" i="36"/>
  <c r="J26" i="12"/>
  <c r="B7742" i="106" s="1"/>
  <c r="D7742" i="106" s="1"/>
  <c r="B7732" i="106"/>
  <c r="D7732" i="106" s="1"/>
  <c r="F12" i="34"/>
  <c r="B1517" i="106"/>
  <c r="D1517" i="106" s="1"/>
  <c r="G20" i="4"/>
  <c r="B2612" i="106"/>
  <c r="D2612" i="106" s="1"/>
  <c r="B7827" i="106"/>
  <c r="D7827" i="106" s="1"/>
  <c r="F77" i="34"/>
  <c r="B7834" i="106" s="1"/>
  <c r="D7834" i="106" s="1"/>
  <c r="B1152" i="106"/>
  <c r="D1152" i="106" s="1"/>
  <c r="K115" i="29"/>
  <c r="B1153" i="106" s="1"/>
  <c r="D1153" i="106" s="1"/>
  <c r="F8" i="34"/>
  <c r="F14" i="34" s="1"/>
  <c r="C17" i="4"/>
  <c r="B2556" i="106"/>
  <c r="D2556" i="106" s="1"/>
  <c r="B3300" i="106"/>
  <c r="D3300" i="106" s="1"/>
  <c r="H81" i="4"/>
  <c r="B2613" i="106" l="1"/>
  <c r="D2613" i="106" s="1"/>
  <c r="G78" i="4"/>
  <c r="F78" i="34"/>
  <c r="B7822" i="106"/>
  <c r="F16" i="37"/>
  <c r="H16" i="37" s="1"/>
  <c r="B9" i="146"/>
  <c r="H17" i="118"/>
  <c r="C20" i="4"/>
  <c r="B2561" i="106"/>
  <c r="D2561" i="106" s="1"/>
  <c r="C19" i="4"/>
  <c r="B4136" i="106" s="1"/>
  <c r="D4136" i="106" s="1"/>
  <c r="B1700" i="106"/>
  <c r="D1700" i="106" s="1"/>
  <c r="H82" i="4"/>
  <c r="B3262" i="106" l="1"/>
  <c r="D3262" i="106" s="1"/>
  <c r="G81" i="4"/>
  <c r="H25" i="118"/>
  <c r="K24" i="118" s="1"/>
  <c r="O23" i="118" s="1"/>
  <c r="O25" i="118" s="1"/>
  <c r="K17" i="118"/>
  <c r="B2562" i="106"/>
  <c r="D2562" i="106" s="1"/>
  <c r="C78" i="4"/>
  <c r="F9" i="146"/>
  <c r="F10" i="146" s="1"/>
  <c r="B10" i="146"/>
  <c r="F176" i="34"/>
  <c r="B7835" i="106"/>
  <c r="D7835" i="106" s="1"/>
  <c r="H83" i="4"/>
  <c r="B6281" i="106" s="1"/>
  <c r="D6281" i="106" s="1"/>
  <c r="B6272" i="106"/>
  <c r="D6272" i="106" s="1"/>
  <c r="B1686" i="106" l="1"/>
  <c r="D1686" i="106" s="1"/>
  <c r="D61" i="36"/>
  <c r="G82" i="4"/>
  <c r="B7878" i="106"/>
  <c r="D7878" i="106" s="1"/>
  <c r="F178" i="34"/>
  <c r="C81" i="4"/>
  <c r="B3233" i="106"/>
  <c r="D3233" i="106" s="1"/>
  <c r="J20" i="118"/>
  <c r="O16" i="118"/>
  <c r="K20" i="118"/>
  <c r="B6271" i="106" l="1"/>
  <c r="D6271" i="106" s="1"/>
  <c r="G83" i="4"/>
  <c r="B6280" i="106" s="1"/>
  <c r="D6280" i="106" s="1"/>
  <c r="O17" i="118"/>
  <c r="O20" i="118" s="1"/>
  <c r="B1630" i="106"/>
  <c r="D1630" i="106" s="1"/>
  <c r="H12" i="118"/>
  <c r="K12" i="118" s="1"/>
  <c r="O11" i="118" s="1"/>
  <c r="O13" i="118" s="1"/>
  <c r="B11" i="146"/>
  <c r="F11" i="146" s="1"/>
  <c r="J16" i="37"/>
  <c r="B4269" i="106" s="1"/>
  <c r="D4269" i="106" s="1"/>
  <c r="D57" i="36"/>
  <c r="C82" i="4"/>
  <c r="F180" i="34"/>
  <c r="B7880" i="106" s="1"/>
  <c r="D7880" i="106" s="1"/>
  <c r="B7879" i="106"/>
  <c r="D7879" i="106" s="1"/>
  <c r="C83" i="4" l="1"/>
  <c r="B6276" i="106" s="1"/>
  <c r="D6276" i="106" s="1"/>
  <c r="B6267" i="106"/>
  <c r="D6267" i="106" s="1"/>
  <c r="D29" i="36"/>
  <c r="J24" i="24" s="1"/>
  <c r="C12" i="146"/>
  <c r="O35" i="118"/>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<sst xmlns="http://schemas.openxmlformats.org/spreadsheetml/2006/main" count="5989" uniqueCount="2363">
  <si>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</si>
  <si>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</si>
  <si>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</si>
  <si>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</si>
  <si>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</si>
  <si>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</si>
  <si>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</si>
  <si>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</si>
  <si>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</si>
  <si>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</si>
  <si>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</si>
  <si>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</si>
  <si>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</si>
  <si>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</si>
  <si>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</si>
  <si>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</si>
  <si>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</si>
  <si>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</si>
  <si>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</si>
  <si>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</si>
  <si>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</si>
  <si>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</si>
  <si>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</si>
  <si>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</si>
  <si>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</si>
  <si>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</si>
  <si>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</si>
  <si>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</si>
  <si>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</si>
  <si>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</si>
  <si>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</si>
  <si>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</si>
  <si>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</si>
  <si>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</si>
  <si>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</si>
  <si>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</si>
  <si>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</si>
  <si>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</si>
  <si>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</si>
  <si>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</si>
  <si>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</si>
  <si>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</si>
  <si>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</si>
  <si>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</si>
  <si>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</si>
  <si>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</si>
  <si>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</si>
  <si>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</si>
  <si>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</si>
  <si>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</si>
  <si>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</si>
  <si>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</si>
  <si>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</si>
  <si>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</si>
  <si>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</si>
  <si>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</si>
  <si>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</si>
  <si>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</si>
  <si>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</si>
  <si>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</si>
  <si>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</si>
  <si>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</si>
  <si>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</si>
  <si>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</si>
  <si>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</si>
  <si>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</si>
  <si>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</si>
  <si>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</si>
  <si>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</si>
  <si>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</si>
  <si>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</si>
  <si>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</si>
  <si>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</si>
  <si>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</si>
  <si>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</si>
  <si>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</si>
  <si>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</si>
  <si>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</si>
  <si>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</si>
  <si>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</si>
  <si>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</si>
  <si>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</si>
  <si>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</si>
  <si>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</si>
  <si>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</si>
  <si>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</si>
  <si>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</si>
  <si>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</si>
  <si>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</si>
  <si>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</si>
  <si>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</si>
  <si>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</si>
  <si>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</si>
  <si>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</si>
  <si>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</si>
  <si>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</si>
  <si>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</si>
  <si>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</si>
  <si>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</si>
  <si>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</si>
  <si>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</si>
  <si>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</si>
  <si>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</si>
  <si>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</si>
  <si>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</si>
  <si>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</si>
  <si>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</si>
  <si>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</si>
  <si>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</si>
  <si>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</si>
  <si>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</si>
  <si>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</si>
  <si>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</si>
  <si>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</si>
  <si>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</si>
  <si>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</si>
  <si>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</si>
  <si>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</si>
  <si>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</si>
  <si>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</si>
  <si>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</si>
  <si>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</si>
  <si>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</si>
  <si>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</si>
  <si>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</si>
  <si>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</si>
  <si>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</si>
  <si>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</si>
  <si>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</si>
  <si>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</si>
  <si>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</si>
  <si>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</si>
  <si>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</si>
  <si>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</si>
  <si>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</si>
  <si>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</si>
  <si>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</si>
  <si>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</si>
  <si>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</si>
  <si>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</si>
  <si>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</si>
  <si>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</si>
  <si>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</si>
  <si>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</si>
  <si>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</si>
  <si>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</si>
  <si>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</si>
  <si>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</si>
  <si>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</si>
  <si>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</si>
  <si>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</si>
  <si>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</si>
  <si>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</si>
  <si>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</si>
  <si>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</si>
  <si>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</si>
  <si>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</si>
  <si>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</si>
  <si>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</si>
  <si>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</si>
  <si>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</si>
  <si>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</si>
  <si>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</si>
  <si>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</si>
  <si>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</si>
  <si>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</si>
  <si>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</si>
  <si>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</si>
  <si>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</si>
  <si>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</si>
  <si>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</si>
  <si>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</si>
  <si>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</si>
  <si>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</si>
  <si>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</si>
  <si>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</si>
  <si>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</si>
  <si>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</si>
  <si>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</si>
  <si>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</si>
  <si>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</si>
  <si>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</si>
  <si>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</si>
  <si>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</si>
  <si>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</si>
  <si>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</si>
  <si>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</si>
  <si>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</si>
  <si>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</si>
  <si>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</si>
  <si>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</si>
  <si>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</si>
  <si>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</si>
  <si>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</si>
  <si>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</si>
  <si>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</si>
  <si>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</si>
  <si>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</si>
  <si>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</si>
  <si>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</si>
  <si>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</si>
  <si>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</si>
  <si>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</si>
  <si>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</si>
  <si>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</si>
  <si>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</si>
  <si>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</si>
  <si>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</si>
  <si>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</si>
  <si>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</si>
  <si>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</si>
  <si>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</si>
  <si>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</si>
  <si>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</si>
  <si>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</si>
  <si>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</si>
  <si>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</si>
  <si>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</si>
  <si>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</si>
  <si>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</si>
  <si>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</si>
  <si>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</si>
  <si>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</si>
  <si>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</si>
  <si>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</si>
  <si>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</si>
  <si>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</si>
  <si>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</si>
  <si>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</si>
  <si>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</si>
  <si>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</si>
  <si>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</si>
  <si>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</si>
  <si>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</si>
  <si>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</si>
  <si>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</si>
  <si>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</si>
  <si>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</si>
  <si>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</si>
  <si>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</si>
  <si>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</si>
  <si>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</si>
  <si>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</si>
  <si>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</si>
  <si>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</si>
  <si>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</si>
  <si>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</si>
  <si>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</si>
  <si>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</si>
  <si>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</si>
  <si>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</si>
  <si>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</si>
  <si>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</si>
  <si>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</si>
  <si>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</si>
  <si>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</si>
  <si>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</si>
  <si>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</si>
  <si>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</si>
  <si>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</si>
  <si>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</si>
  <si>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</si>
  <si>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</si>
  <si>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</si>
  <si>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</si>
  <si>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</si>
  <si>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</si>
  <si>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</si>
  <si>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</si>
  <si>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</si>
  <si>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</si>
  <si>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</si>
  <si>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</si>
  <si>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</si>
  <si>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</si>
  <si>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</si>
  <si>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</si>
  <si>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</si>
  <si>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</si>
  <si>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</si>
  <si>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</si>
  <si>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</si>
  <si>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</si>
  <si>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</si>
  <si>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</si>
  <si>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</si>
  <si>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</si>
  <si>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</si>
  <si>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</si>
  <si>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</si>
  <si>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</si>
  <si>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</si>
  <si>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</si>
  <si>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</si>
  <si>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</si>
  <si>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</si>
  <si>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</si>
  <si>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</si>
  <si>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</si>
  <si>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</si>
  <si>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</si>
  <si>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</si>
  <si>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</si>
  <si>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</si>
  <si>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</si>
  <si>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</si>
  <si>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</si>
  <si>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</si>
  <si>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</si>
  <si>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</si>
  <si>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</si>
  <si>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</si>
  <si>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</si>
  <si>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</si>
  <si>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</si>
  <si>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</si>
  <si>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</si>
  <si>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</si>
  <si>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</si>
  <si>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</si>
  <si>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</si>
  <si>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</si>
  <si>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</si>
  <si>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</si>
  <si>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</si>
  <si>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</si>
  <si>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</si>
  <si>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</si>
  <si>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</si>
  <si>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</si>
  <si>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</si>
  <si>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</si>
  <si>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</si>
  <si>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</si>
  <si>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</si>
  <si>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</si>
  <si>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</si>
  <si>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</si>
  <si>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</si>
  <si>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</si>
  <si>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</si>
  <si>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</si>
  <si>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</si>
  <si>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</si>
  <si>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</si>
  <si>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</si>
  <si>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</si>
  <si>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</si>
  <si>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</si>
  <si>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</si>
  <si>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</si>
  <si>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</si>
  <si>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</si>
  <si>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</si>
  <si>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</si>
  <si>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</si>
  <si>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</si>
  <si>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</si>
  <si>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</si>
  <si>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</si>
  <si>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</si>
  <si>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</si>
  <si>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</si>
  <si>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</si>
  <si>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</si>
  <si>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</si>
  <si>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</si>
  <si>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</si>
  <si>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</si>
  <si>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</si>
  <si>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</si>
  <si>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</si>
  <si>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</si>
  <si>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</si>
  <si>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</si>
  <si>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</si>
  <si>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</si>
  <si>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</si>
  <si>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</si>
  <si>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</si>
  <si>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</si>
  <si>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</si>
  <si>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</si>
  <si>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</si>
  <si>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</si>
  <si>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</si>
  <si>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</si>
  <si>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</si>
  <si>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</si>
  <si>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</si>
  <si>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</si>
  <si>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</si>
  <si>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</si>
  <si>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</si>
  <si>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</si>
  <si>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</si>
  <si>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</si>
  <si>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</si>
  <si>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</si>
  <si>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</si>
  <si>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</si>
  <si>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</si>
  <si>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</si>
  <si>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</si>
  <si>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</si>
  <si>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</si>
  <si>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</si>
  <si>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</si>
  <si>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</si>
  <si>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</si>
  <si>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</si>
  <si>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</si>
  <si>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</si>
  <si>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</si>
  <si>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</si>
  <si>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</si>
  <si>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</si>
  <si>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</si>
  <si>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</si>
  <si>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</si>
  <si>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</si>
  <si>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</si>
  <si>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</si>
  <si>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</si>
  <si>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</si>
  <si>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</si>
  <si>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</si>
  <si>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</si>
  <si>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</si>
  <si>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</si>
  <si>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</si>
  <si>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</si>
  <si>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</si>
  <si>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</si>
  <si>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</si>
  <si>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</si>
  <si>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</si>
  <si>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</si>
  <si>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</si>
  <si>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</si>
  <si>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</si>
  <si>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</si>
  <si>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</si>
  <si>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</si>
  <si>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</si>
  <si>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</si>
  <si>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</si>
  <si>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</si>
  <si>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</si>
  <si>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</si>
  <si>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</si>
  <si>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</si>
  <si>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</si>
  <si>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</si>
  <si>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</si>
  <si>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</si>
  <si>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</si>
  <si>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</si>
  <si>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</si>
  <si>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</si>
  <si>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</si>
  <si>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</si>
  <si>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</si>
  <si>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</si>
  <si>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</si>
  <si>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</si>
  <si>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</si>
  <si>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</si>
  <si>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</si>
  <si>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</si>
  <si>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</si>
  <si>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</si>
  <si>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</si>
  <si>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</si>
  <si>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</si>
  <si>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</si>
  <si>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</si>
  <si>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</si>
  <si>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</si>
  <si>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</si>
  <si>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</si>
  <si>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</si>
  <si>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</si>
  <si>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</si>
  <si>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</si>
  <si>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</si>
  <si>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</si>
  <si>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</si>
  <si>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</si>
  <si>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</si>
  <si>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</si>
  <si>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</si>
  <si>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</si>
  <si>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</si>
  <si>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</si>
  <si>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</si>
  <si>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</si>
  <si>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</si>
  <si>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</si>
  <si>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</si>
  <si>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</si>
  <si>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</si>
  <si>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</si>
  <si>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</si>
  <si>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</si>
  <si>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</si>
  <si>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</si>
  <si>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</si>
  <si>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</si>
  <si>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</si>
  <si>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</si>
  <si>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</si>
  <si>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</si>
  <si>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</si>
  <si>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</si>
  <si>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</si>
  <si>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</si>
  <si>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</si>
  <si>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</si>
  <si>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</si>
  <si>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</si>
  <si>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</si>
  <si>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</si>
  <si>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</si>
  <si>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</si>
  <si>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</si>
  <si>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</si>
  <si>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</si>
  <si>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</si>
  <si>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</si>
  <si>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</si>
  <si>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</si>
  <si>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</si>
  <si>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</si>
  <si>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</si>
  <si>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</si>
  <si>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</si>
  <si>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</si>
  <si>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</si>
  <si>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</si>
  <si>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</si>
  <si>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</si>
  <si>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</si>
  <si>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</si>
  <si>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</si>
  <si>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</si>
  <si>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</si>
  <si>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</si>
  <si>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</si>
  <si>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</si>
  <si>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</si>
  <si>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</si>
  <si>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</si>
  <si>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</si>
  <si>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</si>
  <si>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</si>
  <si>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</si>
  <si>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</si>
  <si>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</si>
  <si>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</si>
  <si>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</si>
  <si>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</si>
  <si>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</si>
  <si>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</si>
  <si>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</si>
  <si>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</si>
  <si>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</si>
  <si>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</si>
  <si>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</si>
  <si>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</si>
  <si>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</si>
  <si>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</si>
  <si>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</si>
  <si>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</si>
  <si>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</si>
  <si>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</si>
  <si>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</si>
  <si>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</si>
  <si>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</si>
  <si>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</si>
  <si>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</si>
  <si>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</si>
  <si>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</si>
  <si>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</si>
  <si>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</si>
  <si>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</si>
  <si>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</si>
  <si>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</si>
  <si>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</si>
  <si>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</si>
  <si>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</si>
  <si>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</si>
  <si>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</si>
  <si>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</si>
  <si>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</si>
  <si>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</si>
  <si>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</si>
  <si>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</si>
  <si>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</si>
  <si>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</si>
  <si>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</si>
  <si>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</si>
  <si>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</si>
  <si>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</si>
  <si>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</si>
  <si>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</si>
  <si>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</si>
  <si>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</si>
  <si>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</si>
  <si>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</si>
  <si>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</si>
  <si>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</si>
  <si>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</si>
  <si>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</si>
  <si>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</si>
  <si>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</si>
  <si>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</si>
  <si>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</si>
  <si>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</si>
  <si>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</si>
  <si>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</si>
  <si>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</si>
  <si>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</si>
  <si>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</si>
  <si>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</si>
  <si>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</si>
  <si>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</si>
  <si>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</si>
  <si>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</si>
  <si>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</si>
  <si>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</si>
  <si>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</si>
  <si>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</si>
  <si>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</si>
  <si>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</si>
  <si>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</si>
  <si>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</si>
  <si>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</si>
  <si>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</si>
  <si>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</si>
  <si>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</si>
  <si>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</si>
  <si>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</si>
  <si>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</si>
  <si>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</si>
  <si>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</si>
  <si>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</si>
  <si>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</si>
  <si>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</si>
  <si>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</si>
  <si>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</si>
  <si>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</si>
  <si>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</si>
  <si>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</si>
  <si>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</si>
  <si>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</si>
  <si>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</si>
  <si>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</si>
  <si>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</si>
  <si>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</si>
  <si>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</si>
  <si>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</si>
  <si>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</si>
  <si>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</si>
  <si>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</si>
  <si>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</si>
  <si>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</si>
  <si>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</si>
  <si>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</si>
  <si>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</si>
  <si>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</si>
  <si>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</si>
  <si>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</si>
  <si>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</si>
  <si>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</si>
  <si>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</si>
  <si>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</si>
  <si>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</si>
  <si>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</si>
  <si>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</si>
  <si>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</si>
  <si>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</si>
  <si>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</si>
  <si>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</si>
  <si>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</si>
  <si>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</si>
  <si>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</si>
  <si>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</si>
  <si>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</si>
  <si>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</si>
  <si>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</si>
  <si>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</si>
  <si>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</si>
  <si>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</si>
  <si>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</si>
  <si>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</si>
  <si>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</si>
  <si>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</si>
  <si>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</si>
  <si>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</si>
  <si>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</si>
  <si>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</si>
  <si>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</si>
  <si>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</si>
  <si>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</si>
  <si>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</si>
  <si>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</si>
  <si>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</si>
  <si>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</si>
  <si>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</si>
  <si>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</si>
  <si>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</si>
  <si>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</si>
  <si>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</si>
  <si>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</si>
  <si>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</si>
  <si>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</si>
  <si>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</si>
  <si>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</si>
  <si>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</si>
  <si>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</si>
  <si>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</si>
  <si>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</si>
  <si>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</si>
  <si>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</si>
  <si>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</si>
  <si>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</si>
  <si>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</si>
  <si>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</si>
  <si>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</si>
  <si>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</si>
  <si>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</si>
  <si>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</si>
  <si>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</si>
  <si>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</si>
  <si>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</si>
  <si>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</si>
  <si>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</si>
  <si>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</si>
  <si>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</si>
  <si>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</si>
  <si>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</si>
  <si>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</si>
  <si>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</si>
  <si>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</si>
  <si>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</si>
  <si>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</si>
  <si>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</si>
  <si>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</si>
  <si>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</si>
  <si>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</si>
  <si>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</si>
  <si>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</si>
  <si>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</si>
  <si>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</si>
  <si>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</si>
  <si>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</si>
  <si>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</si>
  <si>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</si>
  <si>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</si>
  <si>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</si>
  <si>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</si>
  <si>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</si>
  <si>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</si>
  <si>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</si>
  <si>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</si>
  <si>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</si>
  <si>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</si>
  <si>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</si>
  <si>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</si>
  <si>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</si>
  <si>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</si>
  <si>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</si>
  <si>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</si>
  <si>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</si>
  <si>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</si>
  <si>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</si>
  <si>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</si>
  <si>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</si>
  <si>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</si>
  <si>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</si>
  <si>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</si>
  <si>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</si>
  <si>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</si>
  <si>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</si>
  <si>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</si>
  <si>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</si>
  <si>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</si>
  <si>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</si>
  <si>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</si>
  <si>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</si>
  <si>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</si>
  <si>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</si>
  <si>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</si>
  <si>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</si>
  <si>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</si>
  <si>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</si>
  <si>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</si>
  <si>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</si>
  <si>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</si>
  <si>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</si>
  <si>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</si>
  <si>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</si>
  <si>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</si>
  <si>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</si>
  <si>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</si>
  <si>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</si>
  <si>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</si>
  <si>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</si>
  <si>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</si>
  <si>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</si>
  <si>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</si>
  <si>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</si>
  <si>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</si>
  <si>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</si>
  <si>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</si>
  <si>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</si>
  <si>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</si>
  <si>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</si>
  <si>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</si>
  <si>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</si>
  <si>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</si>
  <si>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</si>
  <si>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</si>
  <si>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</si>
  <si>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</si>
  <si>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</si>
  <si>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</si>
  <si>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</si>
  <si>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</si>
  <si>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</si>
  <si>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</si>
  <si>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</si>
  <si>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</si>
  <si>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</si>
  <si>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</si>
  <si>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</si>
  <si>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</si>
  <si>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</si>
  <si>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</si>
  <si>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</si>
  <si>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</si>
  <si>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</si>
  <si>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</si>
  <si>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</si>
  <si>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</si>
  <si>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</si>
  <si>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</si>
  <si>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</si>
  <si>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</si>
  <si>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</si>
  <si>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</si>
  <si>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</si>
  <si>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</si>
  <si>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</si>
  <si>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</si>
  <si>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</si>
  <si>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</si>
  <si>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</si>
  <si>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</si>
  <si>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</si>
  <si>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</si>
  <si>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</si>
  <si>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</si>
  <si>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</si>
  <si>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</si>
  <si>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</si>
  <si>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</si>
  <si>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</si>
  <si>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</si>
  <si>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</si>
  <si>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</si>
  <si>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</si>
  <si>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</si>
  <si>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</si>
  <si>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</si>
  <si>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</si>
  <si>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</si>
  <si>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</si>
  <si>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</si>
  <si>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</si>
  <si>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</si>
  <si>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</si>
  <si>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</si>
  <si>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</si>
  <si>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</si>
  <si>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</si>
  <si>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</si>
  <si>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</si>
  <si>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</si>
  <si>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</si>
  <si>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</si>
  <si>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</si>
  <si>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</si>
  <si>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</si>
  <si>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</si>
  <si>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</si>
  <si>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</si>
  <si>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</si>
  <si>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</si>
  <si>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</si>
  <si>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</si>
  <si>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</si>
  <si>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</si>
  <si>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</si>
  <si>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</si>
  <si>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</si>
  <si>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</si>
  <si>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</si>
  <si>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</si>
  <si>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</si>
  <si>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</si>
  <si>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</si>
  <si>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</si>
  <si>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</si>
  <si>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</si>
  <si>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</si>
  <si>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</si>
  <si>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</si>
  <si>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</si>
  <si>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</si>
  <si>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</si>
  <si>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</si>
  <si>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</si>
  <si>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</si>
  <si>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</si>
  <si>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</si>
  <si>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</si>
  <si>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</si>
  <si>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</si>
  <si>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</si>
  <si>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</si>
  <si>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</si>
  <si>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</si>
  <si>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</si>
  <si>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</si>
  <si>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</si>
  <si>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</si>
  <si>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</si>
  <si>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</si>
  <si>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</si>
  <si>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</si>
  <si>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</si>
  <si>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</si>
  <si>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</si>
  <si>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</si>
  <si>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</si>
  <si>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</si>
  <si>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</si>
  <si>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</si>
  <si>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</si>
  <si>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</si>
  <si>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</si>
  <si>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</si>
  <si>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</si>
  <si>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</si>
  <si>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</si>
  <si>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</si>
  <si>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</si>
  <si>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</si>
  <si>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</si>
  <si>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</si>
  <si>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</si>
  <si>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</si>
  <si>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</si>
  <si>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</si>
  <si>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</si>
  <si>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</si>
  <si>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</si>
  <si>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</si>
  <si>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</si>
  <si>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</si>
  <si>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</si>
  <si>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</si>
  <si>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</si>
  <si>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</si>
  <si>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</si>
  <si>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</si>
  <si>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</si>
  <si>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</si>
  <si>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</si>
  <si>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</si>
  <si>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</si>
  <si>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</si>
  <si>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</si>
  <si>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</si>
  <si>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</si>
  <si>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</si>
  <si>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</si>
  <si>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</si>
  <si>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</si>
  <si>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</si>
  <si>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</si>
  <si>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</si>
  <si>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</si>
  <si>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</si>
  <si>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</si>
  <si>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</si>
  <si>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</si>
  <si>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</si>
  <si>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</si>
  <si>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</si>
  <si>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</si>
  <si>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</si>
  <si>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</si>
  <si>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</si>
  <si>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</si>
  <si>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</si>
  <si>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</si>
  <si>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</si>
  <si>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</si>
  <si>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</si>
  <si>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</si>
  <si>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</si>
  <si>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</si>
  <si>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</si>
  <si>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</si>
  <si>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</si>
  <si>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</si>
  <si>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</si>
  <si>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</si>
  <si>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</si>
  <si>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</si>
  <si>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</si>
  <si>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</si>
  <si>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</si>
  <si>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</si>
  <si>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</si>
  <si>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</si>
  <si>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</si>
  <si>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</si>
  <si>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</si>
  <si>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</si>
  <si>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</si>
  <si>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</si>
  <si>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</si>
  <si>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</si>
  <si>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</si>
  <si>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</si>
  <si>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</si>
  <si>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</si>
  <si>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</si>
  <si>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</si>
  <si>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</si>
  <si>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</si>
  <si>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</si>
  <si>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</si>
  <si>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</si>
  <si>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</si>
  <si>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</si>
  <si>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</si>
  <si>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</si>
  <si>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</si>
  <si>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</si>
  <si>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</si>
  <si>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</si>
  <si>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</si>
  <si>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</si>
  <si>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</si>
  <si>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</si>
  <si>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</si>
  <si>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</si>
  <si>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</si>
  <si>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</si>
  <si>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</si>
  <si>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</si>
  <si>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</si>
  <si>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</si>
  <si>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</si>
  <si>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</si>
  <si>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</si>
  <si>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</si>
  <si>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</si>
  <si>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</si>
  <si>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</si>
  <si>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</si>
  <si>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</si>
  <si>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</si>
  <si>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</si>
  <si>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</si>
  <si>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</si>
  <si>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</si>
  <si>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</si>
  <si>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</si>
  <si>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</si>
  <si>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</si>
  <si>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</si>
  <si>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</si>
  <si>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</si>
  <si>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</si>
  <si>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</si>
  <si>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</si>
  <si>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</si>
  <si>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</si>
  <si>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</si>
  <si>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</si>
  <si>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</si>
  <si>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</si>
  <si>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</si>
  <si>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</si>
  <si>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</si>
  <si>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</si>
  <si>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</si>
  <si>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</si>
  <si>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</si>
  <si>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</si>
  <si>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</si>
  <si>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</si>
  <si>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</si>
  <si>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</si>
  <si>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</si>
  <si>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</si>
  <si>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</si>
  <si>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</si>
  <si>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</si>
  <si>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</si>
  <si>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</si>
  <si>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</si>
  <si>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</si>
  <si>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</si>
  <si>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</si>
  <si>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</si>
  <si>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</si>
  <si>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</si>
  <si>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</si>
  <si>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</si>
  <si>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</si>
  <si>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</si>
  <si>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</si>
  <si>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</si>
  <si>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</si>
  <si>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</si>
  <si>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</si>
  <si>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</si>
  <si>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</si>
  <si>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</si>
  <si>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</si>
  <si>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</si>
  <si>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</si>
  <si>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</si>
  <si>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</si>
  <si>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</si>
  <si>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</si>
  <si>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</si>
  <si>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</si>
  <si>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</si>
  <si>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</si>
  <si>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</si>
  <si>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</si>
  <si>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</si>
  <si>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</si>
  <si>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</si>
  <si>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</si>
  <si>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</si>
  <si>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</si>
  <si>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</si>
  <si>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</si>
  <si>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</si>
  <si>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</si>
  <si>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</si>
  <si>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</si>
  <si>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</si>
  <si>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</si>
  <si>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</si>
  <si>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</si>
  <si>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</si>
  <si>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</si>
  <si>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</si>
  <si>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</si>
  <si>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</si>
  <si>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</si>
  <si>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</si>
  <si>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</si>
  <si>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</si>
  <si>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</si>
  <si>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</si>
  <si>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</si>
  <si>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</si>
  <si>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</si>
  <si>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</si>
  <si>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</si>
  <si>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</si>
  <si>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</si>
  <si>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</si>
  <si>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</si>
  <si>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</si>
  <si>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</si>
  <si>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</si>
  <si>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</si>
  <si>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</si>
  <si>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</si>
  <si>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</si>
  <si>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</si>
  <si>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</si>
  <si>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</si>
  <si>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</si>
  <si>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</si>
  <si>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</si>
  <si>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</si>
  <si>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</si>
  <si>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</si>
  <si>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</si>
  <si>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</si>
  <si>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</si>
  <si>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</si>
  <si>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</si>
  <si>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</si>
  <si>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</si>
  <si>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</si>
  <si>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</si>
  <si>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</si>
  <si>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</si>
  <si>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</si>
  <si>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</si>
  <si>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</si>
  <si>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</si>
  <si>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</si>
  <si>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</si>
  <si>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</si>
  <si>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</si>
  <si>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</si>
  <si>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</si>
  <si>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</si>
  <si>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</si>
  <si>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</si>
  <si>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</si>
  <si>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</si>
  <si>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</si>
  <si>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</si>
  <si>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</si>
  <si>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</si>
  <si>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</si>
  <si>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</si>
  <si>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</si>
  <si>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</si>
  <si>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</si>
  <si>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</si>
  <si>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</si>
  <si>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</si>
  <si>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</si>
  <si>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</si>
  <si>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</si>
  <si>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</si>
  <si>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</si>
  <si>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</si>
  <si>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</si>
  <si>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</si>
  <si>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</si>
  <si>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</si>
  <si>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</si>
  <si>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</si>
  <si>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</si>
  <si>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</si>
  <si>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</si>
  <si>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</si>
  <si>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</si>
  <si>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</si>
  <si>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</si>
  <si>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</si>
  <si>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</si>
  <si>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</si>
  <si>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</si>
  <si>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</si>
  <si>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</si>
  <si>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</si>
  <si>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</si>
  <si>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</si>
  <si>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</si>
  <si>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</si>
  <si>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</si>
  <si>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</si>
  <si>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</si>
  <si>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</si>
  <si>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</si>
  <si>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</si>
  <si>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</si>
  <si>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</si>
  <si>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</si>
  <si>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</si>
  <si>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</si>
  <si>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</si>
  <si>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</si>
  <si>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</si>
  <si>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</si>
  <si>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</si>
  <si>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</si>
  <si>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</si>
  <si>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</si>
  <si>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</si>
  <si>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</si>
  <si>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</si>
  <si>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</si>
  <si>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</si>
  <si>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</si>
  <si>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</si>
  <si>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</si>
  <si>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</si>
  <si>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</si>
  <si>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</si>
  <si>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</si>
  <si>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</si>
  <si>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</si>
  <si>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</si>
  <si>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</si>
  <si>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</si>
  <si>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</si>
  <si>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</si>
  <si>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</si>
  <si>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</si>
  <si>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</si>
  <si>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</si>
  <si>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</si>
  <si>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</si>
  <si>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</si>
  <si>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</si>
  <si>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</si>
  <si>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</si>
  <si>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</si>
  <si>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</si>
  <si>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</si>
  <si>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</si>
  <si>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</si>
  <si>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</si>
  <si>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</si>
  <si>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</si>
  <si>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</si>
  <si>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</si>
  <si>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</si>
  <si>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</si>
  <si>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</si>
  <si>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</si>
  <si>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</si>
  <si>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</si>
  <si>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</si>
  <si>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</si>
  <si>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</si>
  <si>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</si>
  <si>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</si>
  <si>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</si>
  <si>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</si>
  <si>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</si>
  <si>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</si>
  <si>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</si>
  <si>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</si>
  <si>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</si>
  <si>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</si>
  <si>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</si>
  <si>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</si>
  <si>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</si>
  <si>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</si>
  <si>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</si>
  <si>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</si>
  <si>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</si>
  <si>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</si>
  <si>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</si>
  <si>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</si>
  <si>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</si>
  <si>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</si>
  <si>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</si>
  <si>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</si>
  <si>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</si>
  <si>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</si>
  <si>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</si>
  <si>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</si>
  <si>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</si>
  <si>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</si>
  <si>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</si>
  <si>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</si>
  <si>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</si>
  <si>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</si>
  <si>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</si>
  <si>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</si>
  <si>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</si>
  <si>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</si>
  <si>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</si>
  <si>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</si>
  <si>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</si>
  <si>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</si>
  <si>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</si>
  <si>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</si>
  <si>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</si>
  <si>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</si>
  <si>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</si>
  <si>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</si>
  <si>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</si>
  <si>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</si>
  <si>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</si>
  <si>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</si>
  <si>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</si>
  <si>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</si>
  <si>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</si>
  <si>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</si>
  <si>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</si>
  <si>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</si>
  <si>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</si>
  <si>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</si>
  <si>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</si>
  <si>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</si>
  <si>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</si>
  <si>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</si>
  <si>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</si>
  <si>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</si>
  <si>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</si>
  <si>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</si>
  <si>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</si>
  <si>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</si>
  <si>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</si>
  <si>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</si>
  <si>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</si>
  <si>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</si>
  <si>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</si>
  <si>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</si>
  <si>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</si>
  <si>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</si>
  <si>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</si>
  <si>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</si>
  <si>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</si>
  <si>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</si>
  <si>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</si>
  <si>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</si>
  <si>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</si>
  <si>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</si>
  <si>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</si>
  <si>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</si>
  <si>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</si>
  <si>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</si>
  <si>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</si>
  <si>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</si>
  <si>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</si>
  <si>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</si>
  <si>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</si>
  <si>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</si>
  <si>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</si>
  <si>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</si>
  <si>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</si>
  <si>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</si>
  <si>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</si>
  <si>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</si>
  <si>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</si>
  <si>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</si>
  <si>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</si>
  <si>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</si>
  <si>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</si>
  <si>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</si>
  <si>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</si>
  <si>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</si>
  <si>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</si>
  <si>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</si>
  <si>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</si>
  <si>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</si>
  <si>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</si>
  <si>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</si>
  <si>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</si>
  <si>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</si>
  <si>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</si>
  <si>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</si>
  <si>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</si>
  <si>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</si>
  <si>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</si>
  <si>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</si>
  <si>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</si>
  <si>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</si>
  <si>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</si>
  <si>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</si>
  <si>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</si>
  <si>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</si>
  <si>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</si>
  <si>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</si>
  <si>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</si>
  <si>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</si>
  <si>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</si>
  <si>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</si>
  <si>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</si>
  <si>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</si>
  <si>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</si>
  <si>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</si>
  <si>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</si>
  <si>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</si>
  <si>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</si>
  <si>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</si>
  <si>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</si>
  <si>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</si>
  <si>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</si>
  <si>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</si>
  <si>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</si>
  <si>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</si>
  <si>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</si>
  <si>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</si>
  <si>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</si>
  <si>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</si>
  <si>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</si>
  <si>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</si>
  <si>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</si>
  <si>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</si>
  <si>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</si>
  <si>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</si>
  <si>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</si>
  <si>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</si>
  <si>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</si>
  <si>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</si>
  <si>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</si>
  <si>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</si>
  <si>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</si>
  <si>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</si>
  <si>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</si>
  <si>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</si>
  <si>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</si>
  <si>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</si>
  <si>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</si>
  <si>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</si>
  <si>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</si>
  <si>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</si>
  <si>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</si>
  <si>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</si>
  <si>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</si>
  <si>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</si>
  <si>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</si>
  <si>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</si>
  <si>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</si>
  <si>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</si>
  <si>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</si>
  <si>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</si>
  <si>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</si>
  <si>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</si>
  <si>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</si>
  <si>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</si>
  <si>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</si>
  <si>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</si>
  <si>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</si>
  <si>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</si>
  <si>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</si>
  <si>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</si>
  <si>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</si>
  <si>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</si>
  <si>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</si>
  <si>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</si>
  <si>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</si>
  <si>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</si>
  <si>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</si>
  <si>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</si>
  <si>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</si>
  <si>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</si>
  <si>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</si>
  <si>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</si>
  <si>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</si>
  <si>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</si>
  <si>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</si>
  <si>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</si>
  <si>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</si>
  <si>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</si>
  <si>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</si>
  <si>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</si>
  <si>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</si>
  <si>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</si>
  <si>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</si>
  <si>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</si>
  <si>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</si>
  <si>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</si>
  <si>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</si>
  <si>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</si>
  <si>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</si>
  <si>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</si>
  <si>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</si>
  <si>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</si>
  <si>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</si>
  <si>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</si>
  <si>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</si>
  <si>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</si>
  <si>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</si>
  <si>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</si>
  <si>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</si>
  <si>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</si>
  <si>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</si>
  <si>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</si>
  <si>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</si>
  <si>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</si>
  <si>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</si>
  <si>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</si>
  <si>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</si>
  <si>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</si>
  <si>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</si>
  <si>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</si>
  <si>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</si>
  <si>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</si>
  <si>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</si>
  <si>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</si>
  <si>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</si>
  <si>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</si>
  <si>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</si>
  <si>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</si>
  <si>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</si>
  <si>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</si>
  <si>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</si>
  <si>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</si>
  <si>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</si>
  <si>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</si>
  <si>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</si>
  <si>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</si>
  <si>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</si>
  <si>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</si>
  <si>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</si>
  <si>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</si>
  <si>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</si>
  <si>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</si>
  <si>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</si>
  <si>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</si>
  <si>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</si>
  <si>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</si>
  <si>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</si>
  <si>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</si>
  <si>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</si>
  <si>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</si>
  <si>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</si>
  <si>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</si>
  <si>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</si>
  <si>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</si>
  <si>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</si>
  <si>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</si>
  <si>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</si>
  <si>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</si>
  <si>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</si>
  <si>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</si>
  <si>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</si>
  <si>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</si>
  <si>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</si>
  <si>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</si>
  <si>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</si>
  <si>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</si>
  <si>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</si>
  <si>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</si>
  <si>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</si>
  <si>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</si>
  <si>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</si>
  <si>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</si>
  <si>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</si>
  <si>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</si>
  <si>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</si>
  <si>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</si>
  <si>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</si>
  <si>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</si>
  <si>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</si>
  <si>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</si>
  <si>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</si>
  <si>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</si>
  <si>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</si>
  <si>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</si>
  <si>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</si>
  <si>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</si>
  <si>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</si>
  <si>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</si>
  <si>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</si>
  <si>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</si>
  <si>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</si>
  <si>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</si>
  <si>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</si>
  <si>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</si>
  <si>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</si>
  <si>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</si>
  <si>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</si>
  <si>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</si>
  <si>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</si>
  <si>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</si>
  <si>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</si>
  <si>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</si>
  <si>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</si>
  <si>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</si>
  <si>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</si>
  <si>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</si>
  <si>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</si>
  <si>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</si>
  <si>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</si>
  <si>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</si>
  <si>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</si>
  <si>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</si>
  <si>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</si>
  <si>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</si>
  <si>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</si>
  <si>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</si>
  <si>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</si>
  <si>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</si>
  <si>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</si>
  <si>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</si>
  <si>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</si>
  <si>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</si>
  <si>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</si>
  <si>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</si>
  <si>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</si>
  <si>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</si>
  <si>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</si>
  <si>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</si>
  <si>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</si>
  <si>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</si>
  <si>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</si>
  <si>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</si>
  <si>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</si>
  <si>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</si>
  <si>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</si>
  <si>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</si>
  <si>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</si>
  <si>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</si>
  <si>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</si>
  <si>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</si>
  <si>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</si>
  <si>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</si>
  <si>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</si>
  <si>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</si>
  <si>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</si>
  <si>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</si>
  <si>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</si>
  <si>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</si>
  <si>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</si>
  <si>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</si>
  <si>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</si>
  <si>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</si>
  <si>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</si>
  <si>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</si>
  <si>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</si>
  <si>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</si>
  <si>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</si>
  <si>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</si>
  <si>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</si>
  <si>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</si>
  <si>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</si>
  <si>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</si>
  <si>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</si>
  <si>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</si>
  <si>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</si>
  <si>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</si>
  <si>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</si>
  <si>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</si>
  <si>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</si>
  <si>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</si>
  <si>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</si>
  <si>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</si>
  <si>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</si>
  <si>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</si>
  <si>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</si>
  <si>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</si>
  <si>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</si>
  <si>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</si>
  <si>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</si>
  <si>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</si>
  <si>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</si>
  <si>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</si>
  <si>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</si>
  <si>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</si>
  <si>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</si>
  <si>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</si>
  <si>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</si>
  <si>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</si>
  <si>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</si>
  <si>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</si>
  <si>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</si>
  <si>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</si>
  <si>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</si>
  <si>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</si>
  <si>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</si>
  <si>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</si>
  <si>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</si>
  <si>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</si>
  <si>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</si>
  <si>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</si>
  <si>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</si>
  <si>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</si>
  <si>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</si>
  <si>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</si>
  <si>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</si>
  <si>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</si>
  <si>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</si>
  <si>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</si>
  <si>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</si>
  <si>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</si>
  <si>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</si>
  <si>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</si>
  <si>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</si>
  <si>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</si>
  <si>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</si>
  <si>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</si>
  <si>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</si>
  <si>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</si>
  <si>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</si>
  <si>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</si>
  <si>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</si>
  <si>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</si>
  <si>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</si>
  <si>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</si>
  <si>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</si>
  <si>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</si>
  <si>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</si>
  <si>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</si>
  <si>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</si>
  <si>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</si>
  <si>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</si>
  <si>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</si>
  <si>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</si>
  <si>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</si>
  <si>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</si>
  <si>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</si>
  <si>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</si>
  <si>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</si>
  <si>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</si>
  <si>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</si>
  <si>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</si>
  <si>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</si>
  <si>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</si>
  <si>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</si>
  <si>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</si>
  <si>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</si>
  <si>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</si>
  <si>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</si>
  <si>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</si>
  <si>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</si>
  <si>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</si>
  <si>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</si>
  <si>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</si>
  <si>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</si>
  <si>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</si>
  <si>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</si>
  <si>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</si>
  <si>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</si>
  <si>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</si>
  <si>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</si>
  <si>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</si>
  <si>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</si>
  <si>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</si>
  <si>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</si>
  <si>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</si>
  <si>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</si>
  <si>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</si>
  <si>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</si>
  <si>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</si>
  <si>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</si>
  <si>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</si>
  <si>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</si>
  <si>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</si>
  <si>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</si>
  <si>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</si>
  <si>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</si>
  <si>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</si>
  <si>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</si>
  <si>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</si>
  <si>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</si>
  <si>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</si>
  <si>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</si>
  <si>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</si>
  <si>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</si>
  <si>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</si>
  <si>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</si>
  <si>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</si>
  <si>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</si>
  <si>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</si>
  <si>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</si>
  <si>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</si>
  <si>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</si>
  <si>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</si>
  <si>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</si>
  <si>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</si>
  <si>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</si>
  <si>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</si>
  <si>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</si>
  <si>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</si>
  <si>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</si>
  <si>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</si>
  <si>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</si>
  <si>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</si>
  <si>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</si>
  <si>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</si>
  <si>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</si>
  <si>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</si>
  <si>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</si>
  <si>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</si>
  <si>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</si>
  <si>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</si>
  <si>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</si>
  <si>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</si>
  <si>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</si>
  <si>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</si>
  <si>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</si>
  <si>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</si>
  <si>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</si>
  <si>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</si>
  <si>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</si>
  <si>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</si>
  <si>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</si>
  <si>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</si>
  <si>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</si>
  <si>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</si>
  <si>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</si>
  <si>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</si>
  <si>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</si>
  <si>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</si>
  <si>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</si>
  <si>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</si>
  <si>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</si>
  <si>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</si>
  <si>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</si>
  <si>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</si>
  <si>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</si>
  <si>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</si>
  <si>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</si>
  <si>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</si>
  <si>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</si>
  <si>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</si>
  <si>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</si>
  <si>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</si>
  <si>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</si>
  <si>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</si>
  <si>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</si>
  <si>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</si>
  <si>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</si>
  <si>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</si>
  <si>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</si>
  <si>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</si>
  <si>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</si>
  <si>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</si>
  <si>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</si>
  <si>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</si>
  <si>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</si>
  <si>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</si>
  <si>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</si>
  <si>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</si>
  <si>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</si>
  <si>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</si>
  <si>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</si>
  <si>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</si>
  <si>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</si>
  <si>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</si>
  <si>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</si>
  <si>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</si>
  <si>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</si>
  <si>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</si>
  <si>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</si>
  <si>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</si>
  <si>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</si>
  <si>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</si>
  <si>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</si>
  <si>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</si>
  <si>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</si>
  <si>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</si>
  <si>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</si>
  <si>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</si>
  <si>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</si>
  <si>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</si>
  <si>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</si>
  <si>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</si>
  <si>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</si>
  <si>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</si>
  <si>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</si>
  <si>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</si>
  <si>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</si>
  <si>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</si>
  <si>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</si>
  <si>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</si>
  <si>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</si>
  <si>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</si>
  <si>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</si>
  <si>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</si>
  <si>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</si>
  <si>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</si>
  <si>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</si>
  <si>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</si>
  <si>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</si>
  <si>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</si>
  <si>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</si>
  <si>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</si>
  <si>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</si>
  <si>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</si>
  <si>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</si>
  <si>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</si>
  <si>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</si>
  <si>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</si>
  <si>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</si>
  <si>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</si>
  <si>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</si>
  <si>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</si>
  <si>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</si>
  <si>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</si>
  <si>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</si>
  <si>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</si>
  <si>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</si>
  <si>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</si>
  <si>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</si>
  <si>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</si>
  <si>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</si>
  <si>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</si>
  <si>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</si>
  <si>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</si>
  <si>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</si>
  <si>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</si>
  <si>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</si>
  <si>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</si>
  <si>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</si>
  <si>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</si>
  <si>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</si>
  <si>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</si>
  <si>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</si>
  <si>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</si>
  <si>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</si>
  <si>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</si>
  <si>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</si>
  <si>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</si>
  <si>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</si>
  <si>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</si>
  <si>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</si>
  <si>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</si>
  <si>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</si>
  <si>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</si>
  <si>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</si>
  <si>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</si>
  <si>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</si>
  <si>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</si>
  <si>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</si>
  <si>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</si>
  <si>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</si>
  <si>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</si>
  <si>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</si>
  <si>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</si>
  <si>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</si>
  <si>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</si>
  <si>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</si>
  <si>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</si>
  <si>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</si>
  <si>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</si>
  <si>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</si>
  <si>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</si>
  <si>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</si>
  <si>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</si>
  <si>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</si>
  <si>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</si>
  <si>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</si>
  <si>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</si>
  <si>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</si>
  <si>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</si>
  <si>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</si>
  <si>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</si>
  <si>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</si>
  <si>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</si>
  <si>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</si>
  <si>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</si>
  <si>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</si>
  <si>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</si>
  <si>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</si>
  <si>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</si>
  <si>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</si>
  <si>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</si>
  <si>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</si>
  <si>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</si>
  <si>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</si>
  <si>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</si>
  <si>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Rock Island</t>
  </si>
  <si>
    <t>2101 Sixth Avenue</t>
  </si>
  <si>
    <t>Bob.Beckwith@rimsd41.org</t>
  </si>
  <si>
    <t>Bohnsack &amp; Frommelt LLP</t>
  </si>
  <si>
    <t>Sarah Bohnsack</t>
  </si>
  <si>
    <t>1500 River Drive, Suite 200</t>
  </si>
  <si>
    <t>Moline</t>
  </si>
  <si>
    <t>IL</t>
  </si>
  <si>
    <t>Dr. Reginald Lawrence</t>
  </si>
  <si>
    <t>309-793-5900</t>
  </si>
  <si>
    <t>309-793-5905</t>
  </si>
  <si>
    <t xml:space="preserve">General Obligation School Bonds </t>
  </si>
  <si>
    <t>(Alternate Revenue Source), Series 2020</t>
  </si>
  <si>
    <t>Gen. Obligation School Bonds, Alt Revenue Source</t>
  </si>
  <si>
    <t>Robert Beckwith, Chief Financial Officer</t>
  </si>
  <si>
    <t>(309) 793-5900 x203</t>
  </si>
  <si>
    <t>U.S. Depratment of Agriculture/</t>
  </si>
  <si>
    <t>Pass-Through Illinois State Board of Education</t>
  </si>
  <si>
    <t>Commodities Program- Noncash</t>
  </si>
  <si>
    <t>Commodities Program- Department of Defense- Noncash</t>
  </si>
  <si>
    <t>Total Child Nutrition Cluster Program</t>
  </si>
  <si>
    <t>Fresh Fruit and Vegetables</t>
  </si>
  <si>
    <t>Pass-Through Illinois State Board of Education
Child Nutrition Cluster:</t>
  </si>
  <si>
    <t>Total Fresh Fruit and Vegetables</t>
  </si>
  <si>
    <t>Total U.S. Department of Agriculture/Pass-Through Illinois State Board of Education</t>
  </si>
  <si>
    <t>20-4220-00</t>
  </si>
  <si>
    <t>19-4220-00</t>
  </si>
  <si>
    <t>20-4210-00</t>
  </si>
  <si>
    <t>19-4210-00</t>
  </si>
  <si>
    <t>20-4250-00</t>
  </si>
  <si>
    <t>20-4215-00</t>
  </si>
  <si>
    <t>19-4215-00</t>
  </si>
  <si>
    <t>20-4225-00</t>
  </si>
  <si>
    <t>19-4225-00</t>
  </si>
  <si>
    <t>20-4240-00</t>
  </si>
  <si>
    <t>19-4240-19</t>
  </si>
  <si>
    <t>N/A</t>
  </si>
  <si>
    <t>U.S. Department of Education/Pass-Through Illinois State Board of Education</t>
  </si>
  <si>
    <t>Title 1- Low Income (M)</t>
  </si>
  <si>
    <t>Title 1- School Improvement &amp; Accountability (M)</t>
  </si>
  <si>
    <t>Total Title 1</t>
  </si>
  <si>
    <t>Title III- Immigrant Education Program (IEP)</t>
  </si>
  <si>
    <t>Title III- Lang Instr for LIPLEP</t>
  </si>
  <si>
    <t>Total Title III</t>
  </si>
  <si>
    <t>Title II- Teacher Quality</t>
  </si>
  <si>
    <t>Total Title II</t>
  </si>
  <si>
    <t>Special Education Cluster,</t>
  </si>
  <si>
    <t>Special Education I.D.E.A. Part B Room &amp; Board (1) (M)</t>
  </si>
  <si>
    <t>84.010A</t>
  </si>
  <si>
    <t>84.365A</t>
  </si>
  <si>
    <t>84.367A</t>
  </si>
  <si>
    <t>20-4300-00</t>
  </si>
  <si>
    <t>19-4300-00</t>
  </si>
  <si>
    <t>19-4331-00</t>
  </si>
  <si>
    <t>19-4905-00</t>
  </si>
  <si>
    <t>20-4909-00</t>
  </si>
  <si>
    <t>19-4909-00</t>
  </si>
  <si>
    <t>20-4932-00</t>
  </si>
  <si>
    <t>19-4932-00</t>
  </si>
  <si>
    <t>19-4625-XC</t>
  </si>
  <si>
    <t>School Improvement Grant</t>
  </si>
  <si>
    <t>Education Stabliization Fund- CARES Act</t>
  </si>
  <si>
    <t>Title IV- 21st Century Community Learning Center (2)</t>
  </si>
  <si>
    <t>Title IV- A Student Support &amp; Academic Enrichment</t>
  </si>
  <si>
    <t>U.S. Department of Education/Pass-Through Blackhawk Area Special Education District</t>
  </si>
  <si>
    <t>Special Education I.D.E.A. Part B Flowthrough (1) (M)</t>
  </si>
  <si>
    <t>U.S. Department of Education/Pass-Through Rock Island County Regional Office of Education</t>
  </si>
  <si>
    <t>Total U.S. Department of Education</t>
  </si>
  <si>
    <t>84.337A</t>
  </si>
  <si>
    <t>84.425D</t>
  </si>
  <si>
    <t>84.287C</t>
  </si>
  <si>
    <t>19-4339-15</t>
  </si>
  <si>
    <t>20-4998-00</t>
  </si>
  <si>
    <t>20-4221-15</t>
  </si>
  <si>
    <t>19-4221-15</t>
  </si>
  <si>
    <t>20-4400-00</t>
  </si>
  <si>
    <t>20-4620-00</t>
  </si>
  <si>
    <t>20-4421-00</t>
  </si>
  <si>
    <t>19-4421-00</t>
  </si>
  <si>
    <t>U.S. Department of Health and Human Services</t>
  </si>
  <si>
    <t>Head Start (Direct)</t>
  </si>
  <si>
    <t>Pass-Through Illinois Department of Healthcare and Family Services</t>
  </si>
  <si>
    <t>Medicaid Cluster, Medicaid Administrative Outreach</t>
  </si>
  <si>
    <t>Total U.S. Department of Health and Human Services</t>
  </si>
  <si>
    <t>Total Federal Financial Assistance</t>
  </si>
  <si>
    <t>Sum (1)= Total Expenditures Special Education Cluster, CFDA 84.027A and 84.173 $1,739,253</t>
  </si>
  <si>
    <t>Sum (2)= Total Expenditures CFDA 84.287C $282,413</t>
  </si>
  <si>
    <t>05CH10063</t>
  </si>
  <si>
    <t>20-4991-00</t>
  </si>
  <si>
    <t>Unmodified</t>
  </si>
  <si>
    <t>None</t>
  </si>
  <si>
    <t>General Obligation Refunding School Bonds, Series 2018</t>
  </si>
  <si>
    <t>Fund 10, Revenue 1999, $544,239 Head Start, Non-Federal, $333,525 other misc. local grants</t>
  </si>
  <si>
    <t>Fund 20, Revenue 1999, $25,633 misc. revenue.</t>
  </si>
  <si>
    <t>Fund 60, Revenue 3999, $50,000 school maintenance grant</t>
  </si>
  <si>
    <t>Fund 10, Revenue 4399, $11,097 Title I School Improvement, $80,878 school improvement grant</t>
  </si>
  <si>
    <t>Fund 10, Revenue 4998, $30,418 CARES Act revenue</t>
  </si>
  <si>
    <t>Fund 10, Expenditures 2190, $83,765 playground salary</t>
  </si>
  <si>
    <t>Fund 10, Expenditures 2900, $129,317 LOFL salary</t>
  </si>
  <si>
    <t>Fund 10, Expenditures 4190, $8,565 academic entrance fees</t>
  </si>
  <si>
    <t xml:space="preserve">Fund 20, Expenditures 2900, $111,967 miscellaneous </t>
  </si>
  <si>
    <t>Fund 50, Expenditures 2190, $9,508 playground salary</t>
  </si>
  <si>
    <t>Fund 60, Expenditures 2900, $197,243 bond issuance costs</t>
  </si>
  <si>
    <t>20-4331-00</t>
  </si>
  <si>
    <t>19-4400-00</t>
  </si>
  <si>
    <t>Total I.D.E.A</t>
  </si>
  <si>
    <t>Total Head Start</t>
  </si>
  <si>
    <t>Total Title IV- 21st Century Community Learning Center (2)</t>
  </si>
  <si>
    <t>Total Title IV- A Student Support &amp; Academic Enrichment</t>
  </si>
  <si>
    <t>Ed-Instruction-Purchased Service</t>
  </si>
  <si>
    <t>10-1000-300</t>
  </si>
  <si>
    <t>Combat Dartz</t>
  </si>
  <si>
    <t>Family Museum</t>
  </si>
  <si>
    <t>Girl Scouts</t>
  </si>
  <si>
    <t>Paradigm</t>
  </si>
  <si>
    <t>Putnam Museum and Science Center</t>
  </si>
  <si>
    <t>Skate City QCA</t>
  </si>
  <si>
    <t>Hy-vee, Inc.</t>
  </si>
  <si>
    <t>Quad City Gymnastics Academy</t>
  </si>
  <si>
    <t>Ed-Instructional Staff-Purchased Service</t>
  </si>
  <si>
    <t>10-2200-300</t>
  </si>
  <si>
    <t>Amplify Education</t>
  </si>
  <si>
    <t>Ed-Staff Services - Purchased Service</t>
  </si>
  <si>
    <t>10-2640-300</t>
  </si>
  <si>
    <t>Forecast 5 Analytics, Inc</t>
  </si>
  <si>
    <t>Ed-Fiscal Services-Purchased Service</t>
  </si>
  <si>
    <t>10-2520-300</t>
  </si>
  <si>
    <t>Diane Anita Allen</t>
  </si>
  <si>
    <t>Shred-It USA</t>
  </si>
  <si>
    <t>Ed-Data Processing Services-Purchased Service</t>
  </si>
  <si>
    <t>10-2660-300</t>
  </si>
  <si>
    <t>Edlio LLC</t>
  </si>
  <si>
    <t>Illinois Hearland Library Systems</t>
  </si>
  <si>
    <t>Prairie CAT</t>
  </si>
  <si>
    <t>Follett School Solutions</t>
  </si>
  <si>
    <t>Ed-General Admin-Purchased Service</t>
  </si>
  <si>
    <t>10-2300-300</t>
  </si>
  <si>
    <t>Bohnsack &amp; Frommelt, LLP</t>
  </si>
  <si>
    <t>Illinois Association of School Boards</t>
  </si>
  <si>
    <t>Hazzard Young Attea and Associates</t>
  </si>
  <si>
    <t>Management Resource Group</t>
  </si>
  <si>
    <t>Whatever it Takes</t>
  </si>
  <si>
    <t>iTek Interpreting Solutions, LLC</t>
  </si>
  <si>
    <t>Education Solutions Development, LLC</t>
  </si>
  <si>
    <t>UpSlope Solutions</t>
  </si>
  <si>
    <t>Frontline Technologies</t>
  </si>
  <si>
    <t>Vista Learning NFP</t>
  </si>
  <si>
    <t>Humanex Ventures, LLC</t>
  </si>
  <si>
    <t>Payscale</t>
  </si>
  <si>
    <t>Interviewstream, Inc</t>
  </si>
  <si>
    <t>Global Compliance Network</t>
  </si>
  <si>
    <t>McPherson &amp; Jaconson, LLC</t>
  </si>
  <si>
    <t>Townsquare Media</t>
  </si>
  <si>
    <t>Unity Point Health</t>
  </si>
  <si>
    <t>Ed-Community Services - Purchased Service</t>
  </si>
  <si>
    <t>10-3000-300</t>
  </si>
  <si>
    <t>City of Rock Island</t>
  </si>
  <si>
    <t>Center for Education &amp; Employment Law</t>
  </si>
  <si>
    <t>Embrace</t>
  </si>
  <si>
    <t>Tobii Dynavox</t>
  </si>
  <si>
    <t>Northwest Evaluation Association</t>
  </si>
  <si>
    <t>Edmentum Holdings, Inc.</t>
  </si>
  <si>
    <t>JumpCloud, Inc</t>
  </si>
  <si>
    <t>E2E Exchange LLC</t>
  </si>
  <si>
    <t>Backupify, Inc</t>
  </si>
  <si>
    <t>CDW Government, Inc</t>
  </si>
  <si>
    <t>Mainstream Computer Service</t>
  </si>
  <si>
    <t>Remind</t>
  </si>
  <si>
    <t>Armstrong Systems &amp; Consult Co</t>
  </si>
  <si>
    <t>Decision Ed Group</t>
  </si>
  <si>
    <t>Perfect Forms</t>
  </si>
  <si>
    <t>FIS Avantgard LLC</t>
  </si>
  <si>
    <t>Edulink Systems, Inc</t>
  </si>
  <si>
    <t>Cybereef Solutions, Inc</t>
  </si>
  <si>
    <t>Springforward Learning Center</t>
  </si>
  <si>
    <t>Great Minds PBC</t>
  </si>
  <si>
    <t>EL Education, Inc</t>
  </si>
  <si>
    <t>Elevation Inc</t>
  </si>
  <si>
    <t>Rock Island Parks &amp; Rec</t>
  </si>
  <si>
    <t>Martin Luther King Center</t>
  </si>
  <si>
    <t>Kiwanis Foundation</t>
  </si>
  <si>
    <t>LearnZillion, Inc</t>
  </si>
  <si>
    <t>Lisa Liberty</t>
  </si>
  <si>
    <t>Wisconsin Center for Educ Products</t>
  </si>
  <si>
    <t>Teacher Innovations, Inc</t>
  </si>
  <si>
    <t>Quad City Arts Inc</t>
  </si>
  <si>
    <t>Scholastic, Inc</t>
  </si>
  <si>
    <t>Lakeshore Learning Materials</t>
  </si>
  <si>
    <t>Child Plus Software</t>
  </si>
  <si>
    <t>Teaching Strategies, Inc</t>
  </si>
  <si>
    <t>Filemaker</t>
  </si>
  <si>
    <t>Child Abuse Prevention</t>
  </si>
  <si>
    <t>Loving Guidance</t>
  </si>
  <si>
    <t>Monarch Trauma Counseling</t>
  </si>
  <si>
    <t>Illinois Head Start Assoc</t>
  </si>
  <si>
    <t>National Head Start Assoc</t>
  </si>
  <si>
    <t>Verizon Wireless</t>
  </si>
  <si>
    <t>Jefferson Lavelle Grant</t>
  </si>
  <si>
    <t>Leslie Tyler Edrington</t>
  </si>
  <si>
    <t>John Leon Schram</t>
  </si>
  <si>
    <t>CESA 5</t>
  </si>
  <si>
    <t>Learning A-Z</t>
  </si>
  <si>
    <t>MobyMax</t>
  </si>
  <si>
    <t>Pearson Education</t>
  </si>
  <si>
    <t>KUTA Software LLC</t>
  </si>
  <si>
    <t>News-2-You, Inc</t>
  </si>
  <si>
    <t>Project Lead the Way, Inc</t>
  </si>
  <si>
    <t>Iowa Jobs for America's Graduates</t>
  </si>
  <si>
    <t>Mike Botts</t>
  </si>
  <si>
    <t>Arbiter Pay</t>
  </si>
  <si>
    <t>Agile Sports Technologies</t>
  </si>
  <si>
    <t>Lincoln Library Press, Inc</t>
  </si>
  <si>
    <t>EBSCO Subscription Services</t>
  </si>
  <si>
    <t>Ed-Oper &amp; Maint Plant Services-Purchased Service</t>
  </si>
  <si>
    <t>10-2540-300</t>
  </si>
  <si>
    <t>AVID Center</t>
  </si>
  <si>
    <t>MakeMusic, Inc</t>
  </si>
  <si>
    <t>Howard Health Quarters</t>
  </si>
  <si>
    <t>Ed-Food Services-Purchased Service</t>
  </si>
  <si>
    <t>10-2560-300</t>
  </si>
  <si>
    <t>Kevin William James</t>
  </si>
  <si>
    <t>Youth Hope</t>
  </si>
  <si>
    <t>Arrowhead Ranch</t>
  </si>
  <si>
    <t>Renaissance Learning, Inc.</t>
  </si>
  <si>
    <t>TAG Communications, Inc</t>
  </si>
  <si>
    <t>Yohan Umana Urena</t>
  </si>
  <si>
    <t>The Printers Mark</t>
  </si>
  <si>
    <t>DreamBox Learning, Inc</t>
  </si>
  <si>
    <t>Lexia Learning Systems LLC</t>
  </si>
  <si>
    <t>Ed-Plan, Rsrch, Dvlp, Eval Srv-Purchased Service</t>
  </si>
  <si>
    <t>10-2620-300</t>
  </si>
  <si>
    <t>Jodee A. Craven</t>
  </si>
  <si>
    <t>Daniel P. Corts</t>
  </si>
  <si>
    <t>Common Goal Systems Inc</t>
  </si>
  <si>
    <t>Illinois Virtual School</t>
  </si>
  <si>
    <t>Esparza Painting &amp; Decorating</t>
  </si>
  <si>
    <t>Ed-Information Services-Purachsed Services</t>
  </si>
  <si>
    <t>10-2630-300</t>
  </si>
  <si>
    <t>Dphilms</t>
  </si>
  <si>
    <t>ESGI, LLC</t>
  </si>
  <si>
    <t>Elevate Trampoline Park Quad Cities</t>
  </si>
  <si>
    <t>Starfall Education</t>
  </si>
  <si>
    <t>Music In Motion</t>
  </si>
  <si>
    <t>Franklin Covey Co.</t>
  </si>
  <si>
    <t>WQPT Quad Cities Public TV</t>
  </si>
  <si>
    <t>Flocabulary, LLC</t>
  </si>
  <si>
    <t>Mathcon</t>
  </si>
  <si>
    <t>River Music Experience</t>
  </si>
  <si>
    <t>American Institute for Research</t>
  </si>
  <si>
    <t>Happy Numbers.com</t>
  </si>
  <si>
    <t>BrainPop LLC</t>
  </si>
  <si>
    <t>Country Corner</t>
  </si>
  <si>
    <t>Freckle Education, Inc</t>
  </si>
  <si>
    <t>Newsela, Inc.</t>
  </si>
  <si>
    <t>O&amp;M-Oper. &amp; Maint. Plant Services-Purchased Service</t>
  </si>
  <si>
    <t>20-2540-300</t>
  </si>
  <si>
    <t>Thymet Pest Control</t>
  </si>
  <si>
    <t>Langman Construction, Inc.</t>
  </si>
  <si>
    <t>AT&amp;T</t>
  </si>
  <si>
    <t>SBC Long Distance LLC</t>
  </si>
  <si>
    <t>Hughes Network Technologies</t>
  </si>
  <si>
    <t>Republic Services of Bettendorf</t>
  </si>
  <si>
    <t>Johnson Controls Inc</t>
  </si>
  <si>
    <t>Per Mar Alarm Systems</t>
  </si>
  <si>
    <t>Kone Elevators Inc</t>
  </si>
  <si>
    <t>The Waldinger Corporation</t>
  </si>
  <si>
    <t>Tri-State Fire Control</t>
  </si>
  <si>
    <t>Heartland Fire and Security</t>
  </si>
  <si>
    <t>Advantage Tree Service</t>
  </si>
  <si>
    <t>J.L. Brady Company, LLC</t>
  </si>
  <si>
    <t>Nelson's Tree Service</t>
  </si>
  <si>
    <t>Stuard &amp; Associates, Inc.</t>
  </si>
  <si>
    <t>Getz Fire Equipment</t>
  </si>
  <si>
    <t>Trans-Instruction-Purchased Service</t>
  </si>
  <si>
    <t>40-1000-300</t>
  </si>
  <si>
    <t>Tri-State Travel</t>
  </si>
  <si>
    <t>Act II Transportation</t>
  </si>
  <si>
    <t>Trans-Pupil Transportation-Purchased Service</t>
  </si>
  <si>
    <t>40-2550-300</t>
  </si>
  <si>
    <t>Johannes Bus Service</t>
  </si>
  <si>
    <t>Illinois School for the Deaf</t>
  </si>
  <si>
    <t>Greyhound Charter</t>
  </si>
  <si>
    <t>MVP Auto Center</t>
  </si>
  <si>
    <t>Tort-General Admin-Purchased Service</t>
  </si>
  <si>
    <t>80-2300-300</t>
  </si>
  <si>
    <t>Arthur J Gallagjer Risk Management</t>
  </si>
  <si>
    <t>Bozeman, Neighbour, Patton, &amp; Noe</t>
  </si>
  <si>
    <t>Wright Specialty Insurance Agency</t>
  </si>
  <si>
    <t>Franczek Radelet</t>
  </si>
  <si>
    <t>Illinois Department of Employment Security</t>
  </si>
  <si>
    <t>Pappas O' Connor</t>
  </si>
  <si>
    <t>Califf &amp; Harper, P.C</t>
  </si>
  <si>
    <t>Kenneth H. Jaeke</t>
  </si>
  <si>
    <t>First Agency, Inc</t>
  </si>
  <si>
    <t>Liberty Mutual Surety</t>
  </si>
  <si>
    <t>Tort-Fiscal Services-Purchased Service</t>
  </si>
  <si>
    <t>80-2500-300</t>
  </si>
  <si>
    <t>Morland Enviromental Services</t>
  </si>
  <si>
    <t>563.343.9595</t>
  </si>
  <si>
    <t>Ms. Tammy Muerhoff</t>
  </si>
  <si>
    <t>Tammy.muerhoff@riroe.com</t>
  </si>
  <si>
    <t>309.736.1111</t>
  </si>
  <si>
    <t>309.736.1127</t>
  </si>
  <si>
    <t>Fund 10, Revenue 3999, $6,884 grants,  ($15,515) after school/healthy community</t>
  </si>
  <si>
    <t>Sarah@bohnsackfrommelt.com</t>
  </si>
  <si>
    <t>The accompanying Schedule of Expenditures of Federal Awards includes the federal grant activity of Rock Island-Milan School District #41 and is presented on the GAAP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</si>
  <si>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District #41 provided federal awards to subrecipients as follows:</t>
  </si>
  <si>
    <t>NONE</t>
  </si>
  <si>
    <r>
      <t xml:space="preserve">The following amounts were expended in the form of non-cash assistance by District #41and </t>
    </r>
    <r>
      <rPr>
        <b/>
        <sz val="9"/>
        <rFont val="Calibri"/>
        <family val="2"/>
        <scheme val="minor"/>
      </rPr>
      <t>should be</t>
    </r>
    <r>
      <rPr>
        <sz val="9"/>
        <rFont val="Calibri"/>
        <family val="2"/>
        <scheme val="minor"/>
      </rPr>
      <t xml:space="preserve"> included in the Schedule of Expenditures of Federal Awards:</t>
    </r>
  </si>
  <si>
    <t>Special Education I.D.E.A. Part B Flowthrough</t>
  </si>
  <si>
    <t>Special Education Cluster:</t>
  </si>
  <si>
    <t>Special Education I.D.E.A. Part B Room &amp; Board</t>
  </si>
  <si>
    <t>Title 1</t>
  </si>
  <si>
    <t xml:space="preserve">  Rock Island SD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</si>
</sst>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cellStyleXfs>
  <cellXfs count="263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ont="1" applyFill="1" applyBorder="1" applyAlignment="1" applyProtection="1">
      <alignment horizontal="righ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0" applyFont="1" applyProtection="1">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3" fontId="62" fillId="0" borderId="8" xfId="3" applyNumberFormat="1" applyFont="1" applyBorder="1" applyAlignment="1" applyProtection="1">
      <alignment horizontal="center" shrinkToFit="1"/>
    </xf>
    <xf numFmtId="3" fontId="62" fillId="0" borderId="22" xfId="3" applyNumberFormat="1" applyFont="1" applyBorder="1" applyAlignment="1" applyProtection="1">
      <alignment horizontal="center" shrinkToFit="1"/>
    </xf>
    <xf numFmtId="0" fontId="0" fillId="0" borderId="155" xfId="19" applyFont="1" applyBorder="1" applyAlignment="1" applyProtection="1">
      <alignment horizontal="left" vertical="top" wrapText="1"/>
      <protection locked="0"/>
    </xf>
    <xf numFmtId="184" fontId="0" fillId="0" borderId="155" xfId="19" applyNumberFormat="1" applyFont="1" applyBorder="1" applyAlignment="1" applyProtection="1">
      <alignment horizontal="center" vertical="top"/>
      <protection locked="0"/>
    </xf>
    <xf numFmtId="0" fontId="0" fillId="0" borderId="155" xfId="19" applyFont="1" applyBorder="1" applyAlignment="1" applyProtection="1">
      <alignment vertical="top"/>
      <protection locked="0"/>
    </xf>
    <xf numFmtId="3" fontId="5" fillId="16" borderId="155" xfId="19" applyNumberFormat="1" applyFill="1" applyBorder="1" applyAlignment="1">
      <alignment horizontal="right" vertical="top"/>
    </xf>
    <xf numFmtId="0" fontId="0" fillId="0" borderId="0" xfId="19" applyFont="1" applyAlignment="1">
      <alignment vertical="top"/>
    </xf>
    <xf numFmtId="184" fontId="0" fillId="0" borderId="155" xfId="19" applyNumberFormat="1" applyFont="1" applyBorder="1" applyAlignment="1" applyProtection="1">
      <alignment horizontal="center" vertical="center"/>
      <protection locked="0"/>
    </xf>
    <xf numFmtId="0" fontId="0" fillId="0" borderId="155" xfId="19" applyFont="1" applyBorder="1" applyAlignment="1" applyProtection="1">
      <alignment horizontal="lef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38" fontId="62" fillId="0" borderId="154" xfId="3" applyNumberFormat="1" applyFont="1" applyBorder="1" applyAlignment="1" applyProtection="1">
      <alignment horizontal="right" vertical="center"/>
      <protection locked="0"/>
    </xf>
    <xf numFmtId="38" fontId="62" fillId="0" borderId="156"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1" xr:uid="{F143DAF0-A4AF-4367-85C6-8570D9EBC6A2}"/>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4</xdr:row>
          <xdr:rowOff>10391</xdr:rowOff>
        </xdr:from>
        <xdr:to>
          <xdr:col>3</xdr:col>
          <xdr:colOff>157595</xdr:colOff>
          <xdr:row>8</xdr:row>
          <xdr:rowOff>49357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10</xdr:row>
          <xdr:rowOff>25977</xdr:rowOff>
        </xdr:from>
        <xdr:to>
          <xdr:col>3</xdr:col>
          <xdr:colOff>157595</xdr:colOff>
          <xdr:row>14</xdr:row>
          <xdr:rowOff>64943</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4</xdr:row>
          <xdr:rowOff>10391</xdr:rowOff>
        </xdr:from>
        <xdr:to>
          <xdr:col>5</xdr:col>
          <xdr:colOff>150668</xdr:colOff>
          <xdr:row>8</xdr:row>
          <xdr:rowOff>49357</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10</xdr:row>
          <xdr:rowOff>25977</xdr:rowOff>
        </xdr:from>
        <xdr:to>
          <xdr:col>5</xdr:col>
          <xdr:colOff>150668</xdr:colOff>
          <xdr:row>14</xdr:row>
          <xdr:rowOff>64943</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topLeftCell="A7" zoomScale="80" zoomScaleNormal="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5" t="s">
        <v>402</v>
      </c>
      <c r="J1" s="2126"/>
      <c r="K1" s="2126"/>
      <c r="L1" s="2126"/>
      <c r="M1" s="2126"/>
      <c r="N1" s="2126"/>
      <c r="O1" s="2126"/>
      <c r="P1" s="2126"/>
      <c r="Q1" s="2126"/>
      <c r="R1" s="2126"/>
      <c r="S1" s="2126"/>
    </row>
    <row r="2" spans="1:32" ht="12" customHeight="1" x14ac:dyDescent="0.2">
      <c r="A2" s="1831" t="str">
        <f>"Due to ISBE on "</f>
        <v xml:space="preserve">Due to ISBE on </v>
      </c>
      <c r="B2" s="2048">
        <f>+'AFR20'!F4</f>
        <v>44151</v>
      </c>
      <c r="C2" s="2048"/>
      <c r="D2" s="2049"/>
      <c r="I2" s="2127" t="s">
        <v>2000</v>
      </c>
      <c r="J2" s="2126"/>
      <c r="K2" s="2126"/>
      <c r="L2" s="2126"/>
      <c r="M2" s="2126"/>
      <c r="N2" s="2126"/>
      <c r="O2" s="2126"/>
      <c r="P2" s="2126"/>
      <c r="Q2" s="2126"/>
      <c r="R2" s="2126"/>
      <c r="S2" s="2126"/>
    </row>
    <row r="3" spans="1:32" ht="12" customHeight="1" x14ac:dyDescent="0.2">
      <c r="A3" s="1834"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521</v>
      </c>
      <c r="J4" s="2126"/>
      <c r="K4" s="2126"/>
      <c r="L4" s="2126"/>
      <c r="M4" s="2126"/>
      <c r="N4" s="2126"/>
      <c r="O4" s="2126"/>
      <c r="P4" s="2126"/>
      <c r="Q4" s="2126"/>
      <c r="R4" s="2126"/>
      <c r="S4" s="2126"/>
    </row>
    <row r="5" spans="1:32" ht="14.1" customHeight="1" x14ac:dyDescent="0.2">
      <c r="B5" s="101" t="s">
        <v>2048</v>
      </c>
      <c r="C5" s="26" t="s">
        <v>904</v>
      </c>
      <c r="D5" s="81"/>
      <c r="E5" s="81"/>
      <c r="H5" s="38"/>
      <c r="I5" s="2134" t="s">
        <v>675</v>
      </c>
      <c r="J5" s="2079"/>
      <c r="K5" s="2079"/>
      <c r="L5" s="2079"/>
      <c r="M5" s="2079"/>
      <c r="N5" s="2079"/>
      <c r="O5" s="2079"/>
      <c r="P5" s="2079"/>
      <c r="Q5" s="2079"/>
      <c r="R5" s="2079"/>
      <c r="S5" s="2079"/>
      <c r="AF5" s="1827"/>
    </row>
    <row r="6" spans="1:32" ht="14.1" customHeight="1" x14ac:dyDescent="0.2">
      <c r="B6" s="101"/>
      <c r="C6" s="26" t="s">
        <v>905</v>
      </c>
      <c r="D6" s="81"/>
      <c r="E6" s="81"/>
      <c r="I6" s="2133" t="s">
        <v>877</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669</v>
      </c>
      <c r="J9" s="2131"/>
      <c r="K9" s="2131"/>
      <c r="L9" s="2131"/>
      <c r="M9" s="2131"/>
      <c r="N9" s="2131"/>
      <c r="O9" s="2131"/>
      <c r="P9" s="2131"/>
      <c r="Q9" s="2131"/>
      <c r="R9" s="2131"/>
      <c r="S9" s="2132"/>
      <c r="T9" s="2075" t="s">
        <v>530</v>
      </c>
      <c r="U9" s="2076"/>
      <c r="V9" s="2076"/>
      <c r="W9" s="2076"/>
      <c r="X9" s="2076"/>
      <c r="Y9" s="2076"/>
      <c r="Z9" s="2076"/>
      <c r="AA9" s="2077"/>
    </row>
    <row r="10" spans="1:32" ht="13.5" customHeight="1" x14ac:dyDescent="0.2">
      <c r="A10" s="2084" t="s">
        <v>670</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949</v>
      </c>
      <c r="B11" s="2088"/>
      <c r="C11" s="2088"/>
      <c r="D11" s="2088"/>
      <c r="E11" s="2088"/>
      <c r="F11" s="2088"/>
      <c r="G11" s="2088"/>
      <c r="H11" s="2089"/>
      <c r="I11" s="27"/>
      <c r="J11" s="71"/>
      <c r="K11" s="27"/>
      <c r="O11" s="144"/>
      <c r="P11" s="97" t="s">
        <v>199</v>
      </c>
      <c r="Q11" s="30"/>
      <c r="R11" s="28"/>
      <c r="S11" s="27"/>
      <c r="T11" s="2081"/>
      <c r="U11" s="2082"/>
      <c r="V11" s="2082"/>
      <c r="W11" s="2082"/>
      <c r="X11" s="2082"/>
      <c r="Y11" s="2082"/>
      <c r="Z11" s="2082"/>
      <c r="AA11" s="2083"/>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5">
        <v>49081041025</v>
      </c>
      <c r="B13" s="2096"/>
      <c r="C13" s="2096"/>
      <c r="D13" s="2096"/>
      <c r="E13" s="2096"/>
      <c r="F13" s="2096"/>
      <c r="G13" s="2096"/>
      <c r="H13" s="2097"/>
      <c r="I13" s="31"/>
      <c r="J13" s="30"/>
      <c r="K13" s="28"/>
      <c r="L13" s="30"/>
      <c r="M13" s="30"/>
      <c r="N13" s="30"/>
      <c r="O13" s="30"/>
      <c r="P13" s="30"/>
      <c r="Q13" s="30"/>
      <c r="R13" s="30"/>
      <c r="S13" s="30"/>
      <c r="T13" s="2100" t="s">
        <v>2052</v>
      </c>
      <c r="U13" s="2101"/>
      <c r="V13" s="2101"/>
      <c r="W13" s="2101"/>
      <c r="X13" s="2101"/>
      <c r="Y13" s="2102"/>
      <c r="Z13" s="2102"/>
      <c r="AA13" s="210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3" t="s">
        <v>2049</v>
      </c>
      <c r="B15" s="2098"/>
      <c r="C15" s="2098"/>
      <c r="D15" s="2098"/>
      <c r="E15" s="2098"/>
      <c r="F15" s="2098"/>
      <c r="G15" s="2098"/>
      <c r="H15" s="2099"/>
      <c r="T15" s="2061" t="s">
        <v>2053</v>
      </c>
      <c r="U15" s="2062"/>
      <c r="V15" s="2062"/>
      <c r="W15" s="2062"/>
      <c r="X15" s="2062"/>
      <c r="Y15" s="2104"/>
      <c r="Z15" s="2104"/>
      <c r="AA15" s="21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3" t="s">
        <v>2362</v>
      </c>
      <c r="B17" s="2123"/>
      <c r="C17" s="2123"/>
      <c r="D17" s="2123"/>
      <c r="E17" s="2123"/>
      <c r="F17" s="2123"/>
      <c r="G17" s="2123"/>
      <c r="H17" s="2124"/>
      <c r="T17" s="2110" t="s">
        <v>2054</v>
      </c>
      <c r="U17" s="2111"/>
      <c r="V17" s="2111"/>
      <c r="W17" s="2111"/>
      <c r="X17" s="2111"/>
      <c r="Y17" s="2111"/>
      <c r="Z17" s="2111"/>
      <c r="AA17" s="2112"/>
    </row>
    <row r="18" spans="1:27" ht="13.5" customHeight="1" x14ac:dyDescent="0.2">
      <c r="A18" s="82" t="s">
        <v>527</v>
      </c>
      <c r="B18" s="73"/>
      <c r="C18" s="69"/>
      <c r="D18" s="73"/>
      <c r="E18" s="73"/>
      <c r="F18" s="73"/>
      <c r="G18" s="73"/>
      <c r="H18" s="53"/>
      <c r="I18" s="2120" t="s">
        <v>671</v>
      </c>
      <c r="J18" s="2121"/>
      <c r="K18" s="2121"/>
      <c r="L18" s="2121"/>
      <c r="M18" s="2121"/>
      <c r="N18" s="2121"/>
      <c r="O18" s="2121"/>
      <c r="P18" s="2121"/>
      <c r="Q18" s="2121"/>
      <c r="R18" s="2121"/>
      <c r="S18" s="2122"/>
      <c r="T18" s="82" t="s">
        <v>706</v>
      </c>
      <c r="U18" s="48"/>
      <c r="V18" s="69"/>
      <c r="W18" s="47"/>
      <c r="X18" s="82" t="s">
        <v>264</v>
      </c>
      <c r="Y18" s="78"/>
      <c r="Z18" s="154" t="s">
        <v>672</v>
      </c>
      <c r="AA18" s="44"/>
    </row>
    <row r="19" spans="1:27" ht="13.5" customHeight="1" x14ac:dyDescent="0.2">
      <c r="A19" s="2093" t="s">
        <v>2050</v>
      </c>
      <c r="B19" s="2094"/>
      <c r="C19" s="2094"/>
      <c r="D19" s="2094"/>
      <c r="E19" s="2094"/>
      <c r="F19" s="2094"/>
      <c r="G19" s="2094"/>
      <c r="H19" s="2092"/>
      <c r="I19" s="30"/>
      <c r="J19" s="96"/>
      <c r="K19" s="40"/>
      <c r="L19" s="38"/>
      <c r="M19" s="109" t="s">
        <v>312</v>
      </c>
      <c r="P19" s="27"/>
      <c r="Q19" s="27"/>
      <c r="R19" s="27"/>
      <c r="S19" s="31"/>
      <c r="T19" s="2093" t="s">
        <v>2055</v>
      </c>
      <c r="U19" s="2091"/>
      <c r="V19" s="2091"/>
      <c r="W19" s="2092"/>
      <c r="X19" s="2108" t="s">
        <v>2056</v>
      </c>
      <c r="Y19" s="2109"/>
      <c r="Z19" s="2106">
        <v>61265</v>
      </c>
      <c r="AA19" s="21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0" t="s">
        <v>2049</v>
      </c>
      <c r="B21" s="2091"/>
      <c r="C21" s="2091"/>
      <c r="D21" s="2091"/>
      <c r="E21" s="2091"/>
      <c r="F21" s="2091"/>
      <c r="G21" s="2091"/>
      <c r="H21" s="2092"/>
      <c r="I21" s="2116" t="s">
        <v>673</v>
      </c>
      <c r="J21" s="2079"/>
      <c r="K21" s="2079"/>
      <c r="L21" s="2079"/>
      <c r="M21" s="2079"/>
      <c r="N21" s="2079"/>
      <c r="O21" s="2079"/>
      <c r="P21" s="2079"/>
      <c r="Q21" s="2079"/>
      <c r="R21" s="2079"/>
      <c r="S21" s="2080"/>
      <c r="T21" s="2058" t="s">
        <v>2347</v>
      </c>
      <c r="U21" s="2059"/>
      <c r="V21" s="2059"/>
      <c r="W21" s="2059"/>
      <c r="X21" s="2072"/>
      <c r="Y21" s="2073"/>
      <c r="Z21" s="2073"/>
      <c r="AA21" s="2074"/>
    </row>
    <row r="22" spans="1:27" ht="13.5" customHeight="1" x14ac:dyDescent="0.2">
      <c r="A22" s="84" t="s">
        <v>528</v>
      </c>
      <c r="B22" s="56"/>
      <c r="C22" s="56"/>
      <c r="D22" s="56"/>
      <c r="E22" s="56"/>
      <c r="F22" s="56"/>
      <c r="G22" s="56"/>
      <c r="H22" s="57"/>
      <c r="I22" s="2117" t="s">
        <v>1412</v>
      </c>
      <c r="J22" s="2118"/>
      <c r="K22" s="2118"/>
      <c r="L22" s="2118"/>
      <c r="M22" s="2118"/>
      <c r="N22" s="2118"/>
      <c r="O22" s="2118"/>
      <c r="P22" s="2118"/>
      <c r="Q22" s="2118"/>
      <c r="R22" s="2118"/>
      <c r="S22" s="2119"/>
      <c r="T22" s="82" t="s">
        <v>1499</v>
      </c>
      <c r="U22" s="48"/>
      <c r="V22" s="69"/>
      <c r="W22" s="48"/>
      <c r="X22" s="155" t="s">
        <v>1307</v>
      </c>
      <c r="Z22" s="43"/>
      <c r="AA22" s="44"/>
    </row>
    <row r="23" spans="1:27" ht="13.5" customHeight="1" x14ac:dyDescent="0.2">
      <c r="A23" s="2113" t="s">
        <v>2051</v>
      </c>
      <c r="B23" s="2114"/>
      <c r="C23" s="2114"/>
      <c r="D23" s="2114"/>
      <c r="E23" s="2114"/>
      <c r="F23" s="2114"/>
      <c r="G23" s="2114"/>
      <c r="H23" s="2115"/>
      <c r="T23" s="2053">
        <v>66.004396999999997</v>
      </c>
      <c r="U23" s="2054"/>
      <c r="V23" s="2054"/>
      <c r="W23" s="2054"/>
      <c r="X23" s="2069">
        <v>44530</v>
      </c>
      <c r="Y23" s="2070"/>
      <c r="Z23" s="2070"/>
      <c r="AA23" s="2071"/>
    </row>
    <row r="24" spans="1:27" ht="14.1" customHeight="1" x14ac:dyDescent="0.2">
      <c r="A24" s="85" t="s">
        <v>672</v>
      </c>
      <c r="B24" s="46"/>
      <c r="C24" s="46"/>
      <c r="D24" s="46"/>
      <c r="E24" s="46"/>
      <c r="F24" s="46"/>
      <c r="G24" s="46"/>
      <c r="H24" s="58"/>
      <c r="J24" s="2155">
        <f>IF(B5="x",IF(AUDITCHECK!D29="AFR form Incomplete.","",IF(AUDITCHECK!D29="Deficit reduction plan is required.","School District must complete a deficit reduction plan in the 2020-2021 Budget",)),"")</f>
        <v>0</v>
      </c>
      <c r="K24" s="2155"/>
      <c r="L24" s="2155"/>
      <c r="M24" s="2155"/>
      <c r="N24" s="2155"/>
      <c r="O24" s="2155"/>
      <c r="P24" s="2155"/>
      <c r="Q24" s="2155"/>
      <c r="R24" s="2155"/>
      <c r="S24" s="2156"/>
      <c r="T24" s="102" t="s">
        <v>528</v>
      </c>
      <c r="U24" s="103"/>
      <c r="V24" s="103"/>
      <c r="W24" s="103"/>
      <c r="X24" s="104"/>
      <c r="Y24" s="104"/>
      <c r="Z24" s="104"/>
      <c r="AA24" s="105"/>
    </row>
    <row r="25" spans="1:27" ht="14.1" customHeight="1" x14ac:dyDescent="0.2">
      <c r="A25" s="2090">
        <v>61201</v>
      </c>
      <c r="B25" s="2091"/>
      <c r="C25" s="2091"/>
      <c r="D25" s="2091"/>
      <c r="E25" s="2091"/>
      <c r="F25" s="2091"/>
      <c r="G25" s="2091"/>
      <c r="H25" s="2092"/>
      <c r="I25" s="110"/>
      <c r="J25" s="2157"/>
      <c r="K25" s="2157"/>
      <c r="L25" s="2157"/>
      <c r="M25" s="2157"/>
      <c r="N25" s="2157"/>
      <c r="O25" s="2157"/>
      <c r="P25" s="2157"/>
      <c r="Q25" s="2157"/>
      <c r="R25" s="2157"/>
      <c r="S25" s="2158"/>
      <c r="T25" s="2050" t="s">
        <v>2353</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8" t="s">
        <v>1494</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3" t="s">
        <v>2057</v>
      </c>
      <c r="B38" s="2123"/>
      <c r="C38" s="2123"/>
      <c r="D38" s="2123"/>
      <c r="E38" s="2123"/>
      <c r="F38" s="2091"/>
      <c r="G38" s="2091"/>
      <c r="H38" s="2092"/>
      <c r="I38" s="2142"/>
      <c r="J38" s="2062"/>
      <c r="K38" s="2062"/>
      <c r="L38" s="2062"/>
      <c r="M38" s="2062"/>
      <c r="N38" s="2062"/>
      <c r="O38" s="2062"/>
      <c r="P38" s="2063"/>
      <c r="Q38" s="2063"/>
      <c r="R38" s="2063"/>
      <c r="S38" s="2064"/>
      <c r="T38" s="2061" t="s">
        <v>2348</v>
      </c>
      <c r="U38" s="2062"/>
      <c r="V38" s="2062"/>
      <c r="W38" s="2062"/>
      <c r="X38" s="2063"/>
      <c r="Y38" s="2063"/>
      <c r="Z38" s="2063"/>
      <c r="AA38" s="2064"/>
    </row>
    <row r="39" spans="1:27" ht="12" customHeight="1" x14ac:dyDescent="0.2">
      <c r="A39" s="2146" t="s">
        <v>528</v>
      </c>
      <c r="B39" s="2147"/>
      <c r="C39" s="69"/>
      <c r="D39" s="66"/>
      <c r="E39" s="66"/>
      <c r="F39" s="76"/>
      <c r="G39" s="66"/>
      <c r="H39" s="53"/>
      <c r="I39" s="2146" t="s">
        <v>528</v>
      </c>
      <c r="J39" s="2147"/>
      <c r="K39" s="2147"/>
      <c r="L39" s="2147"/>
      <c r="M39" s="2147"/>
      <c r="N39" s="64"/>
      <c r="O39" s="69"/>
      <c r="P39" s="69"/>
      <c r="Q39" s="75"/>
      <c r="R39" s="69"/>
      <c r="S39" s="53"/>
      <c r="T39" s="69" t="s">
        <v>528</v>
      </c>
      <c r="U39" s="48"/>
      <c r="V39" s="69"/>
      <c r="W39" s="47"/>
      <c r="X39" s="75"/>
      <c r="Y39" s="43"/>
      <c r="Z39" s="43"/>
      <c r="AA39" s="44"/>
    </row>
    <row r="40" spans="1:27" ht="13.5" customHeight="1" x14ac:dyDescent="0.2">
      <c r="A40" s="2149"/>
      <c r="B40" s="2150"/>
      <c r="C40" s="2151"/>
      <c r="D40" s="2151"/>
      <c r="E40" s="2151"/>
      <c r="F40" s="2152"/>
      <c r="G40" s="2152"/>
      <c r="H40" s="2153"/>
      <c r="I40" s="2065"/>
      <c r="J40" s="2067"/>
      <c r="K40" s="2067"/>
      <c r="L40" s="2067"/>
      <c r="M40" s="2067"/>
      <c r="N40" s="2067"/>
      <c r="O40" s="2067"/>
      <c r="P40" s="2067"/>
      <c r="Q40" s="2067"/>
      <c r="R40" s="2067"/>
      <c r="S40" s="2068"/>
      <c r="T40" s="2065" t="s">
        <v>2349</v>
      </c>
      <c r="U40" s="2066"/>
      <c r="V40" s="2067"/>
      <c r="W40" s="2067"/>
      <c r="X40" s="2067"/>
      <c r="Y40" s="2067"/>
      <c r="Z40" s="2067"/>
      <c r="AA40" s="206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9" t="s">
        <v>2058</v>
      </c>
      <c r="B42" s="2140"/>
      <c r="C42" s="2141"/>
      <c r="D42" s="2154" t="s">
        <v>2059</v>
      </c>
      <c r="E42" s="2140"/>
      <c r="F42" s="2140"/>
      <c r="G42" s="2140"/>
      <c r="H42" s="2141"/>
      <c r="I42" s="2060"/>
      <c r="J42" s="2056"/>
      <c r="K42" s="2056"/>
      <c r="L42" s="2056"/>
      <c r="M42" s="2056"/>
      <c r="N42" s="2056"/>
      <c r="O42" s="2057"/>
      <c r="P42" s="2055"/>
      <c r="Q42" s="2056"/>
      <c r="R42" s="2056"/>
      <c r="S42" s="2057"/>
      <c r="T42" s="2060" t="s">
        <v>2350</v>
      </c>
      <c r="U42" s="2056"/>
      <c r="V42" s="2056"/>
      <c r="W42" s="2057"/>
      <c r="X42" s="2055" t="s">
        <v>2351</v>
      </c>
      <c r="Y42" s="2056"/>
      <c r="Z42" s="2056"/>
      <c r="AA42" s="205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7"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8"/>
      <c r="B3" s="1294"/>
      <c r="C3" s="1295"/>
      <c r="D3" s="1296" t="s">
        <v>254</v>
      </c>
      <c r="E3" s="1295"/>
      <c r="F3" s="1296" t="s">
        <v>255</v>
      </c>
    </row>
    <row r="4" spans="1:8" ht="13.7" customHeight="1" x14ac:dyDescent="0.2">
      <c r="A4" s="579" t="s">
        <v>1145</v>
      </c>
      <c r="B4" s="1721">
        <f>'Revenues 9-14'!C5</f>
        <v>18851933</v>
      </c>
      <c r="C4" s="1722">
        <v>3968126</v>
      </c>
      <c r="D4" s="1723">
        <f>B4-C4</f>
        <v>14883807</v>
      </c>
      <c r="E4" s="1722">
        <v>17972223</v>
      </c>
      <c r="F4" s="1723">
        <f>E4-C4</f>
        <v>14004097</v>
      </c>
    </row>
    <row r="5" spans="1:8" ht="13.7" customHeight="1" x14ac:dyDescent="0.2">
      <c r="A5" s="579" t="s">
        <v>865</v>
      </c>
      <c r="B5" s="1724">
        <f>'Revenues 9-14'!D5</f>
        <v>4178529</v>
      </c>
      <c r="C5" s="1664">
        <v>930029</v>
      </c>
      <c r="D5" s="1725">
        <f t="shared" ref="D5:D18" si="0">B5-C5</f>
        <v>3248500</v>
      </c>
      <c r="E5" s="1664">
        <v>4212240</v>
      </c>
      <c r="F5" s="1725">
        <f>E5-C5</f>
        <v>3282211</v>
      </c>
    </row>
    <row r="6" spans="1:8" ht="13.7" customHeight="1" x14ac:dyDescent="0.2">
      <c r="A6" s="579" t="s">
        <v>408</v>
      </c>
      <c r="B6" s="1724">
        <f>'Revenues 9-14'!E5</f>
        <v>3252725</v>
      </c>
      <c r="C6" s="1664">
        <v>730383</v>
      </c>
      <c r="D6" s="1725">
        <f t="shared" si="0"/>
        <v>2522342</v>
      </c>
      <c r="E6" s="1664">
        <v>3308012</v>
      </c>
      <c r="F6" s="1725">
        <f t="shared" ref="F6:F18" si="1">E6-C6</f>
        <v>2577629</v>
      </c>
    </row>
    <row r="7" spans="1:8" ht="13.7" customHeight="1" x14ac:dyDescent="0.2">
      <c r="A7" s="579" t="s">
        <v>154</v>
      </c>
      <c r="B7" s="1724">
        <f>'Revenues 9-14'!F5</f>
        <v>1099371</v>
      </c>
      <c r="C7" s="1664">
        <v>248008</v>
      </c>
      <c r="D7" s="1725">
        <f t="shared" si="0"/>
        <v>851363</v>
      </c>
      <c r="E7" s="1664">
        <v>1123264</v>
      </c>
      <c r="F7" s="1725">
        <f t="shared" si="1"/>
        <v>875256</v>
      </c>
    </row>
    <row r="8" spans="1:8" ht="13.7" customHeight="1" x14ac:dyDescent="0.2">
      <c r="A8" s="579" t="s">
        <v>1169</v>
      </c>
      <c r="B8" s="1724">
        <f>'Revenues 9-14'!G5</f>
        <v>1069782</v>
      </c>
      <c r="C8" s="1664">
        <v>241312</v>
      </c>
      <c r="D8" s="1725">
        <f t="shared" si="0"/>
        <v>828470</v>
      </c>
      <c r="E8" s="1664">
        <v>1092936</v>
      </c>
      <c r="F8" s="1725">
        <f t="shared" si="1"/>
        <v>851624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278569</v>
      </c>
      <c r="C10" s="1664">
        <v>62002</v>
      </c>
      <c r="D10" s="1725">
        <f t="shared" si="0"/>
        <v>216567</v>
      </c>
      <c r="E10" s="1664">
        <v>280816</v>
      </c>
      <c r="F10" s="1725">
        <f t="shared" si="1"/>
        <v>218814</v>
      </c>
    </row>
    <row r="11" spans="1:8" x14ac:dyDescent="0.2">
      <c r="A11" s="579" t="s">
        <v>406</v>
      </c>
      <c r="B11" s="1724">
        <f>'Revenues 9-14'!J5</f>
        <v>834631</v>
      </c>
      <c r="C11" s="1664">
        <v>187370</v>
      </c>
      <c r="D11" s="1725">
        <f t="shared" si="0"/>
        <v>647261</v>
      </c>
      <c r="E11" s="1664">
        <v>848626</v>
      </c>
      <c r="F11" s="1725">
        <f t="shared" si="1"/>
        <v>661256</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222855</v>
      </c>
      <c r="C14" s="1664">
        <v>49602</v>
      </c>
      <c r="D14" s="1725">
        <f t="shared" si="0"/>
        <v>173253</v>
      </c>
      <c r="E14" s="1664">
        <v>224653</v>
      </c>
      <c r="F14" s="1725">
        <f t="shared" si="1"/>
        <v>175051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1222187</v>
      </c>
      <c r="C16" s="1664">
        <v>266608</v>
      </c>
      <c r="D16" s="1725">
        <f t="shared" si="0"/>
        <v>955579</v>
      </c>
      <c r="E16" s="1664">
        <v>1207509</v>
      </c>
      <c r="F16" s="1725">
        <f t="shared" si="1"/>
        <v>940901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31010582</v>
      </c>
      <c r="C19" s="1726">
        <f>SUM(C4:C18)</f>
        <v>6683440</v>
      </c>
      <c r="D19" s="1726">
        <f>SUM(D4:D18)</f>
        <v>24327142</v>
      </c>
      <c r="E19" s="1726">
        <f>SUM(E4:E18)</f>
        <v>30270279</v>
      </c>
      <c r="F19" s="1726">
        <f>SUM(F4:F18)</f>
        <v>23586839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625</v>
      </c>
      <c r="B1" s="2304"/>
      <c r="C1" s="585"/>
    </row>
    <row r="2" spans="1:7" ht="33.75" x14ac:dyDescent="0.2">
      <c r="A2" s="2312" t="s">
        <v>1776</v>
      </c>
      <c r="B2" s="231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05"/>
      <c r="D3" s="2306"/>
      <c r="E3" s="2306"/>
      <c r="F3" s="2307"/>
    </row>
    <row r="4" spans="1:7" ht="12.75" customHeight="1" thickBot="1" x14ac:dyDescent="0.25">
      <c r="A4" s="2314" t="s">
        <v>626</v>
      </c>
      <c r="B4" s="2315"/>
      <c r="C4" s="1656"/>
      <c r="D4" s="1656"/>
      <c r="E4" s="1656"/>
      <c r="F4" s="1732">
        <f>SUM(C4+D4)-E4</f>
        <v>0</v>
      </c>
    </row>
    <row r="5" spans="1:7" ht="15.75" customHeight="1" thickTop="1" x14ac:dyDescent="0.2">
      <c r="A5" s="2299" t="s">
        <v>1101</v>
      </c>
      <c r="B5" s="2300"/>
      <c r="C5" s="2308"/>
      <c r="D5" s="2309"/>
      <c r="E5" s="2309"/>
      <c r="F5" s="231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1" t="s">
        <v>1102</v>
      </c>
      <c r="B16" s="2300"/>
      <c r="C16" s="2308"/>
      <c r="D16" s="2309"/>
      <c r="E16" s="2309"/>
      <c r="F16" s="2310"/>
    </row>
    <row r="17" spans="1:11" ht="12.75" customHeight="1" thickBot="1" x14ac:dyDescent="0.25">
      <c r="A17" s="2324" t="s">
        <v>64</v>
      </c>
      <c r="B17" s="2325"/>
      <c r="C17" s="1733"/>
      <c r="D17" s="1664"/>
      <c r="E17" s="1733"/>
      <c r="F17" s="1732">
        <f>SUM(C17+D17)-E17</f>
        <v>0</v>
      </c>
    </row>
    <row r="18" spans="1:11" ht="12.75" customHeight="1" thickTop="1" thickBot="1" x14ac:dyDescent="0.25">
      <c r="A18" s="2324" t="s">
        <v>6</v>
      </c>
      <c r="B18" s="2325"/>
      <c r="C18" s="1733"/>
      <c r="D18" s="1664"/>
      <c r="E18" s="1733"/>
      <c r="F18" s="1732">
        <f>SUM(C18+D18)-E18</f>
        <v>0</v>
      </c>
    </row>
    <row r="19" spans="1:11" ht="12.75" customHeight="1" thickTop="1" thickBot="1" x14ac:dyDescent="0.25">
      <c r="A19" s="2324" t="s">
        <v>385</v>
      </c>
      <c r="B19" s="2325"/>
      <c r="C19" s="1733"/>
      <c r="D19" s="1664"/>
      <c r="E19" s="1733"/>
      <c r="F19" s="1732">
        <f>SUM(C19+D19)-E19</f>
        <v>0</v>
      </c>
    </row>
    <row r="20" spans="1:11" ht="12.75" customHeight="1" thickTop="1" thickBot="1" x14ac:dyDescent="0.25">
      <c r="A20" s="2324" t="s">
        <v>445</v>
      </c>
      <c r="B20" s="2325"/>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26" t="s">
        <v>1103</v>
      </c>
      <c r="B22" s="2300"/>
      <c r="C22" s="2308"/>
      <c r="D22" s="2309"/>
      <c r="E22" s="2309"/>
      <c r="F22" s="2310"/>
    </row>
    <row r="23" spans="1:11" ht="13.5" thickBot="1" x14ac:dyDescent="0.25">
      <c r="A23" s="2314" t="s">
        <v>629</v>
      </c>
      <c r="B23" s="2315"/>
      <c r="C23" s="1656"/>
      <c r="D23" s="1656"/>
      <c r="E23" s="1656"/>
      <c r="F23" s="1732">
        <f>SUM(C23+D23)-E23</f>
        <v>0</v>
      </c>
      <c r="G23" s="473"/>
    </row>
    <row r="24" spans="1:11" ht="15.75" customHeight="1" thickTop="1" x14ac:dyDescent="0.2">
      <c r="A24" s="2326" t="s">
        <v>2003</v>
      </c>
      <c r="B24" s="2300"/>
      <c r="C24" s="2308"/>
      <c r="D24" s="2309"/>
      <c r="E24" s="2309"/>
      <c r="F24" s="2310"/>
    </row>
    <row r="25" spans="1:11" ht="13.5" thickBot="1" x14ac:dyDescent="0.25">
      <c r="A25" s="2314" t="s">
        <v>2004</v>
      </c>
      <c r="B25" s="2315"/>
      <c r="C25" s="1656"/>
      <c r="D25" s="1656"/>
      <c r="E25" s="1656"/>
      <c r="F25" s="1732">
        <f>SUM(C25+D25)-E25</f>
        <v>0</v>
      </c>
      <c r="G25" s="473"/>
    </row>
    <row r="26" spans="1:11" ht="15.75" customHeight="1" thickTop="1" x14ac:dyDescent="0.2">
      <c r="A26" s="2299" t="s">
        <v>652</v>
      </c>
      <c r="B26" s="2300"/>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27" t="s">
        <v>578</v>
      </c>
      <c r="B29" s="230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2140</v>
      </c>
      <c r="B31" s="595">
        <v>43137</v>
      </c>
      <c r="C31" s="1734">
        <v>27730000</v>
      </c>
      <c r="D31" s="1735">
        <v>3</v>
      </c>
      <c r="E31" s="1734">
        <v>25620000</v>
      </c>
      <c r="F31" s="1734"/>
      <c r="G31" s="1734"/>
      <c r="H31" s="1734">
        <v>2170000</v>
      </c>
      <c r="I31" s="1736">
        <f>((E31+F31)-H31)+G31</f>
        <v>23450000</v>
      </c>
      <c r="J31" s="1734">
        <f>I31-'Acct Summary 7-8'!E81</f>
        <v>21529490</v>
      </c>
      <c r="K31" s="596"/>
    </row>
    <row r="32" spans="1:11" ht="12" customHeight="1" x14ac:dyDescent="0.2">
      <c r="A32" s="594" t="s">
        <v>2060</v>
      </c>
      <c r="B32" s="595"/>
      <c r="C32" s="1734"/>
      <c r="D32" s="1735"/>
      <c r="E32" s="1734"/>
      <c r="F32" s="1734"/>
      <c r="G32" s="1734"/>
      <c r="H32" s="1734"/>
      <c r="I32" s="1736">
        <f>((E32+F32)-H32)+G32</f>
        <v>0</v>
      </c>
      <c r="J32" s="1734"/>
      <c r="K32" s="596"/>
    </row>
    <row r="33" spans="1:11" ht="12" customHeight="1" x14ac:dyDescent="0.2">
      <c r="A33" s="594" t="s">
        <v>2061</v>
      </c>
      <c r="B33" s="595">
        <v>43992</v>
      </c>
      <c r="C33" s="1734">
        <v>14700000</v>
      </c>
      <c r="D33" s="1735">
        <v>7</v>
      </c>
      <c r="E33" s="1734"/>
      <c r="F33" s="1734">
        <v>14700000</v>
      </c>
      <c r="G33" s="1734"/>
      <c r="H33" s="1734"/>
      <c r="I33" s="1736">
        <f t="shared" ref="I33:I48" si="1">((E33+F33)-H33)+G33</f>
        <v>14700000</v>
      </c>
      <c r="J33" s="1734">
        <v>14700000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42430000</v>
      </c>
      <c r="D49" s="1742"/>
      <c r="E49" s="1736">
        <f t="shared" ref="E49:J49" si="2">SUM(E31:E48)</f>
        <v>25620000</v>
      </c>
      <c r="F49" s="1736">
        <f t="shared" si="2"/>
        <v>14700000</v>
      </c>
      <c r="G49" s="1736">
        <f t="shared" si="2"/>
        <v>0</v>
      </c>
      <c r="H49" s="1736">
        <f t="shared" si="2"/>
        <v>2170000</v>
      </c>
      <c r="I49" s="1736">
        <f t="shared" si="2"/>
        <v>38150000</v>
      </c>
      <c r="J49" s="1736">
        <f t="shared" si="2"/>
        <v>36229490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8" t="s">
        <v>580</v>
      </c>
      <c r="C52" s="2319"/>
      <c r="D52" s="2319"/>
      <c r="E52" s="603" t="s">
        <v>840</v>
      </c>
      <c r="F52" s="2320" t="s">
        <v>2062</v>
      </c>
      <c r="G52" s="2321"/>
      <c r="H52" s="596"/>
      <c r="I52" s="596"/>
      <c r="J52" s="600"/>
    </row>
    <row r="53" spans="1:11" ht="11.25" customHeight="1" x14ac:dyDescent="0.2">
      <c r="A53" s="604" t="s">
        <v>907</v>
      </c>
      <c r="B53" s="605" t="s">
        <v>945</v>
      </c>
      <c r="C53" s="600"/>
      <c r="D53" s="597"/>
      <c r="E53" s="603" t="s">
        <v>494</v>
      </c>
      <c r="F53" s="2322"/>
      <c r="G53" s="2323"/>
      <c r="H53" s="596"/>
      <c r="I53" s="596"/>
      <c r="J53" s="600"/>
    </row>
    <row r="54" spans="1:11" ht="11.25" customHeight="1" x14ac:dyDescent="0.2">
      <c r="A54" s="606" t="s">
        <v>908</v>
      </c>
      <c r="B54" s="601" t="s">
        <v>946</v>
      </c>
      <c r="C54" s="600"/>
      <c r="D54" s="597"/>
      <c r="E54" s="603" t="s">
        <v>495</v>
      </c>
      <c r="F54" s="2322"/>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J11" sqref="J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4" t="s">
        <v>851</v>
      </c>
      <c r="B1" s="2355"/>
      <c r="C1" s="2355"/>
      <c r="D1" s="2355"/>
      <c r="E1" s="2355"/>
      <c r="F1" s="2355"/>
      <c r="G1" s="2356"/>
      <c r="H1" s="1298"/>
      <c r="I1" s="614"/>
      <c r="J1" s="400"/>
    </row>
    <row r="2" spans="1:11" ht="26.25" x14ac:dyDescent="0.2">
      <c r="A2" s="2331" t="s">
        <v>1658</v>
      </c>
      <c r="B2" s="2332"/>
      <c r="C2" s="2332"/>
      <c r="D2" s="2332"/>
      <c r="E2" s="2333"/>
      <c r="F2" s="615" t="s">
        <v>898</v>
      </c>
      <c r="G2" s="616" t="s">
        <v>1655</v>
      </c>
      <c r="H2" s="616" t="s">
        <v>407</v>
      </c>
      <c r="I2" s="616" t="s">
        <v>1148</v>
      </c>
      <c r="J2" s="616" t="s">
        <v>1786</v>
      </c>
      <c r="K2" s="616" t="s">
        <v>137</v>
      </c>
    </row>
    <row r="3" spans="1:11" x14ac:dyDescent="0.2">
      <c r="A3" s="2334" t="str">
        <f>"Cash Basis Fund Balance as of July 1, "&amp;'AFR20'!E2-1</f>
        <v>Cash Basis Fund Balance as of July 1, 2019</v>
      </c>
      <c r="B3" s="2335"/>
      <c r="C3" s="2335"/>
      <c r="D3" s="2335"/>
      <c r="E3" s="2336"/>
      <c r="F3" s="617"/>
      <c r="G3" s="1744"/>
      <c r="H3" s="1744"/>
      <c r="I3" s="1744"/>
      <c r="J3" s="1745">
        <v>1981200</v>
      </c>
      <c r="K3" s="1745"/>
    </row>
    <row r="4" spans="1:11" x14ac:dyDescent="0.2">
      <c r="A4" s="2337" t="s">
        <v>366</v>
      </c>
      <c r="B4" s="2338"/>
      <c r="C4" s="2338"/>
      <c r="D4" s="2338"/>
      <c r="E4" s="2319"/>
      <c r="F4" s="620"/>
      <c r="G4" s="1746"/>
      <c r="H4" s="1747"/>
      <c r="I4" s="1746"/>
      <c r="J4" s="1748"/>
      <c r="K4" s="1748"/>
    </row>
    <row r="5" spans="1:11" x14ac:dyDescent="0.2">
      <c r="A5" s="2357" t="s">
        <v>1060</v>
      </c>
      <c r="B5" s="2328"/>
      <c r="C5" s="2328"/>
      <c r="D5" s="2328"/>
      <c r="E5" s="2358"/>
      <c r="F5" s="622" t="s">
        <v>843</v>
      </c>
      <c r="G5" s="1749"/>
      <c r="H5" s="1744">
        <f>'Revenues 9-14'!C7</f>
        <v>222855</v>
      </c>
      <c r="I5" s="1750"/>
      <c r="J5" s="1751"/>
      <c r="K5" s="1751"/>
    </row>
    <row r="6" spans="1:11" x14ac:dyDescent="0.2">
      <c r="A6" s="625" t="s">
        <v>715</v>
      </c>
      <c r="B6" s="626"/>
      <c r="C6" s="626"/>
      <c r="D6" s="626"/>
      <c r="E6" s="627"/>
      <c r="F6" s="628" t="s">
        <v>844</v>
      </c>
      <c r="G6" s="1744"/>
      <c r="H6" s="1744"/>
      <c r="I6" s="1744"/>
      <c r="J6" s="1745">
        <f>'Revenues 9-14'!H65</f>
        <v>34135</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f>'Revenues 9-14'!H103</f>
        <v>3157550</v>
      </c>
      <c r="K8" s="1748"/>
    </row>
    <row r="9" spans="1:11" x14ac:dyDescent="0.2">
      <c r="A9" s="629" t="s">
        <v>137</v>
      </c>
      <c r="B9" s="630"/>
      <c r="C9" s="630"/>
      <c r="D9" s="630"/>
      <c r="E9" s="631"/>
      <c r="F9" s="628" t="s">
        <v>848</v>
      </c>
      <c r="G9" s="1753"/>
      <c r="H9" s="1749"/>
      <c r="I9" s="1749"/>
      <c r="J9" s="1752"/>
      <c r="K9" s="1745"/>
    </row>
    <row r="10" spans="1:11" x14ac:dyDescent="0.2">
      <c r="A10" s="2357" t="s">
        <v>1787</v>
      </c>
      <c r="B10" s="2328"/>
      <c r="C10" s="2328"/>
      <c r="D10" s="2328"/>
      <c r="E10" s="2359"/>
      <c r="F10" s="633" t="s">
        <v>857</v>
      </c>
      <c r="G10" s="1753"/>
      <c r="H10" s="1754"/>
      <c r="I10" s="1744"/>
      <c r="J10" s="1745">
        <v>50000</v>
      </c>
      <c r="K10" s="1745"/>
    </row>
    <row r="11" spans="1:11" x14ac:dyDescent="0.2">
      <c r="A11" s="2357" t="s">
        <v>159</v>
      </c>
      <c r="B11" s="2328"/>
      <c r="C11" s="2328"/>
      <c r="D11" s="2328"/>
      <c r="E11" s="2358"/>
      <c r="F11" s="622" t="s">
        <v>847</v>
      </c>
      <c r="G11" s="1749"/>
      <c r="H11" s="1744"/>
      <c r="I11" s="1744"/>
      <c r="J11" s="1745">
        <f>'Acct Summary 7-8'!H77</f>
        <v>17199002</v>
      </c>
      <c r="K11" s="1751"/>
    </row>
    <row r="12" spans="1:11" ht="13.5" thickBot="1" x14ac:dyDescent="0.25">
      <c r="A12" s="2345" t="s">
        <v>899</v>
      </c>
      <c r="B12" s="2346"/>
      <c r="C12" s="2346"/>
      <c r="D12" s="2346"/>
      <c r="E12" s="2347"/>
      <c r="F12" s="1433"/>
      <c r="G12" s="1755">
        <f>SUM(G5:G11)</f>
        <v>0</v>
      </c>
      <c r="H12" s="1755">
        <f>SUM(H5:H11)</f>
        <v>222855</v>
      </c>
      <c r="I12" s="1755">
        <f>SUM(I5:I11)</f>
        <v>0</v>
      </c>
      <c r="J12" s="1755">
        <f>SUM(J5:J11)</f>
        <v>20440687</v>
      </c>
      <c r="K12" s="1755">
        <f>SUM(K5:K11)</f>
        <v>0</v>
      </c>
    </row>
    <row r="13" spans="1:11" ht="13.5" thickTop="1" x14ac:dyDescent="0.2">
      <c r="A13" s="2339" t="s">
        <v>367</v>
      </c>
      <c r="B13" s="2340"/>
      <c r="C13" s="2340"/>
      <c r="D13" s="2340"/>
      <c r="E13" s="2341"/>
      <c r="F13" s="634"/>
      <c r="G13" s="1756"/>
      <c r="H13" s="1757"/>
      <c r="I13" s="1758"/>
      <c r="J13" s="1758"/>
      <c r="K13" s="1758"/>
    </row>
    <row r="14" spans="1:11" x14ac:dyDescent="0.2">
      <c r="A14" s="2363" t="s">
        <v>453</v>
      </c>
      <c r="B14" s="2363"/>
      <c r="C14" s="2363"/>
      <c r="D14" s="2363"/>
      <c r="E14" s="2364"/>
      <c r="F14" s="635" t="s">
        <v>849</v>
      </c>
      <c r="G14" s="1753"/>
      <c r="H14" s="1744">
        <f>H5</f>
        <v>222855</v>
      </c>
      <c r="I14" s="1749"/>
      <c r="J14" s="1751"/>
      <c r="K14" s="1745"/>
    </row>
    <row r="15" spans="1:11" x14ac:dyDescent="0.2">
      <c r="A15" s="2328" t="s">
        <v>4</v>
      </c>
      <c r="B15" s="2328"/>
      <c r="C15" s="2328"/>
      <c r="D15" s="2328"/>
      <c r="E15" s="2358"/>
      <c r="F15" s="635" t="s">
        <v>850</v>
      </c>
      <c r="G15" s="1749"/>
      <c r="H15" s="1744"/>
      <c r="I15" s="1744"/>
      <c r="J15" s="1745">
        <f>'Expenditures 15-22'!K312</f>
        <v>4436278</v>
      </c>
      <c r="K15" s="1745"/>
    </row>
    <row r="16" spans="1:11" x14ac:dyDescent="0.2">
      <c r="A16" s="2328" t="s">
        <v>295</v>
      </c>
      <c r="B16" s="2328"/>
      <c r="C16" s="2328"/>
      <c r="D16" s="2328"/>
      <c r="E16" s="2358"/>
      <c r="F16" s="635" t="s">
        <v>917</v>
      </c>
      <c r="G16" s="1750"/>
      <c r="H16" s="1746"/>
      <c r="I16" s="1746"/>
      <c r="J16" s="1748"/>
      <c r="K16" s="1748"/>
    </row>
    <row r="17" spans="1:15" x14ac:dyDescent="0.2">
      <c r="A17" s="2352" t="s">
        <v>929</v>
      </c>
      <c r="B17" s="2352"/>
      <c r="C17" s="2352"/>
      <c r="D17" s="2352"/>
      <c r="E17" s="2353"/>
      <c r="F17" s="636"/>
      <c r="G17" s="1759"/>
      <c r="H17" s="1760"/>
      <c r="I17" s="1760"/>
      <c r="J17" s="1761"/>
      <c r="K17" s="1762"/>
    </row>
    <row r="18" spans="1:15" x14ac:dyDescent="0.2">
      <c r="A18" s="2342" t="s">
        <v>365</v>
      </c>
      <c r="B18" s="2343"/>
      <c r="C18" s="2343"/>
      <c r="D18" s="2343"/>
      <c r="E18" s="2344"/>
      <c r="F18" s="635" t="s">
        <v>926</v>
      </c>
      <c r="G18" s="1753"/>
      <c r="H18" s="1753"/>
      <c r="I18" s="1753"/>
      <c r="J18" s="1745"/>
      <c r="K18" s="1763"/>
    </row>
    <row r="19" spans="1:15" ht="21.75" customHeight="1" x14ac:dyDescent="0.2">
      <c r="A19" s="2365" t="s">
        <v>1783</v>
      </c>
      <c r="B19" s="2365"/>
      <c r="C19" s="2365"/>
      <c r="D19" s="2365"/>
      <c r="E19" s="2366"/>
      <c r="F19" s="635" t="s">
        <v>927</v>
      </c>
      <c r="G19" s="1753"/>
      <c r="H19" s="1753"/>
      <c r="I19" s="1753"/>
      <c r="J19" s="1745"/>
      <c r="K19" s="1763"/>
    </row>
    <row r="20" spans="1:15" x14ac:dyDescent="0.2">
      <c r="A20" s="2342" t="s">
        <v>1788</v>
      </c>
      <c r="B20" s="2343"/>
      <c r="C20" s="2343"/>
      <c r="D20" s="2343"/>
      <c r="E20" s="2344"/>
      <c r="F20" s="635" t="s">
        <v>928</v>
      </c>
      <c r="G20" s="1753"/>
      <c r="H20" s="1753"/>
      <c r="I20" s="1753"/>
      <c r="J20" s="1745"/>
      <c r="K20" s="1763"/>
    </row>
    <row r="21" spans="1:15" ht="13.5" thickBot="1" x14ac:dyDescent="0.25">
      <c r="A21" s="2348" t="s">
        <v>633</v>
      </c>
      <c r="B21" s="2348"/>
      <c r="C21" s="2348"/>
      <c r="D21" s="2348"/>
      <c r="E21" s="2348"/>
      <c r="F21" s="1434"/>
      <c r="G21" s="1760"/>
      <c r="H21" s="1764"/>
      <c r="I21" s="1764"/>
      <c r="J21" s="1765">
        <f>SUM(J18:J20)</f>
        <v>0</v>
      </c>
      <c r="K21" s="1761"/>
    </row>
    <row r="22" spans="1:15" ht="13.5" thickTop="1" x14ac:dyDescent="0.2">
      <c r="A22" s="2328" t="s">
        <v>1789</v>
      </c>
      <c r="B22" s="2328"/>
      <c r="C22" s="2328"/>
      <c r="D22" s="2328"/>
      <c r="E22" s="2358"/>
      <c r="F22" s="635" t="s">
        <v>857</v>
      </c>
      <c r="G22" s="1753"/>
      <c r="H22" s="1744"/>
      <c r="I22" s="1744"/>
      <c r="J22" s="1766"/>
      <c r="K22" s="1745"/>
    </row>
    <row r="23" spans="1:15" ht="13.5" thickBot="1" x14ac:dyDescent="0.25">
      <c r="A23" s="2349" t="s">
        <v>900</v>
      </c>
      <c r="B23" s="2348"/>
      <c r="C23" s="2348"/>
      <c r="D23" s="2348"/>
      <c r="E23" s="2348"/>
      <c r="F23" s="1436"/>
      <c r="G23" s="1755">
        <f>SUM(G14:G16,G21,G22)</f>
        <v>0</v>
      </c>
      <c r="H23" s="1755">
        <f>SUM(H14:H16,H21,H22)</f>
        <v>222855</v>
      </c>
      <c r="I23" s="1755">
        <f>SUM(I14:I16,I21,I22)</f>
        <v>0</v>
      </c>
      <c r="J23" s="1755">
        <f>SUM(J14:J16,J21,J22)</f>
        <v>4436278</v>
      </c>
      <c r="K23" s="1755">
        <f>SUM(K14:K16,K21,K22)</f>
        <v>0</v>
      </c>
      <c r="M23" s="1846"/>
      <c r="N23" s="1846"/>
      <c r="O23" s="1846"/>
    </row>
    <row r="24" spans="1:15" ht="14.25" thickTop="1" thickBot="1" x14ac:dyDescent="0.25">
      <c r="A24" s="2350" t="str">
        <f>"Ending Cash Basis Fund Balance as of June 30, "&amp;'AFR20'!E2</f>
        <v>Ending Cash Basis Fund Balance as of June 30, 2020</v>
      </c>
      <c r="B24" s="2351"/>
      <c r="C24" s="2351"/>
      <c r="D24" s="2351"/>
      <c r="E24" s="2351"/>
      <c r="F24" s="1437"/>
      <c r="G24" s="1767">
        <f>SUM(G3,G12)-G23</f>
        <v>0</v>
      </c>
      <c r="H24" s="1767">
        <f>SUM(H3,H12)-H23</f>
        <v>0</v>
      </c>
      <c r="I24" s="1767">
        <f>SUM(I3,I12)-I23</f>
        <v>0</v>
      </c>
      <c r="J24" s="1767">
        <f>SUM(J3,J12)-J23</f>
        <v>17985609</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17985609</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0"/>
      <c r="I31" s="2361"/>
      <c r="J31" s="2361"/>
      <c r="K31" s="2361"/>
    </row>
    <row r="32" spans="1:15" x14ac:dyDescent="0.2">
      <c r="A32" s="649"/>
      <c r="B32" s="232"/>
      <c r="C32" s="232"/>
      <c r="D32" s="232"/>
      <c r="E32" s="645"/>
      <c r="F32" s="651" t="s">
        <v>537</v>
      </c>
      <c r="G32" s="618"/>
      <c r="H32" s="2362"/>
      <c r="I32" s="2361"/>
      <c r="J32" s="2361"/>
      <c r="K32" s="2361"/>
    </row>
    <row r="33" spans="1:11" ht="1.5" customHeight="1" x14ac:dyDescent="0.2">
      <c r="A33" s="652" t="s">
        <v>1159</v>
      </c>
      <c r="B33" s="341"/>
      <c r="C33" s="341"/>
      <c r="D33" s="341"/>
      <c r="E33" s="341"/>
      <c r="F33" s="341"/>
      <c r="G33" s="653"/>
      <c r="H33" s="2362"/>
      <c r="I33" s="2361"/>
      <c r="J33" s="2361"/>
      <c r="K33" s="2361"/>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8" t="s">
        <v>538</v>
      </c>
      <c r="B41" s="2329"/>
      <c r="C41" s="2329"/>
      <c r="D41" s="2329"/>
      <c r="E41" s="2329"/>
      <c r="F41" s="233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23" sqref="H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1872</v>
      </c>
      <c r="B1" s="2370"/>
      <c r="C1" s="2371"/>
      <c r="D1" s="666"/>
      <c r="E1" s="667"/>
      <c r="F1" s="667"/>
      <c r="G1" s="668"/>
      <c r="H1" s="669"/>
      <c r="I1" s="670"/>
      <c r="J1" s="2367"/>
      <c r="K1" s="2368"/>
      <c r="L1" s="236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2439266</v>
      </c>
      <c r="D5" s="1770"/>
      <c r="E5" s="1770"/>
      <c r="F5" s="1765">
        <f>(C5+D5)-E5</f>
        <v>2439266</v>
      </c>
      <c r="G5" s="676"/>
      <c r="H5" s="680"/>
      <c r="I5" s="680"/>
      <c r="J5" s="680"/>
      <c r="K5" s="637"/>
      <c r="L5" s="1442">
        <f>F5-K5</f>
        <v>2439266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79055573</v>
      </c>
      <c r="D8" s="1771">
        <v>1682042</v>
      </c>
      <c r="E8" s="1771"/>
      <c r="F8" s="1765">
        <f>(C8+D8)-E8</f>
        <v>80737615</v>
      </c>
      <c r="G8" s="681">
        <v>50</v>
      </c>
      <c r="H8" s="619">
        <v>31248788</v>
      </c>
      <c r="I8" s="619">
        <v>1407508</v>
      </c>
      <c r="J8" s="619"/>
      <c r="K8" s="1442">
        <f>(H8+I8)-J8</f>
        <v>32656296</v>
      </c>
      <c r="L8" s="1442">
        <f>F8-K8</f>
        <v>48081319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3452602</v>
      </c>
      <c r="D10" s="1772">
        <v>1129333</v>
      </c>
      <c r="E10" s="1772"/>
      <c r="F10" s="1773">
        <f>(C10+D10)-E10</f>
        <v>4581935</v>
      </c>
      <c r="G10" s="681">
        <v>20</v>
      </c>
      <c r="H10" s="683">
        <v>2369596</v>
      </c>
      <c r="I10" s="683">
        <v>182140</v>
      </c>
      <c r="J10" s="683"/>
      <c r="K10" s="1442">
        <f>(H10+I10)-J10</f>
        <v>2551736</v>
      </c>
      <c r="L10" s="1442">
        <f>F10-K10</f>
        <v>2030199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3164769</v>
      </c>
      <c r="D12" s="1771">
        <v>190777</v>
      </c>
      <c r="E12" s="1771"/>
      <c r="F12" s="1765">
        <f>(C12+D12)-E12</f>
        <v>3355546</v>
      </c>
      <c r="G12" s="681">
        <v>10</v>
      </c>
      <c r="H12" s="619">
        <v>2320316</v>
      </c>
      <c r="I12" s="619">
        <f>9141+6903+105071+3107+14621</f>
        <v>138843</v>
      </c>
      <c r="J12" s="619"/>
      <c r="K12" s="1442">
        <f>(H12+I12)-J12</f>
        <v>2459159</v>
      </c>
      <c r="L12" s="1442">
        <f>F12-K12</f>
        <v>896387</v>
      </c>
    </row>
    <row r="13" spans="1:14" ht="14.25" thickTop="1" thickBot="1" x14ac:dyDescent="0.25">
      <c r="A13" s="684" t="s">
        <v>1112</v>
      </c>
      <c r="B13" s="679">
        <v>252</v>
      </c>
      <c r="C13" s="1771">
        <v>626609</v>
      </c>
      <c r="D13" s="1771">
        <v>56425</v>
      </c>
      <c r="E13" s="1771"/>
      <c r="F13" s="1765">
        <f>(C13+D13)-E13</f>
        <v>683034</v>
      </c>
      <c r="G13" s="681">
        <v>5</v>
      </c>
      <c r="H13" s="619">
        <v>582193</v>
      </c>
      <c r="I13" s="619">
        <v>45639</v>
      </c>
      <c r="J13" s="619"/>
      <c r="K13" s="1442">
        <f>(H13+I13)-J13</f>
        <v>627832</v>
      </c>
      <c r="L13" s="1442">
        <f>F13-K13</f>
        <v>55202</v>
      </c>
    </row>
    <row r="14" spans="1:14" ht="14.25" thickTop="1" thickBot="1" x14ac:dyDescent="0.25">
      <c r="A14" s="684" t="s">
        <v>1113</v>
      </c>
      <c r="B14" s="679">
        <v>253</v>
      </c>
      <c r="C14" s="1745">
        <v>404607</v>
      </c>
      <c r="D14" s="1745"/>
      <c r="E14" s="1745"/>
      <c r="F14" s="1765">
        <f>(C14+D14)-E14</f>
        <v>404607</v>
      </c>
      <c r="G14" s="681">
        <v>3</v>
      </c>
      <c r="H14" s="619">
        <v>398137</v>
      </c>
      <c r="I14" s="619">
        <v>3235</v>
      </c>
      <c r="J14" s="619"/>
      <c r="K14" s="1442">
        <f>(H14+I14)-J14</f>
        <v>401372</v>
      </c>
      <c r="L14" s="1442">
        <f>F14-K14</f>
        <v>3235</v>
      </c>
    </row>
    <row r="15" spans="1:14" ht="15" customHeight="1" thickTop="1" thickBot="1" x14ac:dyDescent="0.25">
      <c r="A15" s="1366" t="s">
        <v>525</v>
      </c>
      <c r="B15" s="1365">
        <v>260</v>
      </c>
      <c r="C15" s="1771">
        <v>915878</v>
      </c>
      <c r="D15" s="1771">
        <v>2452612</v>
      </c>
      <c r="E15" s="1771">
        <v>915878</v>
      </c>
      <c r="F15" s="1765">
        <f>(C15+D15)-E15</f>
        <v>2452612</v>
      </c>
      <c r="G15" s="685" t="s">
        <v>857</v>
      </c>
      <c r="H15" s="632"/>
      <c r="I15" s="632"/>
      <c r="J15" s="632"/>
      <c r="K15" s="632"/>
      <c r="L15" s="1442">
        <f>F15-K15</f>
        <v>2452612</v>
      </c>
    </row>
    <row r="16" spans="1:14" ht="15" customHeight="1" thickTop="1" thickBot="1" x14ac:dyDescent="0.25">
      <c r="A16" s="1438" t="s">
        <v>638</v>
      </c>
      <c r="B16" s="1439">
        <v>200</v>
      </c>
      <c r="C16" s="1765">
        <f>SUM(C3,C5:C6,C8:C10,C12:C15)</f>
        <v>90059304</v>
      </c>
      <c r="D16" s="1765">
        <f>SUM(D3,D5:D6,D8:D10,D12:D15)</f>
        <v>5511189</v>
      </c>
      <c r="E16" s="1765">
        <f>SUM(E3,E5:E6,E8:E10,E12:E15)</f>
        <v>915878</v>
      </c>
      <c r="F16" s="1765">
        <f>SUM(F3,F5:F6,F8:F10,F12:F15)</f>
        <v>94654615</v>
      </c>
      <c r="G16" s="681"/>
      <c r="H16" s="1435">
        <f>SUM(H3,H6,H8:H10,H12:H14,)</f>
        <v>36919030</v>
      </c>
      <c r="I16" s="1435">
        <f>SUM(I3,I6,I8:I10,I12:I14,)</f>
        <v>1777365</v>
      </c>
      <c r="J16" s="1435">
        <f>SUM(J3,J6,J8:J10,J12:J14,)</f>
        <v>0</v>
      </c>
      <c r="K16" s="1435">
        <f>(H16+I16)-J16</f>
        <v>38696395</v>
      </c>
      <c r="L16" s="1435">
        <f>F16-K16</f>
        <v>55958220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234390</v>
      </c>
      <c r="G17" s="676">
        <v>10</v>
      </c>
      <c r="H17" s="621"/>
      <c r="I17" s="1442">
        <f>F17/G17</f>
        <v>23439</v>
      </c>
      <c r="J17" s="621"/>
      <c r="K17" s="638"/>
      <c r="L17" s="638"/>
    </row>
    <row r="18" spans="1:12" ht="14.25" thickTop="1" thickBot="1" x14ac:dyDescent="0.25">
      <c r="A18" s="1440" t="s">
        <v>680</v>
      </c>
      <c r="B18" s="1441"/>
      <c r="C18" s="623"/>
      <c r="D18" s="623"/>
      <c r="E18" s="623"/>
      <c r="F18" s="686"/>
      <c r="G18" s="687"/>
      <c r="H18" s="624"/>
      <c r="I18" s="1435">
        <f>SUM(I16,I17)</f>
        <v>1800804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61" colorId="8" zoomScale="90" zoomScaleNormal="90" workbookViewId="0">
      <selection activeCell="K75" sqref="K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1"/>
      <c r="B5" s="2382"/>
      <c r="C5" s="2382"/>
      <c r="D5" s="2382"/>
      <c r="E5" s="2382"/>
      <c r="F5" s="2382"/>
    </row>
    <row r="6" spans="1:9" ht="13.5" customHeight="1" thickBot="1" x14ac:dyDescent="0.25">
      <c r="A6" s="2372" t="s">
        <v>1095</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66972131</v>
      </c>
      <c r="G8" s="701"/>
    </row>
    <row r="9" spans="1:9" x14ac:dyDescent="0.2">
      <c r="A9" s="705" t="s">
        <v>457</v>
      </c>
      <c r="B9" s="706" t="s">
        <v>1845</v>
      </c>
      <c r="C9" s="707"/>
      <c r="D9" s="705" t="s">
        <v>498</v>
      </c>
      <c r="E9" s="704"/>
      <c r="F9" s="1775">
        <f>'Expenditures 15-22'!K151</f>
        <v>5233581</v>
      </c>
      <c r="G9" s="708"/>
    </row>
    <row r="10" spans="1:9" x14ac:dyDescent="0.2">
      <c r="A10" s="705" t="s">
        <v>496</v>
      </c>
      <c r="B10" s="706" t="s">
        <v>1846</v>
      </c>
      <c r="C10" s="707"/>
      <c r="D10" s="705" t="s">
        <v>498</v>
      </c>
      <c r="E10" s="704"/>
      <c r="F10" s="1775">
        <f>'Expenditures 15-22'!K174</f>
        <v>3152443</v>
      </c>
      <c r="G10" s="708"/>
    </row>
    <row r="11" spans="1:9" x14ac:dyDescent="0.2">
      <c r="A11" s="705" t="s">
        <v>458</v>
      </c>
      <c r="B11" s="706" t="s">
        <v>1847</v>
      </c>
      <c r="C11" s="707"/>
      <c r="D11" s="705" t="s">
        <v>498</v>
      </c>
      <c r="E11" s="704"/>
      <c r="F11" s="1775">
        <f>'Expenditures 15-22'!K210</f>
        <v>1445370</v>
      </c>
      <c r="G11" s="708"/>
    </row>
    <row r="12" spans="1:9" x14ac:dyDescent="0.2">
      <c r="A12" s="705" t="s">
        <v>459</v>
      </c>
      <c r="B12" s="706" t="s">
        <v>1848</v>
      </c>
      <c r="C12" s="707"/>
      <c r="D12" s="705" t="s">
        <v>498</v>
      </c>
      <c r="E12" s="704"/>
      <c r="F12" s="1775">
        <f>'Expenditures 15-22'!K295</f>
        <v>2153192</v>
      </c>
      <c r="G12" s="708"/>
    </row>
    <row r="13" spans="1:9" x14ac:dyDescent="0.2">
      <c r="A13" s="705" t="s">
        <v>106</v>
      </c>
      <c r="B13" s="706" t="s">
        <v>1849</v>
      </c>
      <c r="C13" s="707"/>
      <c r="D13" s="705" t="s">
        <v>498</v>
      </c>
      <c r="E13" s="704"/>
      <c r="F13" s="1775">
        <f>'Expenditures 15-22'!K342</f>
        <v>983434</v>
      </c>
      <c r="G13" s="709"/>
    </row>
    <row r="14" spans="1:9" ht="12" customHeight="1" thickBot="1" x14ac:dyDescent="0.25">
      <c r="A14" s="1443"/>
      <c r="B14" s="1444"/>
      <c r="C14" s="1445"/>
      <c r="D14" s="1446" t="s">
        <v>498</v>
      </c>
      <c r="E14" s="1447" t="s">
        <v>952</v>
      </c>
      <c r="F14" s="1776">
        <f>SUM(F8:F13)</f>
        <v>79940151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346056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948687</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87199</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3514579</v>
      </c>
      <c r="G52" s="701"/>
    </row>
    <row r="53" spans="1:7" x14ac:dyDescent="0.2">
      <c r="A53" s="705" t="s">
        <v>456</v>
      </c>
      <c r="B53" s="705" t="s">
        <v>1458</v>
      </c>
      <c r="C53" s="724">
        <f>'Expenditures 15-22'!B102</f>
        <v>4000</v>
      </c>
      <c r="D53" s="723" t="str">
        <f>'Expenditures 15-22'!A102</f>
        <v>Total Payments to Other Govt Units</v>
      </c>
      <c r="E53" s="704"/>
      <c r="F53" s="1782">
        <f>'Expenditures 15-22'!K102</f>
        <v>2747316</v>
      </c>
      <c r="G53" s="701"/>
    </row>
    <row r="54" spans="1:7" x14ac:dyDescent="0.2">
      <c r="A54" s="705" t="s">
        <v>456</v>
      </c>
      <c r="B54" s="705" t="s">
        <v>1459</v>
      </c>
      <c r="C54" s="724" t="s">
        <v>975</v>
      </c>
      <c r="D54" s="720" t="s">
        <v>1086</v>
      </c>
      <c r="E54" s="704"/>
      <c r="F54" s="1782">
        <f>'Expenditures 15-22'!G114</f>
        <v>183537</v>
      </c>
      <c r="G54" s="701"/>
    </row>
    <row r="55" spans="1:7" x14ac:dyDescent="0.2">
      <c r="A55" s="705" t="s">
        <v>456</v>
      </c>
      <c r="B55" s="705" t="s">
        <v>1460</v>
      </c>
      <c r="C55" s="724" t="s">
        <v>975</v>
      </c>
      <c r="D55" s="720" t="s">
        <v>288</v>
      </c>
      <c r="E55" s="704"/>
      <c r="F55" s="1782">
        <f>'Expenditures 15-22'!I114</f>
        <v>226887</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268693</v>
      </c>
      <c r="G58" s="701"/>
    </row>
    <row r="59" spans="1:7" x14ac:dyDescent="0.2">
      <c r="A59" s="728" t="s">
        <v>457</v>
      </c>
      <c r="B59" s="692" t="s">
        <v>1852</v>
      </c>
      <c r="C59" s="729" t="s">
        <v>975</v>
      </c>
      <c r="D59" s="692" t="s">
        <v>288</v>
      </c>
      <c r="F59" s="1785">
        <f>'Expenditures 15-22'!I151</f>
        <v>7503</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2170000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48743</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39563</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1689</v>
      </c>
      <c r="G71" s="701"/>
    </row>
    <row r="72" spans="1:9" x14ac:dyDescent="0.2">
      <c r="A72" s="705" t="s">
        <v>459</v>
      </c>
      <c r="B72" s="705" t="s">
        <v>1864</v>
      </c>
      <c r="C72" s="721">
        <f>'Expenditures 15-22'!B280</f>
        <v>3000</v>
      </c>
      <c r="D72" s="712" t="s">
        <v>446</v>
      </c>
      <c r="E72" s="704"/>
      <c r="F72" s="1782">
        <f>'Expenditures 15-22'!K280</f>
        <v>3782</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10594234</v>
      </c>
      <c r="G77" s="701"/>
    </row>
    <row r="78" spans="1:9" s="728" customFormat="1" ht="12" customHeight="1" thickTop="1" thickBot="1" x14ac:dyDescent="0.25">
      <c r="A78" s="1450"/>
      <c r="B78" s="1448"/>
      <c r="C78" s="1445"/>
      <c r="D78" s="1449" t="s">
        <v>2009</v>
      </c>
      <c r="E78" s="1447"/>
      <c r="F78" s="1788">
        <f>(F14-F77)</f>
        <v>69345917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5610.9</v>
      </c>
      <c r="G79" s="733"/>
      <c r="H79" s="705"/>
      <c r="I79" s="705"/>
    </row>
    <row r="80" spans="1:9" s="728" customFormat="1" ht="12" customHeight="1" thickBot="1" x14ac:dyDescent="0.25">
      <c r="A80" s="1452"/>
      <c r="B80" s="1448"/>
      <c r="C80" s="1445"/>
      <c r="D80" s="1449" t="s">
        <v>2010</v>
      </c>
      <c r="E80" s="1447" t="s">
        <v>952</v>
      </c>
      <c r="F80" s="1790">
        <f>IF(F79&gt;0,F78/F79," Complete Line 79")</f>
        <v>12359.143274697464</v>
      </c>
      <c r="G80" s="705"/>
    </row>
    <row r="81" spans="1:7" s="728" customFormat="1" ht="8.25" customHeight="1" thickTop="1" x14ac:dyDescent="0.2">
      <c r="A81" s="734"/>
      <c r="B81" s="705"/>
      <c r="C81" s="707"/>
      <c r="D81" s="735"/>
      <c r="E81" s="704"/>
      <c r="F81" s="1791"/>
      <c r="G81" s="705"/>
    </row>
    <row r="82" spans="1:7" s="728" customFormat="1" ht="12" thickBot="1" x14ac:dyDescent="0.25">
      <c r="A82" s="2372" t="s">
        <v>1096</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54761</v>
      </c>
      <c r="G95" s="745"/>
    </row>
    <row r="96" spans="1:7" x14ac:dyDescent="0.2">
      <c r="A96" s="741" t="s">
        <v>139</v>
      </c>
      <c r="B96" s="741" t="s">
        <v>174</v>
      </c>
      <c r="C96" s="743">
        <v>1700</v>
      </c>
      <c r="D96" s="751" t="str">
        <f>'Revenues 9-14'!A82</f>
        <v>Total District/School Activity Income</v>
      </c>
      <c r="E96" s="739"/>
      <c r="F96" s="1793">
        <f>SUM('Revenues 9-14'!C82,'Revenues 9-14'!D82)</f>
        <v>162319</v>
      </c>
      <c r="G96" s="745"/>
    </row>
    <row r="97" spans="1:7" x14ac:dyDescent="0.2">
      <c r="A97" s="741" t="s">
        <v>456</v>
      </c>
      <c r="B97" s="741" t="s">
        <v>175</v>
      </c>
      <c r="C97" s="743">
        <f>'Revenues 9-14'!B84</f>
        <v>1811</v>
      </c>
      <c r="D97" s="744" t="str">
        <f>'Revenues 9-14'!A84</f>
        <v>Rentals - Regular Textbooks</v>
      </c>
      <c r="E97" s="739"/>
      <c r="F97" s="1793">
        <f>'Revenues 9-14'!C84</f>
        <v>92411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178415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41000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59704</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62116</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47304</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53404</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736908</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-8631</v>
      </c>
      <c r="G122" s="763"/>
    </row>
    <row r="123" spans="1:7" x14ac:dyDescent="0.2">
      <c r="A123" s="760" t="s">
        <v>456</v>
      </c>
      <c r="B123" s="760" t="s">
        <v>1924</v>
      </c>
      <c r="C123" s="765">
        <f>'Revenues 9-14'!B177</f>
        <v>4045</v>
      </c>
      <c r="D123" s="762" t="str">
        <f>'Revenues 9-14'!A177 &amp; " (Subtract)"</f>
        <v>Head Start (Subtract)</v>
      </c>
      <c r="E123" s="739"/>
      <c r="F123" s="1793">
        <f>SUM(-'Revenues 9-14'!C177)</f>
        <v>-2727960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2727960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3194250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2977007</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454115</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1665734</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19028</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9466</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54586</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408600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190680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240693</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30418</v>
      </c>
      <c r="G171" s="760"/>
    </row>
    <row r="172" spans="1:7" x14ac:dyDescent="0.2">
      <c r="A172" s="1529" t="s">
        <v>5</v>
      </c>
      <c r="B172" s="1530" t="s">
        <v>1882</v>
      </c>
      <c r="C172" s="1531">
        <v>3100</v>
      </c>
      <c r="D172" s="1532" t="s">
        <v>1884</v>
      </c>
      <c r="E172" s="739"/>
      <c r="F172" s="1794">
        <v>0</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10724288</v>
      </c>
    </row>
    <row r="176" spans="1:7" ht="12" customHeight="1" x14ac:dyDescent="0.2">
      <c r="A176" s="1443"/>
      <c r="B176" s="1453"/>
      <c r="C176" s="1454"/>
      <c r="D176" s="1455" t="s">
        <v>2011</v>
      </c>
      <c r="E176" s="1456"/>
      <c r="F176" s="1793">
        <f>'PCTC-OEPP 27-28'!F78-F175</f>
        <v>58621629</v>
      </c>
    </row>
    <row r="177" spans="1:9" ht="12" customHeight="1" x14ac:dyDescent="0.2">
      <c r="A177" s="1443"/>
      <c r="B177" s="1453"/>
      <c r="C177" s="1454"/>
      <c r="D177" s="1455" t="s">
        <v>1791</v>
      </c>
      <c r="E177" s="1456"/>
      <c r="F177" s="1793">
        <f>'Cap Outlay Deprec 26'!I18</f>
        <v>1800804</v>
      </c>
    </row>
    <row r="178" spans="1:9" ht="12" customHeight="1" x14ac:dyDescent="0.2">
      <c r="A178" s="1443"/>
      <c r="B178" s="1453"/>
      <c r="C178" s="1454"/>
      <c r="D178" s="1455" t="s">
        <v>2012</v>
      </c>
      <c r="E178" s="1456"/>
      <c r="F178" s="1793">
        <f>F176+F177</f>
        <v>60422433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5610.9</v>
      </c>
      <c r="G179" s="763"/>
      <c r="I179" s="701"/>
    </row>
    <row r="180" spans="1:9" ht="12" customHeight="1" thickBot="1" x14ac:dyDescent="0.25">
      <c r="A180" s="1443"/>
      <c r="B180" s="1457"/>
      <c r="C180" s="1454"/>
      <c r="D180" s="1455" t="s">
        <v>2014</v>
      </c>
      <c r="E180" s="1456" t="s">
        <v>1528</v>
      </c>
      <c r="F180" s="1798">
        <f>F178/F179</f>
        <v>10768.759557290276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208"/>
  <sheetViews>
    <sheetView showGridLines="0" topLeftCell="A190" zoomScaleNormal="100" workbookViewId="0">
      <selection activeCell="B20" sqref="B20"/>
    </sheetView>
  </sheetViews>
  <sheetFormatPr defaultColWidth="9.140625"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2"/>
  </cols>
  <sheetData>
    <row r="1" spans="1:6" ht="15" customHeight="1" x14ac:dyDescent="0.25">
      <c r="A1" s="1859" t="s">
        <v>1804</v>
      </c>
      <c r="B1" s="1860"/>
      <c r="C1" s="1861"/>
      <c r="D1" s="1861"/>
      <c r="E1" s="1861"/>
      <c r="F1" s="1861"/>
    </row>
    <row r="2" spans="1:6" x14ac:dyDescent="0.25">
      <c r="A2" s="1863"/>
      <c r="B2" s="1864"/>
      <c r="C2" s="1908" t="s">
        <v>2000</v>
      </c>
      <c r="D2" s="1863"/>
      <c r="E2" s="1863"/>
      <c r="F2" s="1863"/>
    </row>
    <row r="3" spans="1:6" ht="5.25" customHeight="1" x14ac:dyDescent="0.25">
      <c r="A3" s="1865"/>
      <c r="B3" s="1866"/>
      <c r="C3" s="1865"/>
      <c r="D3" s="1865"/>
      <c r="E3" s="1865"/>
      <c r="F3" s="1865"/>
    </row>
    <row r="4" spans="1:6" ht="18.75" customHeight="1" x14ac:dyDescent="0.25">
      <c r="A4" s="2386" t="s">
        <v>1792</v>
      </c>
      <c r="B4" s="2387"/>
      <c r="C4" s="2387"/>
      <c r="D4" s="2387"/>
      <c r="E4" s="2387"/>
      <c r="F4" s="2388"/>
    </row>
    <row r="5" spans="1:6" x14ac:dyDescent="0.25">
      <c r="A5" s="2389"/>
      <c r="B5" s="2390"/>
      <c r="C5" s="2390"/>
      <c r="D5" s="2390"/>
      <c r="E5" s="2390"/>
      <c r="F5" s="2391"/>
    </row>
    <row r="6" spans="1:6" ht="18.75" x14ac:dyDescent="0.25">
      <c r="A6" s="1867" t="s">
        <v>1793</v>
      </c>
      <c r="B6" s="1868"/>
      <c r="C6" s="1869"/>
      <c r="D6" s="1869"/>
      <c r="E6" s="1869"/>
      <c r="F6" s="1870"/>
    </row>
    <row r="7" spans="1:6" ht="47.25" customHeight="1" x14ac:dyDescent="0.25">
      <c r="A7" s="2392" t="s">
        <v>1982</v>
      </c>
      <c r="B7" s="2393"/>
      <c r="C7" s="2393"/>
      <c r="D7" s="2393"/>
      <c r="E7" s="2393"/>
      <c r="F7" s="2394"/>
    </row>
    <row r="8" spans="1:6" ht="20.25" customHeight="1" x14ac:dyDescent="0.25">
      <c r="A8" s="1898" t="s">
        <v>1984</v>
      </c>
      <c r="B8" s="1899"/>
      <c r="C8" s="1899"/>
      <c r="D8" s="1899"/>
      <c r="E8" s="1871"/>
      <c r="F8" s="1872"/>
    </row>
    <row r="9" spans="1:6" ht="18" customHeight="1" x14ac:dyDescent="0.25">
      <c r="A9" s="1873" t="s">
        <v>1981</v>
      </c>
      <c r="B9" s="1875"/>
      <c r="C9" s="1875"/>
      <c r="D9" s="1875"/>
      <c r="E9" s="1871"/>
      <c r="F9" s="1872"/>
    </row>
    <row r="10" spans="1:6" ht="15.75" customHeight="1" x14ac:dyDescent="0.25">
      <c r="A10" s="2395" t="s">
        <v>1978</v>
      </c>
      <c r="B10" s="2396"/>
      <c r="C10" s="2396"/>
      <c r="D10" s="2396"/>
      <c r="E10" s="2396"/>
      <c r="F10" s="2397"/>
    </row>
    <row r="11" spans="1:6" ht="33" customHeight="1" x14ac:dyDescent="0.25">
      <c r="A11" s="2392" t="s">
        <v>1983</v>
      </c>
      <c r="B11" s="2393"/>
      <c r="C11" s="2393"/>
      <c r="D11" s="2393"/>
      <c r="E11" s="2393"/>
      <c r="F11" s="2394"/>
    </row>
    <row r="12" spans="1:6" ht="15" customHeight="1" x14ac:dyDescent="0.25">
      <c r="A12" s="1873" t="s">
        <v>1979</v>
      </c>
      <c r="B12" s="1874"/>
      <c r="C12" s="1875"/>
      <c r="D12" s="1875"/>
      <c r="E12" s="1875"/>
      <c r="F12" s="1876"/>
    </row>
    <row r="13" spans="1:6" ht="17.25" customHeight="1" x14ac:dyDescent="0.25">
      <c r="A13" s="2392" t="s">
        <v>1980</v>
      </c>
      <c r="B13" s="2393"/>
      <c r="C13" s="2393"/>
      <c r="D13" s="2393"/>
      <c r="E13" s="2393"/>
      <c r="F13" s="2394"/>
    </row>
    <row r="14" spans="1:6" ht="15" customHeight="1" x14ac:dyDescent="0.25">
      <c r="A14" s="1873" t="s">
        <v>1797</v>
      </c>
      <c r="B14" s="1874"/>
      <c r="C14" s="1875"/>
      <c r="D14" s="1875"/>
      <c r="E14" s="1875"/>
      <c r="F14" s="1876"/>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3" t="s">
        <v>1796</v>
      </c>
      <c r="C17" s="1881" t="s">
        <v>1794</v>
      </c>
      <c r="D17" s="1882">
        <v>500000</v>
      </c>
      <c r="E17" s="1882" t="str">
        <f>IF(D17&lt;25000,D17,"25,000")</f>
        <v>25,000</v>
      </c>
      <c r="F17" s="1883">
        <f>IF(D17&gt;=25000,(D17-E17),"0")</f>
        <v>475000</v>
      </c>
    </row>
    <row r="18" spans="1:7" x14ac:dyDescent="0.25">
      <c r="A18" s="2039" t="s">
        <v>2158</v>
      </c>
      <c r="B18" s="2040" t="s">
        <v>2159</v>
      </c>
      <c r="C18" s="2041" t="s">
        <v>2160</v>
      </c>
      <c r="D18" s="1884">
        <v>1120</v>
      </c>
      <c r="E18" s="2042">
        <f t="shared" ref="E18:E81" si="0">IF(D18&lt;25000,D18,"25,000")</f>
        <v>1120</v>
      </c>
      <c r="F18" s="2042" t="str">
        <f t="shared" ref="F18:F81" si="1">IF(D18&gt;=25000,(D18-E18),"0")</f>
        <v>0</v>
      </c>
      <c r="G18" s="1885"/>
    </row>
    <row r="19" spans="1:7" x14ac:dyDescent="0.25">
      <c r="A19" s="2039" t="s">
        <v>2158</v>
      </c>
      <c r="B19" s="2040" t="s">
        <v>2159</v>
      </c>
      <c r="C19" s="2041" t="s">
        <v>2161</v>
      </c>
      <c r="D19" s="1884">
        <v>1157</v>
      </c>
      <c r="E19" s="2042">
        <f t="shared" si="0"/>
        <v>1157</v>
      </c>
      <c r="F19" s="2042" t="str">
        <f t="shared" si="1"/>
        <v>0</v>
      </c>
    </row>
    <row r="20" spans="1:7" x14ac:dyDescent="0.25">
      <c r="A20" s="2039" t="s">
        <v>2158</v>
      </c>
      <c r="B20" s="2040" t="s">
        <v>2159</v>
      </c>
      <c r="C20" s="2041" t="s">
        <v>2162</v>
      </c>
      <c r="D20" s="1884">
        <v>450</v>
      </c>
      <c r="E20" s="2042">
        <f t="shared" si="0"/>
        <v>450</v>
      </c>
      <c r="F20" s="2042" t="str">
        <f t="shared" si="1"/>
        <v>0</v>
      </c>
    </row>
    <row r="21" spans="1:7" x14ac:dyDescent="0.25">
      <c r="A21" s="2039" t="s">
        <v>2158</v>
      </c>
      <c r="B21" s="2040" t="s">
        <v>2159</v>
      </c>
      <c r="C21" s="2041" t="s">
        <v>2163</v>
      </c>
      <c r="D21" s="1884">
        <v>3600</v>
      </c>
      <c r="E21" s="2042">
        <f t="shared" si="0"/>
        <v>3600</v>
      </c>
      <c r="F21" s="2042" t="str">
        <f t="shared" si="1"/>
        <v>0</v>
      </c>
    </row>
    <row r="22" spans="1:7" x14ac:dyDescent="0.25">
      <c r="A22" s="2039" t="s">
        <v>2158</v>
      </c>
      <c r="B22" s="2040" t="s">
        <v>2159</v>
      </c>
      <c r="C22" s="2041" t="s">
        <v>2164</v>
      </c>
      <c r="D22" s="1884">
        <v>3964</v>
      </c>
      <c r="E22" s="2042">
        <f t="shared" si="0"/>
        <v>3964</v>
      </c>
      <c r="F22" s="2042" t="str">
        <f t="shared" si="1"/>
        <v>0</v>
      </c>
    </row>
    <row r="23" spans="1:7" x14ac:dyDescent="0.25">
      <c r="A23" s="2039" t="s">
        <v>2158</v>
      </c>
      <c r="B23" s="2040" t="s">
        <v>2159</v>
      </c>
      <c r="C23" s="2041" t="s">
        <v>2165</v>
      </c>
      <c r="D23" s="1884">
        <v>2250</v>
      </c>
      <c r="E23" s="2042">
        <f t="shared" si="0"/>
        <v>2250</v>
      </c>
      <c r="F23" s="2042" t="str">
        <f t="shared" si="1"/>
        <v>0</v>
      </c>
    </row>
    <row r="24" spans="1:7" x14ac:dyDescent="0.25">
      <c r="A24" s="2039" t="s">
        <v>2158</v>
      </c>
      <c r="B24" s="2040" t="s">
        <v>2159</v>
      </c>
      <c r="C24" s="2041" t="s">
        <v>2166</v>
      </c>
      <c r="D24" s="1884">
        <v>3000</v>
      </c>
      <c r="E24" s="2042">
        <f t="shared" si="0"/>
        <v>3000</v>
      </c>
      <c r="F24" s="2042" t="str">
        <f t="shared" si="1"/>
        <v>0</v>
      </c>
    </row>
    <row r="25" spans="1:7" x14ac:dyDescent="0.25">
      <c r="A25" s="2039" t="s">
        <v>2158</v>
      </c>
      <c r="B25" s="2040" t="s">
        <v>2159</v>
      </c>
      <c r="C25" s="2041" t="s">
        <v>2167</v>
      </c>
      <c r="D25" s="1884">
        <v>4400</v>
      </c>
      <c r="E25" s="2042">
        <f t="shared" si="0"/>
        <v>4400</v>
      </c>
      <c r="F25" s="2042" t="str">
        <f t="shared" si="1"/>
        <v>0</v>
      </c>
    </row>
    <row r="26" spans="1:7" x14ac:dyDescent="0.25">
      <c r="A26" s="2039" t="s">
        <v>2168</v>
      </c>
      <c r="B26" s="2040" t="s">
        <v>2169</v>
      </c>
      <c r="C26" s="2041" t="s">
        <v>2170</v>
      </c>
      <c r="D26" s="1884">
        <v>2900</v>
      </c>
      <c r="E26" s="2042">
        <f t="shared" si="0"/>
        <v>2900</v>
      </c>
      <c r="F26" s="2042" t="str">
        <f t="shared" si="1"/>
        <v>0</v>
      </c>
    </row>
    <row r="27" spans="1:7" x14ac:dyDescent="0.25">
      <c r="A27" s="2039" t="s">
        <v>2171</v>
      </c>
      <c r="B27" s="2040" t="s">
        <v>2172</v>
      </c>
      <c r="C27" s="2041" t="s">
        <v>2173</v>
      </c>
      <c r="D27" s="1884">
        <v>9270</v>
      </c>
      <c r="E27" s="2042">
        <f t="shared" si="0"/>
        <v>9270</v>
      </c>
      <c r="F27" s="2042" t="str">
        <f t="shared" si="1"/>
        <v>0</v>
      </c>
    </row>
    <row r="28" spans="1:7" x14ac:dyDescent="0.25">
      <c r="A28" s="2039" t="s">
        <v>2174</v>
      </c>
      <c r="B28" s="2040" t="s">
        <v>2175</v>
      </c>
      <c r="C28" s="2041" t="s">
        <v>2173</v>
      </c>
      <c r="D28" s="1884">
        <v>12770</v>
      </c>
      <c r="E28" s="2042">
        <f t="shared" si="0"/>
        <v>12770</v>
      </c>
      <c r="F28" s="2042" t="str">
        <f t="shared" si="1"/>
        <v>0</v>
      </c>
    </row>
    <row r="29" spans="1:7" x14ac:dyDescent="0.25">
      <c r="A29" s="2039" t="s">
        <v>2171</v>
      </c>
      <c r="B29" s="2040" t="s">
        <v>2172</v>
      </c>
      <c r="C29" s="2041" t="s">
        <v>2176</v>
      </c>
      <c r="D29" s="1884">
        <v>2800</v>
      </c>
      <c r="E29" s="2042">
        <f t="shared" si="0"/>
        <v>2800</v>
      </c>
      <c r="F29" s="2042" t="str">
        <f t="shared" si="1"/>
        <v>0</v>
      </c>
    </row>
    <row r="30" spans="1:7" x14ac:dyDescent="0.25">
      <c r="A30" s="2039" t="s">
        <v>2158</v>
      </c>
      <c r="B30" s="2040" t="s">
        <v>2159</v>
      </c>
      <c r="C30" s="2041" t="s">
        <v>2177</v>
      </c>
      <c r="D30" s="1884">
        <v>1043</v>
      </c>
      <c r="E30" s="2042">
        <f t="shared" si="0"/>
        <v>1043</v>
      </c>
      <c r="F30" s="2042" t="str">
        <f t="shared" si="1"/>
        <v>0</v>
      </c>
    </row>
    <row r="31" spans="1:7" x14ac:dyDescent="0.25">
      <c r="A31" s="2039" t="s">
        <v>2178</v>
      </c>
      <c r="B31" s="2040" t="s">
        <v>2179</v>
      </c>
      <c r="C31" s="2041" t="s">
        <v>2180</v>
      </c>
      <c r="D31" s="1884">
        <v>8712</v>
      </c>
      <c r="E31" s="2042">
        <f t="shared" si="0"/>
        <v>8712</v>
      </c>
      <c r="F31" s="2042" t="str">
        <f t="shared" si="1"/>
        <v>0</v>
      </c>
    </row>
    <row r="32" spans="1:7" x14ac:dyDescent="0.25">
      <c r="A32" s="2039" t="s">
        <v>2168</v>
      </c>
      <c r="B32" s="2040" t="s">
        <v>2169</v>
      </c>
      <c r="C32" s="2041" t="s">
        <v>2181</v>
      </c>
      <c r="D32" s="1884">
        <v>356.86</v>
      </c>
      <c r="E32" s="2042">
        <f t="shared" si="0"/>
        <v>356.86</v>
      </c>
      <c r="F32" s="2042" t="str">
        <f t="shared" si="1"/>
        <v>0</v>
      </c>
    </row>
    <row r="33" spans="1:6" x14ac:dyDescent="0.25">
      <c r="A33" s="2039" t="s">
        <v>2168</v>
      </c>
      <c r="B33" s="2040" t="s">
        <v>2169</v>
      </c>
      <c r="C33" s="2041" t="s">
        <v>2182</v>
      </c>
      <c r="D33" s="1884">
        <v>845</v>
      </c>
      <c r="E33" s="2042">
        <f t="shared" si="0"/>
        <v>845</v>
      </c>
      <c r="F33" s="2042" t="str">
        <f t="shared" si="1"/>
        <v>0</v>
      </c>
    </row>
    <row r="34" spans="1:6" x14ac:dyDescent="0.25">
      <c r="A34" s="2039" t="s">
        <v>2168</v>
      </c>
      <c r="B34" s="2040" t="s">
        <v>2169</v>
      </c>
      <c r="C34" s="2041" t="s">
        <v>2183</v>
      </c>
      <c r="D34" s="1884">
        <v>19751.91</v>
      </c>
      <c r="E34" s="2042">
        <f t="shared" si="0"/>
        <v>19751.91</v>
      </c>
      <c r="F34" s="2042" t="str">
        <f t="shared" si="1"/>
        <v>0</v>
      </c>
    </row>
    <row r="35" spans="1:6" x14ac:dyDescent="0.25">
      <c r="A35" s="2039" t="s">
        <v>2184</v>
      </c>
      <c r="B35" s="2040" t="s">
        <v>2185</v>
      </c>
      <c r="C35" s="2041" t="s">
        <v>2186</v>
      </c>
      <c r="D35" s="1884">
        <v>36000</v>
      </c>
      <c r="E35" s="2042" t="str">
        <f t="shared" si="0"/>
        <v>25,000</v>
      </c>
      <c r="F35" s="2042">
        <f t="shared" si="1"/>
        <v>11000</v>
      </c>
    </row>
    <row r="36" spans="1:6" x14ac:dyDescent="0.25">
      <c r="A36" s="2039" t="s">
        <v>2184</v>
      </c>
      <c r="B36" s="2040" t="s">
        <v>2185</v>
      </c>
      <c r="C36" s="2043" t="s">
        <v>2187</v>
      </c>
      <c r="D36" s="1884">
        <v>4990</v>
      </c>
      <c r="E36" s="2042">
        <f t="shared" si="0"/>
        <v>4990</v>
      </c>
      <c r="F36" s="2042" t="str">
        <f t="shared" si="1"/>
        <v>0</v>
      </c>
    </row>
    <row r="37" spans="1:6" x14ac:dyDescent="0.25">
      <c r="A37" s="2039" t="s">
        <v>2184</v>
      </c>
      <c r="B37" s="2040" t="s">
        <v>2185</v>
      </c>
      <c r="C37" s="2041" t="s">
        <v>2188</v>
      </c>
      <c r="D37" s="1884">
        <v>4987.5</v>
      </c>
      <c r="E37" s="2042">
        <f t="shared" si="0"/>
        <v>4987.5</v>
      </c>
      <c r="F37" s="2042" t="str">
        <f t="shared" si="1"/>
        <v>0</v>
      </c>
    </row>
    <row r="38" spans="1:6" x14ac:dyDescent="0.25">
      <c r="A38" s="2039" t="s">
        <v>2184</v>
      </c>
      <c r="B38" s="2040" t="s">
        <v>2185</v>
      </c>
      <c r="C38" s="2041" t="s">
        <v>2189</v>
      </c>
      <c r="D38" s="1884">
        <v>4287.5</v>
      </c>
      <c r="E38" s="2042">
        <f t="shared" si="0"/>
        <v>4287.5</v>
      </c>
      <c r="F38" s="2042" t="str">
        <f t="shared" si="1"/>
        <v>0</v>
      </c>
    </row>
    <row r="39" spans="1:6" x14ac:dyDescent="0.25">
      <c r="A39" s="2039" t="s">
        <v>2184</v>
      </c>
      <c r="B39" s="2044" t="s">
        <v>2185</v>
      </c>
      <c r="C39" s="2041" t="s">
        <v>2190</v>
      </c>
      <c r="D39" s="1884">
        <v>29250</v>
      </c>
      <c r="E39" s="2042" t="str">
        <f t="shared" si="0"/>
        <v>25,000</v>
      </c>
      <c r="F39" s="2042">
        <f t="shared" si="1"/>
        <v>4250</v>
      </c>
    </row>
    <row r="40" spans="1:6" x14ac:dyDescent="0.25">
      <c r="A40" s="2039" t="s">
        <v>2174</v>
      </c>
      <c r="B40" s="2044" t="s">
        <v>2175</v>
      </c>
      <c r="C40" s="2041" t="s">
        <v>2191</v>
      </c>
      <c r="D40" s="1884">
        <v>3136</v>
      </c>
      <c r="E40" s="2042">
        <f t="shared" si="0"/>
        <v>3136</v>
      </c>
      <c r="F40" s="2042" t="str">
        <f t="shared" si="1"/>
        <v>0</v>
      </c>
    </row>
    <row r="41" spans="1:6" x14ac:dyDescent="0.25">
      <c r="A41" s="2039" t="s">
        <v>2174</v>
      </c>
      <c r="B41" s="2044" t="s">
        <v>2175</v>
      </c>
      <c r="C41" s="2041" t="s">
        <v>2192</v>
      </c>
      <c r="D41" s="1884">
        <v>4500</v>
      </c>
      <c r="E41" s="2042">
        <f t="shared" si="0"/>
        <v>4500</v>
      </c>
      <c r="F41" s="2042" t="str">
        <f t="shared" si="1"/>
        <v>0</v>
      </c>
    </row>
    <row r="42" spans="1:6" x14ac:dyDescent="0.25">
      <c r="A42" s="2039" t="s">
        <v>2171</v>
      </c>
      <c r="B42" s="2044" t="s">
        <v>2172</v>
      </c>
      <c r="C42" s="2041" t="s">
        <v>2193</v>
      </c>
      <c r="D42" s="1884">
        <v>4248.3</v>
      </c>
      <c r="E42" s="2042">
        <f t="shared" si="0"/>
        <v>4248.3</v>
      </c>
      <c r="F42" s="2042" t="str">
        <f t="shared" si="1"/>
        <v>0</v>
      </c>
    </row>
    <row r="43" spans="1:6" x14ac:dyDescent="0.25">
      <c r="A43" s="2039" t="s">
        <v>2171</v>
      </c>
      <c r="B43" s="2044" t="s">
        <v>2172</v>
      </c>
      <c r="C43" s="2041" t="s">
        <v>2194</v>
      </c>
      <c r="D43" s="1884">
        <v>17413</v>
      </c>
      <c r="E43" s="2042">
        <f t="shared" si="0"/>
        <v>17413</v>
      </c>
      <c r="F43" s="2042" t="str">
        <f t="shared" si="1"/>
        <v>0</v>
      </c>
    </row>
    <row r="44" spans="1:6" x14ac:dyDescent="0.25">
      <c r="A44" s="2039" t="s">
        <v>2171</v>
      </c>
      <c r="B44" s="2044" t="s">
        <v>2172</v>
      </c>
      <c r="C44" s="2041" t="s">
        <v>2194</v>
      </c>
      <c r="D44" s="1884">
        <v>19359.23</v>
      </c>
      <c r="E44" s="2042">
        <f t="shared" si="0"/>
        <v>19359.23</v>
      </c>
      <c r="F44" s="2042" t="str">
        <f t="shared" si="1"/>
        <v>0</v>
      </c>
    </row>
    <row r="45" spans="1:6" x14ac:dyDescent="0.25">
      <c r="A45" s="2039" t="s">
        <v>2171</v>
      </c>
      <c r="B45" s="2044" t="s">
        <v>2172</v>
      </c>
      <c r="C45" s="2041" t="s">
        <v>2194</v>
      </c>
      <c r="D45" s="1884">
        <v>3878.62</v>
      </c>
      <c r="E45" s="2042">
        <f t="shared" si="0"/>
        <v>3878.62</v>
      </c>
      <c r="F45" s="2042" t="str">
        <f t="shared" si="1"/>
        <v>0</v>
      </c>
    </row>
    <row r="46" spans="1:6" x14ac:dyDescent="0.25">
      <c r="A46" s="2039" t="s">
        <v>2171</v>
      </c>
      <c r="B46" s="2044" t="s">
        <v>2172</v>
      </c>
      <c r="C46" s="2041" t="s">
        <v>2195</v>
      </c>
      <c r="D46" s="1884">
        <v>33502.5</v>
      </c>
      <c r="E46" s="2042" t="str">
        <f t="shared" si="0"/>
        <v>25,000</v>
      </c>
      <c r="F46" s="2042">
        <f t="shared" si="1"/>
        <v>8502.5</v>
      </c>
    </row>
    <row r="47" spans="1:6" x14ac:dyDescent="0.25">
      <c r="A47" s="2039" t="s">
        <v>2171</v>
      </c>
      <c r="B47" s="2044" t="s">
        <v>2172</v>
      </c>
      <c r="C47" s="2041" t="s">
        <v>2196</v>
      </c>
      <c r="D47" s="1884">
        <v>35000</v>
      </c>
      <c r="E47" s="2042" t="str">
        <f t="shared" si="0"/>
        <v>25,000</v>
      </c>
      <c r="F47" s="2042">
        <f t="shared" si="1"/>
        <v>10000</v>
      </c>
    </row>
    <row r="48" spans="1:6" x14ac:dyDescent="0.25">
      <c r="A48" s="2039" t="s">
        <v>2171</v>
      </c>
      <c r="B48" s="2044" t="s">
        <v>2172</v>
      </c>
      <c r="C48" s="2041" t="s">
        <v>2197</v>
      </c>
      <c r="D48" s="1884">
        <v>3000</v>
      </c>
      <c r="E48" s="2042">
        <f t="shared" si="0"/>
        <v>3000</v>
      </c>
      <c r="F48" s="2042" t="str">
        <f t="shared" si="1"/>
        <v>0</v>
      </c>
    </row>
    <row r="49" spans="1:6" x14ac:dyDescent="0.25">
      <c r="A49" s="2039" t="s">
        <v>2171</v>
      </c>
      <c r="B49" s="2044" t="s">
        <v>2172</v>
      </c>
      <c r="C49" s="2041" t="s">
        <v>2198</v>
      </c>
      <c r="D49" s="1884">
        <v>3750</v>
      </c>
      <c r="E49" s="2042">
        <f t="shared" si="0"/>
        <v>3750</v>
      </c>
      <c r="F49" s="2042" t="str">
        <f t="shared" si="1"/>
        <v>0</v>
      </c>
    </row>
    <row r="50" spans="1:6" x14ac:dyDescent="0.25">
      <c r="A50" s="2039" t="s">
        <v>2171</v>
      </c>
      <c r="B50" s="2044" t="s">
        <v>2172</v>
      </c>
      <c r="C50" s="2041" t="s">
        <v>2196</v>
      </c>
      <c r="D50" s="1884">
        <v>3875</v>
      </c>
      <c r="E50" s="2042">
        <f t="shared" si="0"/>
        <v>3875</v>
      </c>
      <c r="F50" s="2042" t="str">
        <f t="shared" si="1"/>
        <v>0</v>
      </c>
    </row>
    <row r="51" spans="1:6" x14ac:dyDescent="0.25">
      <c r="A51" s="2039" t="s">
        <v>2171</v>
      </c>
      <c r="B51" s="2044" t="s">
        <v>2172</v>
      </c>
      <c r="C51" s="2041" t="s">
        <v>2199</v>
      </c>
      <c r="D51" s="1884">
        <v>375</v>
      </c>
      <c r="E51" s="2042">
        <f t="shared" si="0"/>
        <v>375</v>
      </c>
      <c r="F51" s="2042" t="str">
        <f t="shared" si="1"/>
        <v>0</v>
      </c>
    </row>
    <row r="52" spans="1:6" x14ac:dyDescent="0.25">
      <c r="A52" s="2039" t="s">
        <v>2171</v>
      </c>
      <c r="B52" s="2044" t="s">
        <v>2172</v>
      </c>
      <c r="C52" s="2041" t="s">
        <v>2200</v>
      </c>
      <c r="D52" s="1884">
        <v>2400</v>
      </c>
      <c r="E52" s="2042">
        <f t="shared" si="0"/>
        <v>2400</v>
      </c>
      <c r="F52" s="2042" t="str">
        <f t="shared" si="1"/>
        <v>0</v>
      </c>
    </row>
    <row r="53" spans="1:6" x14ac:dyDescent="0.25">
      <c r="A53" s="2039" t="s">
        <v>2171</v>
      </c>
      <c r="B53" s="2044" t="s">
        <v>2172</v>
      </c>
      <c r="C53" s="2041" t="s">
        <v>2201</v>
      </c>
      <c r="D53" s="1884">
        <v>1200</v>
      </c>
      <c r="E53" s="2042">
        <f t="shared" si="0"/>
        <v>1200</v>
      </c>
      <c r="F53" s="2042" t="str">
        <f t="shared" si="1"/>
        <v>0</v>
      </c>
    </row>
    <row r="54" spans="1:6" x14ac:dyDescent="0.25">
      <c r="A54" s="2039" t="s">
        <v>2171</v>
      </c>
      <c r="B54" s="2044" t="s">
        <v>2172</v>
      </c>
      <c r="C54" s="2041" t="s">
        <v>2202</v>
      </c>
      <c r="D54" s="1884">
        <v>16700</v>
      </c>
      <c r="E54" s="2042">
        <f t="shared" si="0"/>
        <v>16700</v>
      </c>
      <c r="F54" s="2042" t="str">
        <f t="shared" si="1"/>
        <v>0</v>
      </c>
    </row>
    <row r="55" spans="1:6" x14ac:dyDescent="0.25">
      <c r="A55" s="2039" t="s">
        <v>2203</v>
      </c>
      <c r="B55" s="2044" t="s">
        <v>2204</v>
      </c>
      <c r="C55" s="2041" t="s">
        <v>2205</v>
      </c>
      <c r="D55" s="1884">
        <v>30000</v>
      </c>
      <c r="E55" s="2042" t="str">
        <f t="shared" si="0"/>
        <v>25,000</v>
      </c>
      <c r="F55" s="2042">
        <f t="shared" si="1"/>
        <v>5000</v>
      </c>
    </row>
    <row r="56" spans="1:6" x14ac:dyDescent="0.25">
      <c r="A56" s="2039" t="s">
        <v>2158</v>
      </c>
      <c r="B56" s="2044" t="s">
        <v>2159</v>
      </c>
      <c r="C56" s="2041" t="s">
        <v>2206</v>
      </c>
      <c r="D56" s="1884">
        <v>299.95</v>
      </c>
      <c r="E56" s="2042">
        <f t="shared" si="0"/>
        <v>299.95</v>
      </c>
      <c r="F56" s="2042" t="str">
        <f t="shared" si="1"/>
        <v>0</v>
      </c>
    </row>
    <row r="57" spans="1:6" x14ac:dyDescent="0.25">
      <c r="A57" s="2039" t="s">
        <v>2158</v>
      </c>
      <c r="B57" s="2044" t="s">
        <v>2159</v>
      </c>
      <c r="C57" s="2041" t="s">
        <v>2206</v>
      </c>
      <c r="D57" s="1884">
        <v>164</v>
      </c>
      <c r="E57" s="2042">
        <f t="shared" si="0"/>
        <v>164</v>
      </c>
      <c r="F57" s="2042" t="str">
        <f t="shared" si="1"/>
        <v>0</v>
      </c>
    </row>
    <row r="58" spans="1:6" x14ac:dyDescent="0.25">
      <c r="A58" s="2039" t="s">
        <v>2158</v>
      </c>
      <c r="B58" s="2044" t="s">
        <v>2159</v>
      </c>
      <c r="C58" s="2041" t="s">
        <v>2207</v>
      </c>
      <c r="D58" s="1884">
        <v>1104</v>
      </c>
      <c r="E58" s="2042">
        <f t="shared" si="0"/>
        <v>1104</v>
      </c>
      <c r="F58" s="2042" t="str">
        <f t="shared" si="1"/>
        <v>0</v>
      </c>
    </row>
    <row r="59" spans="1:6" x14ac:dyDescent="0.25">
      <c r="A59" s="2039" t="s">
        <v>2158</v>
      </c>
      <c r="B59" s="2044" t="s">
        <v>2159</v>
      </c>
      <c r="C59" s="2041" t="s">
        <v>2208</v>
      </c>
      <c r="D59" s="1884">
        <v>4228.75</v>
      </c>
      <c r="E59" s="2042">
        <f t="shared" si="0"/>
        <v>4228.75</v>
      </c>
      <c r="F59" s="2042" t="str">
        <f t="shared" si="1"/>
        <v>0</v>
      </c>
    </row>
    <row r="60" spans="1:6" x14ac:dyDescent="0.25">
      <c r="A60" s="2039" t="s">
        <v>2178</v>
      </c>
      <c r="B60" s="2044" t="s">
        <v>2179</v>
      </c>
      <c r="C60" s="2041" t="s">
        <v>2209</v>
      </c>
      <c r="D60" s="1884">
        <v>80000</v>
      </c>
      <c r="E60" s="2042" t="str">
        <f t="shared" si="0"/>
        <v>25,000</v>
      </c>
      <c r="F60" s="2042">
        <f t="shared" si="1"/>
        <v>55000</v>
      </c>
    </row>
    <row r="61" spans="1:6" x14ac:dyDescent="0.25">
      <c r="A61" s="2039" t="s">
        <v>2178</v>
      </c>
      <c r="B61" s="2044" t="s">
        <v>2179</v>
      </c>
      <c r="C61" s="2041" t="s">
        <v>2210</v>
      </c>
      <c r="D61" s="1884">
        <v>28000</v>
      </c>
      <c r="E61" s="2042" t="str">
        <f t="shared" si="0"/>
        <v>25,000</v>
      </c>
      <c r="F61" s="2042">
        <f t="shared" si="1"/>
        <v>3000</v>
      </c>
    </row>
    <row r="62" spans="1:6" x14ac:dyDescent="0.25">
      <c r="A62" s="2039" t="s">
        <v>2178</v>
      </c>
      <c r="B62" s="2044" t="s">
        <v>2179</v>
      </c>
      <c r="C62" s="2041" t="s">
        <v>2192</v>
      </c>
      <c r="D62" s="1884">
        <v>64262</v>
      </c>
      <c r="E62" s="2042" t="str">
        <f t="shared" si="0"/>
        <v>25,000</v>
      </c>
      <c r="F62" s="2042">
        <f t="shared" si="1"/>
        <v>39262</v>
      </c>
    </row>
    <row r="63" spans="1:6" x14ac:dyDescent="0.25">
      <c r="A63" s="2039" t="s">
        <v>2178</v>
      </c>
      <c r="B63" s="2044" t="s">
        <v>2179</v>
      </c>
      <c r="C63" s="2041" t="s">
        <v>2211</v>
      </c>
      <c r="D63" s="1884">
        <v>15157.05</v>
      </c>
      <c r="E63" s="2042">
        <f t="shared" si="0"/>
        <v>15157.05</v>
      </c>
      <c r="F63" s="2042" t="str">
        <f t="shared" si="1"/>
        <v>0</v>
      </c>
    </row>
    <row r="64" spans="1:6" x14ac:dyDescent="0.25">
      <c r="A64" s="2039" t="s">
        <v>2178</v>
      </c>
      <c r="B64" s="2044" t="s">
        <v>2179</v>
      </c>
      <c r="C64" s="2041" t="s">
        <v>2212</v>
      </c>
      <c r="D64" s="1884">
        <v>2250</v>
      </c>
      <c r="E64" s="2042">
        <f t="shared" si="0"/>
        <v>2250</v>
      </c>
      <c r="F64" s="2042" t="str">
        <f t="shared" si="1"/>
        <v>0</v>
      </c>
    </row>
    <row r="65" spans="1:6" x14ac:dyDescent="0.25">
      <c r="A65" s="2039" t="s">
        <v>2178</v>
      </c>
      <c r="B65" s="2044" t="s">
        <v>2179</v>
      </c>
      <c r="C65" s="2041" t="s">
        <v>2213</v>
      </c>
      <c r="D65" s="1884">
        <v>7499.52</v>
      </c>
      <c r="E65" s="2042">
        <f t="shared" si="0"/>
        <v>7499.52</v>
      </c>
      <c r="F65" s="2042" t="str">
        <f t="shared" si="1"/>
        <v>0</v>
      </c>
    </row>
    <row r="66" spans="1:6" x14ac:dyDescent="0.25">
      <c r="A66" s="2039" t="s">
        <v>2178</v>
      </c>
      <c r="B66" s="2044" t="s">
        <v>2179</v>
      </c>
      <c r="C66" s="2041" t="s">
        <v>2214</v>
      </c>
      <c r="D66" s="1884">
        <v>28790.55</v>
      </c>
      <c r="E66" s="2042" t="str">
        <f t="shared" si="0"/>
        <v>25,000</v>
      </c>
      <c r="F66" s="2042">
        <f t="shared" si="1"/>
        <v>3790.5499999999993</v>
      </c>
    </row>
    <row r="67" spans="1:6" x14ac:dyDescent="0.25">
      <c r="A67" s="2039" t="s">
        <v>2178</v>
      </c>
      <c r="B67" s="2044" t="s">
        <v>2179</v>
      </c>
      <c r="C67" s="2041" t="s">
        <v>2215</v>
      </c>
      <c r="D67" s="1884">
        <v>763</v>
      </c>
      <c r="E67" s="2042">
        <f t="shared" si="0"/>
        <v>763</v>
      </c>
      <c r="F67" s="2042" t="str">
        <f t="shared" si="1"/>
        <v>0</v>
      </c>
    </row>
    <row r="68" spans="1:6" x14ac:dyDescent="0.25">
      <c r="A68" s="2039" t="s">
        <v>2178</v>
      </c>
      <c r="B68" s="2044" t="s">
        <v>2179</v>
      </c>
      <c r="C68" s="2041" t="s">
        <v>2214</v>
      </c>
      <c r="D68" s="1884">
        <v>8390</v>
      </c>
      <c r="E68" s="2042">
        <f t="shared" si="0"/>
        <v>8390</v>
      </c>
      <c r="F68" s="2042" t="str">
        <f t="shared" si="1"/>
        <v>0</v>
      </c>
    </row>
    <row r="69" spans="1:6" x14ac:dyDescent="0.25">
      <c r="A69" s="2039" t="s">
        <v>2178</v>
      </c>
      <c r="B69" s="2044" t="s">
        <v>2179</v>
      </c>
      <c r="C69" s="2041" t="s">
        <v>2215</v>
      </c>
      <c r="D69" s="1884">
        <v>1131.2</v>
      </c>
      <c r="E69" s="2042">
        <f t="shared" si="0"/>
        <v>1131.2</v>
      </c>
      <c r="F69" s="2042" t="str">
        <f t="shared" si="1"/>
        <v>0</v>
      </c>
    </row>
    <row r="70" spans="1:6" x14ac:dyDescent="0.25">
      <c r="A70" s="2039" t="s">
        <v>2178</v>
      </c>
      <c r="B70" s="2044" t="s">
        <v>2179</v>
      </c>
      <c r="C70" s="2041" t="s">
        <v>2216</v>
      </c>
      <c r="D70" s="1884">
        <v>14400</v>
      </c>
      <c r="E70" s="2042">
        <f t="shared" si="0"/>
        <v>14400</v>
      </c>
      <c r="F70" s="2042" t="str">
        <f t="shared" si="1"/>
        <v>0</v>
      </c>
    </row>
    <row r="71" spans="1:6" x14ac:dyDescent="0.25">
      <c r="A71" s="2039" t="s">
        <v>2178</v>
      </c>
      <c r="B71" s="2044" t="s">
        <v>2179</v>
      </c>
      <c r="C71" s="2041" t="s">
        <v>2212</v>
      </c>
      <c r="D71" s="1884">
        <v>1250</v>
      </c>
      <c r="E71" s="2042">
        <f t="shared" si="0"/>
        <v>1250</v>
      </c>
      <c r="F71" s="2042" t="str">
        <f t="shared" si="1"/>
        <v>0</v>
      </c>
    </row>
    <row r="72" spans="1:6" x14ac:dyDescent="0.25">
      <c r="A72" s="2039" t="s">
        <v>2178</v>
      </c>
      <c r="B72" s="2044" t="s">
        <v>2179</v>
      </c>
      <c r="C72" s="2041" t="s">
        <v>2217</v>
      </c>
      <c r="D72" s="1884">
        <v>840</v>
      </c>
      <c r="E72" s="2042">
        <f t="shared" si="0"/>
        <v>840</v>
      </c>
      <c r="F72" s="2042" t="str">
        <f t="shared" si="1"/>
        <v>0</v>
      </c>
    </row>
    <row r="73" spans="1:6" x14ac:dyDescent="0.25">
      <c r="A73" s="2039" t="s">
        <v>2178</v>
      </c>
      <c r="B73" s="2044" t="s">
        <v>2179</v>
      </c>
      <c r="C73" s="2041" t="s">
        <v>2218</v>
      </c>
      <c r="D73" s="1884">
        <v>28950</v>
      </c>
      <c r="E73" s="2042" t="str">
        <f t="shared" si="0"/>
        <v>25,000</v>
      </c>
      <c r="F73" s="2042">
        <f t="shared" si="1"/>
        <v>3950</v>
      </c>
    </row>
    <row r="74" spans="1:6" x14ac:dyDescent="0.25">
      <c r="A74" s="2039" t="s">
        <v>2178</v>
      </c>
      <c r="B74" s="2044" t="s">
        <v>2179</v>
      </c>
      <c r="C74" s="2041" t="s">
        <v>2219</v>
      </c>
      <c r="D74" s="1884">
        <v>4995</v>
      </c>
      <c r="E74" s="2042">
        <f t="shared" si="0"/>
        <v>4995</v>
      </c>
      <c r="F74" s="2042" t="str">
        <f t="shared" si="1"/>
        <v>0</v>
      </c>
    </row>
    <row r="75" spans="1:6" x14ac:dyDescent="0.25">
      <c r="A75" s="2039" t="s">
        <v>2178</v>
      </c>
      <c r="B75" s="2044" t="s">
        <v>2179</v>
      </c>
      <c r="C75" s="2041" t="s">
        <v>2220</v>
      </c>
      <c r="D75" s="1884">
        <v>2012.86</v>
      </c>
      <c r="E75" s="2042">
        <f t="shared" si="0"/>
        <v>2012.86</v>
      </c>
      <c r="F75" s="2042" t="str">
        <f t="shared" si="1"/>
        <v>0</v>
      </c>
    </row>
    <row r="76" spans="1:6" x14ac:dyDescent="0.25">
      <c r="A76" s="2039" t="s">
        <v>2178</v>
      </c>
      <c r="B76" s="2044" t="s">
        <v>2179</v>
      </c>
      <c r="C76" s="2041" t="s">
        <v>2215</v>
      </c>
      <c r="D76" s="1884">
        <v>2018.82</v>
      </c>
      <c r="E76" s="2042">
        <f t="shared" si="0"/>
        <v>2018.82</v>
      </c>
      <c r="F76" s="2042" t="str">
        <f t="shared" si="1"/>
        <v>0</v>
      </c>
    </row>
    <row r="77" spans="1:6" x14ac:dyDescent="0.25">
      <c r="A77" s="2039" t="s">
        <v>2178</v>
      </c>
      <c r="B77" s="2044" t="s">
        <v>2179</v>
      </c>
      <c r="C77" s="2041" t="s">
        <v>2215</v>
      </c>
      <c r="D77" s="1884">
        <v>763</v>
      </c>
      <c r="E77" s="2042">
        <f t="shared" si="0"/>
        <v>763</v>
      </c>
      <c r="F77" s="2042" t="str">
        <f t="shared" si="1"/>
        <v>0</v>
      </c>
    </row>
    <row r="78" spans="1:6" x14ac:dyDescent="0.25">
      <c r="A78" s="2039" t="s">
        <v>2178</v>
      </c>
      <c r="B78" s="2044" t="s">
        <v>2179</v>
      </c>
      <c r="C78" s="2041" t="s">
        <v>2221</v>
      </c>
      <c r="D78" s="1884">
        <v>4988</v>
      </c>
      <c r="E78" s="2042">
        <f t="shared" si="0"/>
        <v>4988</v>
      </c>
      <c r="F78" s="2042" t="str">
        <f t="shared" si="1"/>
        <v>0</v>
      </c>
    </row>
    <row r="79" spans="1:6" x14ac:dyDescent="0.25">
      <c r="A79" s="2039" t="s">
        <v>2178</v>
      </c>
      <c r="B79" s="2044" t="s">
        <v>2179</v>
      </c>
      <c r="C79" s="2041" t="s">
        <v>2222</v>
      </c>
      <c r="D79" s="1884">
        <v>1200</v>
      </c>
      <c r="E79" s="2042">
        <f t="shared" si="0"/>
        <v>1200</v>
      </c>
      <c r="F79" s="2042" t="str">
        <f t="shared" si="1"/>
        <v>0</v>
      </c>
    </row>
    <row r="80" spans="1:6" x14ac:dyDescent="0.25">
      <c r="A80" s="2039" t="s">
        <v>2178</v>
      </c>
      <c r="B80" s="2044" t="s">
        <v>2179</v>
      </c>
      <c r="C80" s="2041" t="s">
        <v>2215</v>
      </c>
      <c r="D80" s="1884">
        <v>59940</v>
      </c>
      <c r="E80" s="2042" t="str">
        <f t="shared" si="0"/>
        <v>25,000</v>
      </c>
      <c r="F80" s="2042">
        <f t="shared" si="1"/>
        <v>34940</v>
      </c>
    </row>
    <row r="81" spans="1:6" x14ac:dyDescent="0.25">
      <c r="A81" s="2039" t="s">
        <v>2203</v>
      </c>
      <c r="B81" s="2044" t="s">
        <v>2204</v>
      </c>
      <c r="C81" s="2041" t="s">
        <v>2223</v>
      </c>
      <c r="D81" s="1884">
        <v>3883.57</v>
      </c>
      <c r="E81" s="2042">
        <f t="shared" si="0"/>
        <v>3883.57</v>
      </c>
      <c r="F81" s="2042" t="str">
        <f t="shared" si="1"/>
        <v>0</v>
      </c>
    </row>
    <row r="82" spans="1:6" x14ac:dyDescent="0.25">
      <c r="A82" s="2039" t="s">
        <v>2158</v>
      </c>
      <c r="B82" s="2044" t="s">
        <v>2159</v>
      </c>
      <c r="C82" s="2041" t="s">
        <v>2223</v>
      </c>
      <c r="D82" s="1884">
        <v>148351</v>
      </c>
      <c r="E82" s="2042" t="str">
        <f t="shared" ref="E82:E145" si="2">IF(D82&lt;25000,D82,"25,000")</f>
        <v>25,000</v>
      </c>
      <c r="F82" s="2042">
        <f t="shared" ref="F82:F203" si="3">IF(D82&gt;=25000,(D82-E82),"0")</f>
        <v>123351</v>
      </c>
    </row>
    <row r="83" spans="1:6" x14ac:dyDescent="0.25">
      <c r="A83" s="2039" t="s">
        <v>2168</v>
      </c>
      <c r="B83" s="2044" t="s">
        <v>2169</v>
      </c>
      <c r="C83" s="2041" t="s">
        <v>2224</v>
      </c>
      <c r="D83" s="1884">
        <v>10500</v>
      </c>
      <c r="E83" s="2042">
        <f t="shared" si="2"/>
        <v>10500</v>
      </c>
      <c r="F83" s="2042" t="str">
        <f t="shared" si="3"/>
        <v>0</v>
      </c>
    </row>
    <row r="84" spans="1:6" x14ac:dyDescent="0.25">
      <c r="A84" s="2039" t="s">
        <v>2168</v>
      </c>
      <c r="B84" s="2044" t="s">
        <v>2169</v>
      </c>
      <c r="C84" s="2041" t="s">
        <v>2225</v>
      </c>
      <c r="D84" s="1884">
        <v>2000</v>
      </c>
      <c r="E84" s="2042">
        <f t="shared" si="2"/>
        <v>2000</v>
      </c>
      <c r="F84" s="2042" t="str">
        <f t="shared" si="3"/>
        <v>0</v>
      </c>
    </row>
    <row r="85" spans="1:6" x14ac:dyDescent="0.25">
      <c r="A85" s="2039" t="s">
        <v>2168</v>
      </c>
      <c r="B85" s="2044" t="s">
        <v>2169</v>
      </c>
      <c r="C85" s="2041" t="s">
        <v>2170</v>
      </c>
      <c r="D85" s="1884">
        <v>9600</v>
      </c>
      <c r="E85" s="2042">
        <f t="shared" si="2"/>
        <v>9600</v>
      </c>
      <c r="F85" s="2042" t="str">
        <f t="shared" si="3"/>
        <v>0</v>
      </c>
    </row>
    <row r="86" spans="1:6" x14ac:dyDescent="0.25">
      <c r="A86" s="2039" t="s">
        <v>2168</v>
      </c>
      <c r="B86" s="2044" t="s">
        <v>2169</v>
      </c>
      <c r="C86" s="2041" t="s">
        <v>2170</v>
      </c>
      <c r="D86" s="1884">
        <v>3200</v>
      </c>
      <c r="E86" s="2042">
        <f t="shared" si="2"/>
        <v>3200</v>
      </c>
      <c r="F86" s="2042" t="str">
        <f t="shared" si="3"/>
        <v>0</v>
      </c>
    </row>
    <row r="87" spans="1:6" x14ac:dyDescent="0.25">
      <c r="A87" s="2039" t="s">
        <v>2168</v>
      </c>
      <c r="B87" s="2044" t="s">
        <v>2169</v>
      </c>
      <c r="C87" s="2041" t="s">
        <v>2226</v>
      </c>
      <c r="D87" s="1884">
        <v>27047.61</v>
      </c>
      <c r="E87" s="2042" t="str">
        <f t="shared" si="2"/>
        <v>25,000</v>
      </c>
      <c r="F87" s="2042">
        <f t="shared" si="3"/>
        <v>2047.6100000000006</v>
      </c>
    </row>
    <row r="88" spans="1:6" x14ac:dyDescent="0.25">
      <c r="A88" s="2039" t="s">
        <v>2203</v>
      </c>
      <c r="B88" s="2044" t="s">
        <v>2204</v>
      </c>
      <c r="C88" s="2041" t="s">
        <v>2227</v>
      </c>
      <c r="D88" s="1884">
        <v>950</v>
      </c>
      <c r="E88" s="2042">
        <f t="shared" si="2"/>
        <v>950</v>
      </c>
      <c r="F88" s="2042" t="str">
        <f t="shared" si="3"/>
        <v>0</v>
      </c>
    </row>
    <row r="89" spans="1:6" x14ac:dyDescent="0.25">
      <c r="A89" s="2039" t="s">
        <v>2158</v>
      </c>
      <c r="B89" s="2044" t="s">
        <v>2159</v>
      </c>
      <c r="C89" s="2041" t="s">
        <v>2223</v>
      </c>
      <c r="D89" s="1884">
        <v>73320</v>
      </c>
      <c r="E89" s="2042" t="str">
        <f t="shared" si="2"/>
        <v>25,000</v>
      </c>
      <c r="F89" s="2042">
        <f t="shared" si="3"/>
        <v>48320</v>
      </c>
    </row>
    <row r="90" spans="1:6" x14ac:dyDescent="0.25">
      <c r="A90" s="2039" t="s">
        <v>2158</v>
      </c>
      <c r="B90" s="2044" t="s">
        <v>2159</v>
      </c>
      <c r="C90" s="2041" t="s">
        <v>2228</v>
      </c>
      <c r="D90" s="1884">
        <v>80680</v>
      </c>
      <c r="E90" s="2042" t="str">
        <f t="shared" si="2"/>
        <v>25,000</v>
      </c>
      <c r="F90" s="2042">
        <f t="shared" si="3"/>
        <v>55680</v>
      </c>
    </row>
    <row r="91" spans="1:6" x14ac:dyDescent="0.25">
      <c r="A91" s="2039" t="s">
        <v>2203</v>
      </c>
      <c r="B91" s="2044" t="s">
        <v>2204</v>
      </c>
      <c r="C91" s="2041" t="s">
        <v>2229</v>
      </c>
      <c r="D91" s="1884">
        <v>1150</v>
      </c>
      <c r="E91" s="2042">
        <f t="shared" si="2"/>
        <v>1150</v>
      </c>
      <c r="F91" s="2042" t="str">
        <f t="shared" si="3"/>
        <v>0</v>
      </c>
    </row>
    <row r="92" spans="1:6" x14ac:dyDescent="0.25">
      <c r="A92" s="2039" t="s">
        <v>2168</v>
      </c>
      <c r="B92" s="2044" t="s">
        <v>2169</v>
      </c>
      <c r="C92" s="2041" t="s">
        <v>2230</v>
      </c>
      <c r="D92" s="1884">
        <v>4500</v>
      </c>
      <c r="E92" s="2042">
        <f t="shared" si="2"/>
        <v>4500</v>
      </c>
      <c r="F92" s="2042" t="str">
        <f t="shared" si="3"/>
        <v>0</v>
      </c>
    </row>
    <row r="93" spans="1:6" x14ac:dyDescent="0.25">
      <c r="A93" s="2039" t="s">
        <v>2168</v>
      </c>
      <c r="B93" s="2044" t="s">
        <v>2169</v>
      </c>
      <c r="C93" s="2041" t="s">
        <v>2231</v>
      </c>
      <c r="D93" s="1884">
        <v>1155.44</v>
      </c>
      <c r="E93" s="2042">
        <f t="shared" si="2"/>
        <v>1155.44</v>
      </c>
      <c r="F93" s="2042" t="str">
        <f t="shared" si="3"/>
        <v>0</v>
      </c>
    </row>
    <row r="94" spans="1:6" x14ac:dyDescent="0.25">
      <c r="A94" s="2039" t="s">
        <v>2168</v>
      </c>
      <c r="B94" s="2044" t="s">
        <v>2169</v>
      </c>
      <c r="C94" s="2041" t="s">
        <v>2232</v>
      </c>
      <c r="D94" s="1884">
        <v>14000</v>
      </c>
      <c r="E94" s="2042">
        <f t="shared" si="2"/>
        <v>14000</v>
      </c>
      <c r="F94" s="2042" t="str">
        <f t="shared" si="3"/>
        <v>0</v>
      </c>
    </row>
    <row r="95" spans="1:6" x14ac:dyDescent="0.25">
      <c r="A95" s="2039" t="s">
        <v>2168</v>
      </c>
      <c r="B95" s="2044" t="s">
        <v>2169</v>
      </c>
      <c r="C95" s="2041" t="s">
        <v>2233</v>
      </c>
      <c r="D95" s="1884">
        <v>2304</v>
      </c>
      <c r="E95" s="2042">
        <f t="shared" si="2"/>
        <v>2304</v>
      </c>
      <c r="F95" s="2042" t="str">
        <f t="shared" si="3"/>
        <v>0</v>
      </c>
    </row>
    <row r="96" spans="1:6" x14ac:dyDescent="0.25">
      <c r="A96" s="2039" t="s">
        <v>2168</v>
      </c>
      <c r="B96" s="2044" t="s">
        <v>2169</v>
      </c>
      <c r="C96" s="2041" t="s">
        <v>2234</v>
      </c>
      <c r="D96" s="1884">
        <v>2250</v>
      </c>
      <c r="E96" s="2042">
        <f t="shared" si="2"/>
        <v>2250</v>
      </c>
      <c r="F96" s="2042" t="str">
        <f t="shared" si="3"/>
        <v>0</v>
      </c>
    </row>
    <row r="97" spans="1:6" x14ac:dyDescent="0.25">
      <c r="A97" s="2039" t="s">
        <v>2168</v>
      </c>
      <c r="B97" s="2044" t="s">
        <v>2169</v>
      </c>
      <c r="C97" s="2041" t="s">
        <v>2235</v>
      </c>
      <c r="D97" s="1884">
        <v>3999</v>
      </c>
      <c r="E97" s="2042">
        <f t="shared" si="2"/>
        <v>3999</v>
      </c>
      <c r="F97" s="2042" t="str">
        <f t="shared" si="3"/>
        <v>0</v>
      </c>
    </row>
    <row r="98" spans="1:6" x14ac:dyDescent="0.25">
      <c r="A98" s="2039" t="s">
        <v>2203</v>
      </c>
      <c r="B98" s="2044" t="s">
        <v>2204</v>
      </c>
      <c r="C98" s="2041" t="s">
        <v>2236</v>
      </c>
      <c r="D98" s="1884">
        <v>3500</v>
      </c>
      <c r="E98" s="2042">
        <f t="shared" si="2"/>
        <v>3500</v>
      </c>
      <c r="F98" s="2042" t="str">
        <f t="shared" si="3"/>
        <v>0</v>
      </c>
    </row>
    <row r="99" spans="1:6" x14ac:dyDescent="0.25">
      <c r="A99" s="2039" t="s">
        <v>2203</v>
      </c>
      <c r="B99" s="2044" t="s">
        <v>2204</v>
      </c>
      <c r="C99" s="2041" t="s">
        <v>2237</v>
      </c>
      <c r="D99" s="1884">
        <v>6427.88</v>
      </c>
      <c r="E99" s="2042">
        <f t="shared" si="2"/>
        <v>6427.88</v>
      </c>
      <c r="F99" s="2042" t="str">
        <f t="shared" si="3"/>
        <v>0</v>
      </c>
    </row>
    <row r="100" spans="1:6" x14ac:dyDescent="0.25">
      <c r="A100" s="2039" t="s">
        <v>2203</v>
      </c>
      <c r="B100" s="2044" t="s">
        <v>2204</v>
      </c>
      <c r="C100" s="2041" t="s">
        <v>2238</v>
      </c>
      <c r="D100" s="1884">
        <v>1145975</v>
      </c>
      <c r="E100" s="2042" t="str">
        <f t="shared" si="2"/>
        <v>25,000</v>
      </c>
      <c r="F100" s="2042">
        <f t="shared" si="3"/>
        <v>1120975</v>
      </c>
    </row>
    <row r="101" spans="1:6" x14ac:dyDescent="0.25">
      <c r="A101" s="2039" t="s">
        <v>2203</v>
      </c>
      <c r="B101" s="2044" t="s">
        <v>2204</v>
      </c>
      <c r="C101" s="2041" t="s">
        <v>2239</v>
      </c>
      <c r="D101" s="1884">
        <v>325</v>
      </c>
      <c r="E101" s="2042">
        <f t="shared" si="2"/>
        <v>325</v>
      </c>
      <c r="F101" s="2042" t="str">
        <f t="shared" si="3"/>
        <v>0</v>
      </c>
    </row>
    <row r="102" spans="1:6" x14ac:dyDescent="0.25">
      <c r="A102" s="2039" t="s">
        <v>2203</v>
      </c>
      <c r="B102" s="2044" t="s">
        <v>2204</v>
      </c>
      <c r="C102" s="2041" t="s">
        <v>2240</v>
      </c>
      <c r="D102" s="1884">
        <v>1000</v>
      </c>
      <c r="E102" s="2042">
        <f t="shared" si="2"/>
        <v>1000</v>
      </c>
      <c r="F102" s="2042" t="str">
        <f t="shared" si="3"/>
        <v>0</v>
      </c>
    </row>
    <row r="103" spans="1:6" x14ac:dyDescent="0.25">
      <c r="A103" s="2039" t="s">
        <v>2203</v>
      </c>
      <c r="B103" s="2044" t="s">
        <v>2204</v>
      </c>
      <c r="C103" s="2041" t="s">
        <v>2241</v>
      </c>
      <c r="D103" s="1884">
        <v>2700</v>
      </c>
      <c r="E103" s="2042">
        <f t="shared" si="2"/>
        <v>2700</v>
      </c>
      <c r="F103" s="2042" t="str">
        <f t="shared" si="3"/>
        <v>0</v>
      </c>
    </row>
    <row r="104" spans="1:6" x14ac:dyDescent="0.25">
      <c r="A104" s="2039" t="s">
        <v>2203</v>
      </c>
      <c r="B104" s="2044" t="s">
        <v>2204</v>
      </c>
      <c r="C104" s="2041" t="s">
        <v>2242</v>
      </c>
      <c r="D104" s="1884">
        <v>12127.5</v>
      </c>
      <c r="E104" s="2042">
        <f t="shared" si="2"/>
        <v>12127.5</v>
      </c>
      <c r="F104" s="2042" t="str">
        <f t="shared" si="3"/>
        <v>0</v>
      </c>
    </row>
    <row r="105" spans="1:6" x14ac:dyDescent="0.25">
      <c r="A105" s="2039" t="s">
        <v>2203</v>
      </c>
      <c r="B105" s="2044" t="s">
        <v>2204</v>
      </c>
      <c r="C105" s="2041" t="s">
        <v>2243</v>
      </c>
      <c r="D105" s="1884">
        <v>2197</v>
      </c>
      <c r="E105" s="2042">
        <f t="shared" si="2"/>
        <v>2197</v>
      </c>
      <c r="F105" s="2042" t="str">
        <f t="shared" si="3"/>
        <v>0</v>
      </c>
    </row>
    <row r="106" spans="1:6" x14ac:dyDescent="0.25">
      <c r="A106" s="2039" t="s">
        <v>2203</v>
      </c>
      <c r="B106" s="2044" t="s">
        <v>2204</v>
      </c>
      <c r="C106" s="2041" t="s">
        <v>2244</v>
      </c>
      <c r="D106" s="1884">
        <v>840</v>
      </c>
      <c r="E106" s="2042">
        <f t="shared" si="2"/>
        <v>840</v>
      </c>
      <c r="F106" s="2042" t="str">
        <f t="shared" si="3"/>
        <v>0</v>
      </c>
    </row>
    <row r="107" spans="1:6" x14ac:dyDescent="0.25">
      <c r="A107" s="2039" t="s">
        <v>2158</v>
      </c>
      <c r="B107" s="2044" t="s">
        <v>2159</v>
      </c>
      <c r="C107" s="2041" t="s">
        <v>2245</v>
      </c>
      <c r="D107" s="1884">
        <v>3490</v>
      </c>
      <c r="E107" s="2042">
        <f t="shared" si="2"/>
        <v>3490</v>
      </c>
      <c r="F107" s="2042" t="str">
        <f t="shared" si="3"/>
        <v>0</v>
      </c>
    </row>
    <row r="108" spans="1:6" x14ac:dyDescent="0.25">
      <c r="A108" s="2039" t="s">
        <v>2158</v>
      </c>
      <c r="B108" s="2044" t="s">
        <v>2159</v>
      </c>
      <c r="C108" s="2041" t="s">
        <v>2246</v>
      </c>
      <c r="D108" s="1884">
        <v>1000</v>
      </c>
      <c r="E108" s="2042">
        <f t="shared" si="2"/>
        <v>1000</v>
      </c>
      <c r="F108" s="2042" t="str">
        <f t="shared" si="3"/>
        <v>0</v>
      </c>
    </row>
    <row r="109" spans="1:6" x14ac:dyDescent="0.25">
      <c r="A109" s="2039" t="s">
        <v>2158</v>
      </c>
      <c r="B109" s="2044" t="s">
        <v>2159</v>
      </c>
      <c r="C109" s="2041" t="s">
        <v>2247</v>
      </c>
      <c r="D109" s="1884">
        <v>3100</v>
      </c>
      <c r="E109" s="2042">
        <f t="shared" si="2"/>
        <v>3100</v>
      </c>
      <c r="F109" s="2042" t="str">
        <f t="shared" si="3"/>
        <v>0</v>
      </c>
    </row>
    <row r="110" spans="1:6" x14ac:dyDescent="0.25">
      <c r="A110" s="2039" t="s">
        <v>2158</v>
      </c>
      <c r="B110" s="2044" t="s">
        <v>2159</v>
      </c>
      <c r="C110" s="2041" t="s">
        <v>2235</v>
      </c>
      <c r="D110" s="1884">
        <v>6437</v>
      </c>
      <c r="E110" s="2042">
        <f t="shared" si="2"/>
        <v>6437</v>
      </c>
      <c r="F110" s="2042" t="str">
        <f t="shared" si="3"/>
        <v>0</v>
      </c>
    </row>
    <row r="111" spans="1:6" x14ac:dyDescent="0.25">
      <c r="A111" s="2039" t="s">
        <v>2158</v>
      </c>
      <c r="B111" s="2044" t="s">
        <v>2159</v>
      </c>
      <c r="C111" s="2041" t="s">
        <v>2248</v>
      </c>
      <c r="D111" s="1884">
        <v>100</v>
      </c>
      <c r="E111" s="2042">
        <f t="shared" si="2"/>
        <v>100</v>
      </c>
      <c r="F111" s="2042" t="str">
        <f t="shared" si="3"/>
        <v>0</v>
      </c>
    </row>
    <row r="112" spans="1:6" x14ac:dyDescent="0.25">
      <c r="A112" s="2039" t="s">
        <v>2158</v>
      </c>
      <c r="B112" s="2044" t="s">
        <v>2159</v>
      </c>
      <c r="C112" s="2041" t="s">
        <v>2249</v>
      </c>
      <c r="D112" s="1884">
        <v>2550</v>
      </c>
      <c r="E112" s="2042">
        <f t="shared" si="2"/>
        <v>2550</v>
      </c>
      <c r="F112" s="2042" t="str">
        <f t="shared" si="3"/>
        <v>0</v>
      </c>
    </row>
    <row r="113" spans="1:6" x14ac:dyDescent="0.25">
      <c r="A113" s="2039" t="s">
        <v>2158</v>
      </c>
      <c r="B113" s="2044" t="s">
        <v>2159</v>
      </c>
      <c r="C113" s="2041" t="s">
        <v>2250</v>
      </c>
      <c r="D113" s="1884">
        <v>11469</v>
      </c>
      <c r="E113" s="2042">
        <f t="shared" si="2"/>
        <v>11469</v>
      </c>
      <c r="F113" s="2042" t="str">
        <f t="shared" si="3"/>
        <v>0</v>
      </c>
    </row>
    <row r="114" spans="1:6" x14ac:dyDescent="0.25">
      <c r="A114" s="2039" t="s">
        <v>2158</v>
      </c>
      <c r="B114" s="2044" t="s">
        <v>2159</v>
      </c>
      <c r="C114" s="2041" t="s">
        <v>2251</v>
      </c>
      <c r="D114" s="1884">
        <v>909</v>
      </c>
      <c r="E114" s="2042">
        <f t="shared" si="2"/>
        <v>909</v>
      </c>
      <c r="F114" s="2042" t="str">
        <f t="shared" si="3"/>
        <v>0</v>
      </c>
    </row>
    <row r="115" spans="1:6" x14ac:dyDescent="0.25">
      <c r="A115" s="2039" t="s">
        <v>2158</v>
      </c>
      <c r="B115" s="2044" t="s">
        <v>2159</v>
      </c>
      <c r="C115" s="2041" t="s">
        <v>2252</v>
      </c>
      <c r="D115" s="1884">
        <v>3148</v>
      </c>
      <c r="E115" s="2042">
        <f t="shared" si="2"/>
        <v>3148</v>
      </c>
      <c r="F115" s="2042" t="str">
        <f t="shared" si="3"/>
        <v>0</v>
      </c>
    </row>
    <row r="116" spans="1:6" x14ac:dyDescent="0.25">
      <c r="A116" s="2039" t="s">
        <v>2158</v>
      </c>
      <c r="B116" s="2044" t="s">
        <v>2159</v>
      </c>
      <c r="C116" s="2041" t="s">
        <v>2253</v>
      </c>
      <c r="D116" s="1884">
        <v>231</v>
      </c>
      <c r="E116" s="2042">
        <f t="shared" si="2"/>
        <v>231</v>
      </c>
      <c r="F116" s="2042" t="str">
        <f t="shared" si="3"/>
        <v>0</v>
      </c>
    </row>
    <row r="117" spans="1:6" x14ac:dyDescent="0.25">
      <c r="A117" s="2039" t="s">
        <v>2158</v>
      </c>
      <c r="B117" s="2044" t="s">
        <v>2159</v>
      </c>
      <c r="C117" s="2041" t="s">
        <v>2254</v>
      </c>
      <c r="D117" s="1884">
        <v>191</v>
      </c>
      <c r="E117" s="2042">
        <f t="shared" si="2"/>
        <v>191</v>
      </c>
      <c r="F117" s="2042" t="str">
        <f t="shared" si="3"/>
        <v>0</v>
      </c>
    </row>
    <row r="118" spans="1:6" x14ac:dyDescent="0.25">
      <c r="A118" s="2039" t="s">
        <v>2158</v>
      </c>
      <c r="B118" s="2044" t="s">
        <v>2159</v>
      </c>
      <c r="C118" s="2041" t="s">
        <v>2255</v>
      </c>
      <c r="D118" s="1884">
        <v>5250</v>
      </c>
      <c r="E118" s="2042">
        <f t="shared" si="2"/>
        <v>5250</v>
      </c>
      <c r="F118" s="2042" t="str">
        <f t="shared" si="3"/>
        <v>0</v>
      </c>
    </row>
    <row r="119" spans="1:6" x14ac:dyDescent="0.25">
      <c r="A119" s="2039" t="s">
        <v>2158</v>
      </c>
      <c r="B119" s="2044" t="s">
        <v>2159</v>
      </c>
      <c r="C119" s="2041" t="s">
        <v>2256</v>
      </c>
      <c r="D119" s="1884">
        <v>45000</v>
      </c>
      <c r="E119" s="2042" t="str">
        <f t="shared" si="2"/>
        <v>25,000</v>
      </c>
      <c r="F119" s="2042">
        <f t="shared" si="3"/>
        <v>20000</v>
      </c>
    </row>
    <row r="120" spans="1:6" x14ac:dyDescent="0.25">
      <c r="A120" s="2039" t="s">
        <v>2158</v>
      </c>
      <c r="B120" s="2044" t="s">
        <v>2159</v>
      </c>
      <c r="C120" s="2041" t="s">
        <v>2214</v>
      </c>
      <c r="D120" s="1884">
        <v>3294</v>
      </c>
      <c r="E120" s="2042">
        <f t="shared" si="2"/>
        <v>3294</v>
      </c>
      <c r="F120" s="2042" t="str">
        <f t="shared" si="3"/>
        <v>0</v>
      </c>
    </row>
    <row r="121" spans="1:6" x14ac:dyDescent="0.25">
      <c r="A121" s="2039" t="s">
        <v>2158</v>
      </c>
      <c r="B121" s="2044" t="s">
        <v>2159</v>
      </c>
      <c r="C121" s="2045" t="s">
        <v>2257</v>
      </c>
      <c r="D121" s="1884">
        <v>1675</v>
      </c>
      <c r="E121" s="2042">
        <f t="shared" si="2"/>
        <v>1675</v>
      </c>
      <c r="F121" s="2042" t="str">
        <f t="shared" si="3"/>
        <v>0</v>
      </c>
    </row>
    <row r="122" spans="1:6" x14ac:dyDescent="0.25">
      <c r="A122" s="2039" t="s">
        <v>2158</v>
      </c>
      <c r="B122" s="2044" t="s">
        <v>2159</v>
      </c>
      <c r="C122" s="2041" t="s">
        <v>2258</v>
      </c>
      <c r="D122" s="1884">
        <v>32500</v>
      </c>
      <c r="E122" s="2042" t="str">
        <f t="shared" si="2"/>
        <v>25,000</v>
      </c>
      <c r="F122" s="2042">
        <f t="shared" si="3"/>
        <v>7500</v>
      </c>
    </row>
    <row r="123" spans="1:6" x14ac:dyDescent="0.25">
      <c r="A123" s="2039" t="s">
        <v>2158</v>
      </c>
      <c r="B123" s="2044" t="s">
        <v>2159</v>
      </c>
      <c r="C123" s="2041" t="s">
        <v>2259</v>
      </c>
      <c r="D123" s="1884">
        <v>11600</v>
      </c>
      <c r="E123" s="2042">
        <f t="shared" si="2"/>
        <v>11600</v>
      </c>
      <c r="F123" s="2042" t="str">
        <f t="shared" si="3"/>
        <v>0</v>
      </c>
    </row>
    <row r="124" spans="1:6" x14ac:dyDescent="0.25">
      <c r="A124" s="2039" t="s">
        <v>2168</v>
      </c>
      <c r="B124" s="2044" t="s">
        <v>2169</v>
      </c>
      <c r="C124" s="2041" t="s">
        <v>2260</v>
      </c>
      <c r="D124" s="1884">
        <v>849</v>
      </c>
      <c r="E124" s="2042">
        <f t="shared" si="2"/>
        <v>849</v>
      </c>
      <c r="F124" s="2042" t="str">
        <f t="shared" si="3"/>
        <v>0</v>
      </c>
    </row>
    <row r="125" spans="1:6" x14ac:dyDescent="0.25">
      <c r="A125" s="2039" t="s">
        <v>2168</v>
      </c>
      <c r="B125" s="2044" t="s">
        <v>2169</v>
      </c>
      <c r="C125" s="2041" t="s">
        <v>2261</v>
      </c>
      <c r="D125" s="1884">
        <v>3200</v>
      </c>
      <c r="E125" s="2042">
        <f t="shared" si="2"/>
        <v>3200</v>
      </c>
      <c r="F125" s="2042" t="str">
        <f t="shared" si="3"/>
        <v>0</v>
      </c>
    </row>
    <row r="126" spans="1:6" x14ac:dyDescent="0.25">
      <c r="A126" s="2039" t="s">
        <v>2184</v>
      </c>
      <c r="B126" s="2044" t="s">
        <v>2185</v>
      </c>
      <c r="C126" s="2041" t="s">
        <v>2177</v>
      </c>
      <c r="D126" s="1884">
        <v>519</v>
      </c>
      <c r="E126" s="2042">
        <f t="shared" si="2"/>
        <v>519</v>
      </c>
      <c r="F126" s="2042" t="str">
        <f t="shared" si="3"/>
        <v>0</v>
      </c>
    </row>
    <row r="127" spans="1:6" x14ac:dyDescent="0.25">
      <c r="A127" s="2039" t="s">
        <v>2203</v>
      </c>
      <c r="B127" s="2044" t="s">
        <v>2204</v>
      </c>
      <c r="C127" s="2041" t="s">
        <v>2177</v>
      </c>
      <c r="D127" s="1884">
        <v>1955</v>
      </c>
      <c r="E127" s="2042">
        <f t="shared" si="2"/>
        <v>1955</v>
      </c>
      <c r="F127" s="2042" t="str">
        <f t="shared" si="3"/>
        <v>0</v>
      </c>
    </row>
    <row r="128" spans="1:6" x14ac:dyDescent="0.25">
      <c r="A128" s="2039" t="s">
        <v>2262</v>
      </c>
      <c r="B128" s="2044" t="s">
        <v>2263</v>
      </c>
      <c r="C128" s="2041" t="s">
        <v>2205</v>
      </c>
      <c r="D128" s="1884">
        <v>65871</v>
      </c>
      <c r="E128" s="2042" t="str">
        <f t="shared" si="2"/>
        <v>25,000</v>
      </c>
      <c r="F128" s="2042">
        <f t="shared" si="3"/>
        <v>40871</v>
      </c>
    </row>
    <row r="129" spans="1:6" x14ac:dyDescent="0.25">
      <c r="A129" s="2039" t="s">
        <v>2168</v>
      </c>
      <c r="B129" s="2044" t="s">
        <v>2169</v>
      </c>
      <c r="C129" s="2041" t="s">
        <v>2264</v>
      </c>
      <c r="D129" s="1884">
        <v>40912</v>
      </c>
      <c r="E129" s="2042" t="str">
        <f t="shared" si="2"/>
        <v>25,000</v>
      </c>
      <c r="F129" s="2042">
        <f t="shared" si="3"/>
        <v>15912</v>
      </c>
    </row>
    <row r="130" spans="1:6" x14ac:dyDescent="0.25">
      <c r="A130" s="2039" t="s">
        <v>2168</v>
      </c>
      <c r="B130" s="2044" t="s">
        <v>2169</v>
      </c>
      <c r="C130" s="2041" t="s">
        <v>2265</v>
      </c>
      <c r="D130" s="1884">
        <v>3058</v>
      </c>
      <c r="E130" s="2042">
        <f t="shared" si="2"/>
        <v>3058</v>
      </c>
      <c r="F130" s="2042" t="str">
        <f t="shared" si="3"/>
        <v>0</v>
      </c>
    </row>
    <row r="131" spans="1:6" x14ac:dyDescent="0.25">
      <c r="A131" s="2039" t="s">
        <v>2203</v>
      </c>
      <c r="B131" s="2044" t="s">
        <v>2204</v>
      </c>
      <c r="C131" s="2041" t="s">
        <v>2266</v>
      </c>
      <c r="D131" s="1884">
        <v>750</v>
      </c>
      <c r="E131" s="2042">
        <f t="shared" si="2"/>
        <v>750</v>
      </c>
      <c r="F131" s="2042" t="str">
        <f t="shared" si="3"/>
        <v>0</v>
      </c>
    </row>
    <row r="132" spans="1:6" x14ac:dyDescent="0.25">
      <c r="A132" s="2039" t="s">
        <v>2267</v>
      </c>
      <c r="B132" s="2044" t="s">
        <v>2268</v>
      </c>
      <c r="C132" s="2041" t="s">
        <v>2269</v>
      </c>
      <c r="D132" s="1884">
        <v>380</v>
      </c>
      <c r="E132" s="2042">
        <f t="shared" si="2"/>
        <v>380</v>
      </c>
      <c r="F132" s="2042" t="str">
        <f t="shared" si="3"/>
        <v>0</v>
      </c>
    </row>
    <row r="133" spans="1:6" x14ac:dyDescent="0.25">
      <c r="A133" s="2039" t="s">
        <v>2158</v>
      </c>
      <c r="B133" s="2044" t="s">
        <v>2159</v>
      </c>
      <c r="C133" s="2041" t="s">
        <v>2270</v>
      </c>
      <c r="D133" s="1884">
        <v>9000</v>
      </c>
      <c r="E133" s="2042">
        <f t="shared" si="2"/>
        <v>9000</v>
      </c>
      <c r="F133" s="2042" t="str">
        <f t="shared" si="3"/>
        <v>0</v>
      </c>
    </row>
    <row r="134" spans="1:6" x14ac:dyDescent="0.25">
      <c r="A134" s="2039" t="s">
        <v>2158</v>
      </c>
      <c r="B134" s="2044" t="s">
        <v>2159</v>
      </c>
      <c r="C134" s="2041" t="s">
        <v>2271</v>
      </c>
      <c r="D134" s="1884">
        <v>6400</v>
      </c>
      <c r="E134" s="2042">
        <f t="shared" si="2"/>
        <v>6400</v>
      </c>
      <c r="F134" s="2042" t="str">
        <f t="shared" si="3"/>
        <v>0</v>
      </c>
    </row>
    <row r="135" spans="1:6" x14ac:dyDescent="0.25">
      <c r="A135" s="2039" t="s">
        <v>2158</v>
      </c>
      <c r="B135" s="2044" t="s">
        <v>2159</v>
      </c>
      <c r="C135" s="2041" t="s">
        <v>2272</v>
      </c>
      <c r="D135" s="1884">
        <v>8945</v>
      </c>
      <c r="E135" s="2042">
        <f t="shared" si="2"/>
        <v>8945</v>
      </c>
      <c r="F135" s="2042" t="str">
        <f t="shared" si="3"/>
        <v>0</v>
      </c>
    </row>
    <row r="136" spans="1:6" x14ac:dyDescent="0.25">
      <c r="A136" s="2039" t="s">
        <v>2158</v>
      </c>
      <c r="B136" s="2044" t="s">
        <v>2159</v>
      </c>
      <c r="C136" s="2041" t="s">
        <v>2273</v>
      </c>
      <c r="D136" s="1884">
        <v>1000</v>
      </c>
      <c r="E136" s="2042">
        <f t="shared" si="2"/>
        <v>1000</v>
      </c>
      <c r="F136" s="2042" t="str">
        <f t="shared" si="3"/>
        <v>0</v>
      </c>
    </row>
    <row r="137" spans="1:6" x14ac:dyDescent="0.25">
      <c r="A137" s="2039" t="s">
        <v>2168</v>
      </c>
      <c r="B137" s="2044" t="s">
        <v>2169</v>
      </c>
      <c r="C137" s="2041" t="s">
        <v>2274</v>
      </c>
      <c r="D137" s="1884">
        <v>1500</v>
      </c>
      <c r="E137" s="2042">
        <f t="shared" si="2"/>
        <v>1500</v>
      </c>
      <c r="F137" s="2042" t="str">
        <f t="shared" si="3"/>
        <v>0</v>
      </c>
    </row>
    <row r="138" spans="1:6" x14ac:dyDescent="0.25">
      <c r="A138" s="2039" t="s">
        <v>2168</v>
      </c>
      <c r="B138" s="2044" t="s">
        <v>2169</v>
      </c>
      <c r="C138" s="2041" t="s">
        <v>2270</v>
      </c>
      <c r="D138" s="1884">
        <v>7324</v>
      </c>
      <c r="E138" s="2042">
        <f t="shared" si="2"/>
        <v>7324</v>
      </c>
      <c r="F138" s="2042" t="str">
        <f t="shared" si="3"/>
        <v>0</v>
      </c>
    </row>
    <row r="139" spans="1:6" x14ac:dyDescent="0.25">
      <c r="A139" s="2039" t="s">
        <v>2168</v>
      </c>
      <c r="B139" s="2044" t="s">
        <v>2169</v>
      </c>
      <c r="C139" s="2041" t="s">
        <v>2275</v>
      </c>
      <c r="D139" s="1884">
        <v>3000</v>
      </c>
      <c r="E139" s="2042">
        <f t="shared" si="2"/>
        <v>3000</v>
      </c>
      <c r="F139" s="2042" t="str">
        <f t="shared" si="3"/>
        <v>0</v>
      </c>
    </row>
    <row r="140" spans="1:6" x14ac:dyDescent="0.25">
      <c r="A140" s="2039" t="s">
        <v>2168</v>
      </c>
      <c r="B140" s="2044" t="s">
        <v>2169</v>
      </c>
      <c r="C140" s="2041" t="s">
        <v>2271</v>
      </c>
      <c r="D140" s="1884">
        <v>2400</v>
      </c>
      <c r="E140" s="2042">
        <f t="shared" si="2"/>
        <v>2400</v>
      </c>
      <c r="F140" s="2042" t="str">
        <f t="shared" si="3"/>
        <v>0</v>
      </c>
    </row>
    <row r="141" spans="1:6" x14ac:dyDescent="0.25">
      <c r="A141" s="2039" t="s">
        <v>2158</v>
      </c>
      <c r="B141" s="2044" t="s">
        <v>2159</v>
      </c>
      <c r="C141" s="2041" t="s">
        <v>2276</v>
      </c>
      <c r="D141" s="1884">
        <v>30400</v>
      </c>
      <c r="E141" s="2042" t="str">
        <f t="shared" si="2"/>
        <v>25,000</v>
      </c>
      <c r="F141" s="2042">
        <f t="shared" si="3"/>
        <v>5400</v>
      </c>
    </row>
    <row r="142" spans="1:6" x14ac:dyDescent="0.25">
      <c r="A142" s="2039" t="s">
        <v>2158</v>
      </c>
      <c r="B142" s="2044" t="s">
        <v>2159</v>
      </c>
      <c r="C142" s="2041" t="s">
        <v>2277</v>
      </c>
      <c r="D142" s="1884">
        <v>115727</v>
      </c>
      <c r="E142" s="2042" t="str">
        <f t="shared" si="2"/>
        <v>25,000</v>
      </c>
      <c r="F142" s="2042">
        <f t="shared" si="3"/>
        <v>90727</v>
      </c>
    </row>
    <row r="143" spans="1:6" x14ac:dyDescent="0.25">
      <c r="A143" s="2039" t="s">
        <v>2278</v>
      </c>
      <c r="B143" s="2044" t="s">
        <v>2279</v>
      </c>
      <c r="C143" s="2041" t="s">
        <v>2280</v>
      </c>
      <c r="D143" s="1884">
        <v>4000</v>
      </c>
      <c r="E143" s="2042">
        <f t="shared" si="2"/>
        <v>4000</v>
      </c>
      <c r="F143" s="2042" t="str">
        <f t="shared" si="3"/>
        <v>0</v>
      </c>
    </row>
    <row r="144" spans="1:6" x14ac:dyDescent="0.25">
      <c r="A144" s="2039" t="s">
        <v>2278</v>
      </c>
      <c r="B144" s="2044" t="s">
        <v>2279</v>
      </c>
      <c r="C144" s="2041" t="s">
        <v>2281</v>
      </c>
      <c r="D144" s="1884">
        <v>3000</v>
      </c>
      <c r="E144" s="2042">
        <f t="shared" si="2"/>
        <v>3000</v>
      </c>
      <c r="F144" s="2042" t="str">
        <f t="shared" si="3"/>
        <v>0</v>
      </c>
    </row>
    <row r="145" spans="1:6" x14ac:dyDescent="0.25">
      <c r="A145" s="2039" t="s">
        <v>2168</v>
      </c>
      <c r="B145" s="2044" t="s">
        <v>2169</v>
      </c>
      <c r="C145" s="2041" t="s">
        <v>2282</v>
      </c>
      <c r="D145" s="1884">
        <v>28543</v>
      </c>
      <c r="E145" s="2042" t="str">
        <f t="shared" si="2"/>
        <v>25,000</v>
      </c>
      <c r="F145" s="2042">
        <f t="shared" si="3"/>
        <v>3543</v>
      </c>
    </row>
    <row r="146" spans="1:6" x14ac:dyDescent="0.25">
      <c r="A146" s="2039" t="s">
        <v>2158</v>
      </c>
      <c r="B146" s="2044" t="s">
        <v>2159</v>
      </c>
      <c r="C146" s="2041" t="s">
        <v>2283</v>
      </c>
      <c r="D146" s="1884">
        <v>960</v>
      </c>
      <c r="E146" s="2042">
        <f t="shared" ref="E146:E203" si="4">IF(D146&lt;25000,D146,"25,000")</f>
        <v>960</v>
      </c>
      <c r="F146" s="2042" t="str">
        <f t="shared" si="3"/>
        <v>0</v>
      </c>
    </row>
    <row r="147" spans="1:6" x14ac:dyDescent="0.25">
      <c r="A147" s="2039" t="s">
        <v>2158</v>
      </c>
      <c r="B147" s="2044" t="s">
        <v>2159</v>
      </c>
      <c r="C147" s="2041" t="s">
        <v>2284</v>
      </c>
      <c r="D147" s="1884">
        <v>4000</v>
      </c>
      <c r="E147" s="2042">
        <f t="shared" si="4"/>
        <v>4000</v>
      </c>
      <c r="F147" s="2042" t="str">
        <f t="shared" si="3"/>
        <v>0</v>
      </c>
    </row>
    <row r="148" spans="1:6" x14ac:dyDescent="0.25">
      <c r="A148" s="2039" t="s">
        <v>2285</v>
      </c>
      <c r="B148" s="2044" t="s">
        <v>2286</v>
      </c>
      <c r="C148" s="2041" t="s">
        <v>2287</v>
      </c>
      <c r="D148" s="1884">
        <v>1000</v>
      </c>
      <c r="E148" s="2042">
        <f t="shared" si="4"/>
        <v>1000</v>
      </c>
      <c r="F148" s="2042" t="str">
        <f t="shared" si="3"/>
        <v>0</v>
      </c>
    </row>
    <row r="149" spans="1:6" x14ac:dyDescent="0.25">
      <c r="A149" s="2039" t="s">
        <v>2168</v>
      </c>
      <c r="B149" s="2044" t="s">
        <v>2169</v>
      </c>
      <c r="C149" s="2041" t="s">
        <v>2287</v>
      </c>
      <c r="D149" s="1884">
        <v>7770</v>
      </c>
      <c r="E149" s="2042">
        <f t="shared" si="4"/>
        <v>7770</v>
      </c>
      <c r="F149" s="2042" t="str">
        <f t="shared" si="3"/>
        <v>0</v>
      </c>
    </row>
    <row r="150" spans="1:6" x14ac:dyDescent="0.25">
      <c r="A150" s="2039" t="s">
        <v>2158</v>
      </c>
      <c r="B150" s="2044" t="s">
        <v>2159</v>
      </c>
      <c r="C150" s="2041" t="s">
        <v>2288</v>
      </c>
      <c r="D150" s="1884">
        <v>8427</v>
      </c>
      <c r="E150" s="2042">
        <f t="shared" si="4"/>
        <v>8427</v>
      </c>
      <c r="F150" s="2042" t="str">
        <f t="shared" si="3"/>
        <v>0</v>
      </c>
    </row>
    <row r="151" spans="1:6" x14ac:dyDescent="0.25">
      <c r="A151" s="2039" t="s">
        <v>2158</v>
      </c>
      <c r="B151" s="2044" t="s">
        <v>2159</v>
      </c>
      <c r="C151" s="2041" t="s">
        <v>2289</v>
      </c>
      <c r="D151" s="1884">
        <v>3416</v>
      </c>
      <c r="E151" s="2042">
        <f t="shared" si="4"/>
        <v>3416</v>
      </c>
      <c r="F151" s="2042" t="str">
        <f t="shared" si="3"/>
        <v>0</v>
      </c>
    </row>
    <row r="152" spans="1:6" x14ac:dyDescent="0.25">
      <c r="A152" s="2039" t="s">
        <v>2158</v>
      </c>
      <c r="B152" s="2044" t="s">
        <v>2159</v>
      </c>
      <c r="C152" s="2041" t="s">
        <v>2290</v>
      </c>
      <c r="D152" s="1884">
        <v>420</v>
      </c>
      <c r="E152" s="2042">
        <f t="shared" si="4"/>
        <v>420</v>
      </c>
      <c r="F152" s="2042" t="str">
        <f t="shared" si="3"/>
        <v>0</v>
      </c>
    </row>
    <row r="153" spans="1:6" x14ac:dyDescent="0.25">
      <c r="A153" s="2039" t="s">
        <v>2158</v>
      </c>
      <c r="B153" s="2044" t="s">
        <v>2159</v>
      </c>
      <c r="C153" s="2041" t="s">
        <v>2291</v>
      </c>
      <c r="D153" s="1884">
        <v>567</v>
      </c>
      <c r="E153" s="2042">
        <f t="shared" si="4"/>
        <v>567</v>
      </c>
      <c r="F153" s="2042" t="str">
        <f t="shared" si="3"/>
        <v>0</v>
      </c>
    </row>
    <row r="154" spans="1:6" x14ac:dyDescent="0.25">
      <c r="A154" s="2039" t="s">
        <v>2168</v>
      </c>
      <c r="B154" s="2044" t="s">
        <v>2169</v>
      </c>
      <c r="C154" s="2041" t="s">
        <v>2292</v>
      </c>
      <c r="D154" s="1884">
        <v>64850</v>
      </c>
      <c r="E154" s="2042" t="str">
        <f t="shared" si="4"/>
        <v>25,000</v>
      </c>
      <c r="F154" s="2042">
        <f t="shared" si="3"/>
        <v>39850</v>
      </c>
    </row>
    <row r="155" spans="1:6" x14ac:dyDescent="0.25">
      <c r="A155" s="2039" t="s">
        <v>2158</v>
      </c>
      <c r="B155" s="2044" t="s">
        <v>2159</v>
      </c>
      <c r="C155" s="2041" t="s">
        <v>2293</v>
      </c>
      <c r="D155" s="1884">
        <v>2000</v>
      </c>
      <c r="E155" s="2042">
        <f t="shared" si="4"/>
        <v>2000</v>
      </c>
      <c r="F155" s="2042" t="str">
        <f t="shared" si="3"/>
        <v>0</v>
      </c>
    </row>
    <row r="156" spans="1:6" x14ac:dyDescent="0.25">
      <c r="A156" s="2039" t="s">
        <v>2158</v>
      </c>
      <c r="B156" s="2044" t="s">
        <v>2159</v>
      </c>
      <c r="C156" s="2041" t="s">
        <v>2227</v>
      </c>
      <c r="D156" s="1884">
        <v>1755</v>
      </c>
      <c r="E156" s="2042">
        <f t="shared" si="4"/>
        <v>1755</v>
      </c>
      <c r="F156" s="2042" t="str">
        <f t="shared" si="3"/>
        <v>0</v>
      </c>
    </row>
    <row r="157" spans="1:6" x14ac:dyDescent="0.25">
      <c r="A157" s="2039" t="s">
        <v>2203</v>
      </c>
      <c r="B157" s="2044" t="s">
        <v>2204</v>
      </c>
      <c r="C157" s="2041" t="s">
        <v>2227</v>
      </c>
      <c r="D157" s="1884">
        <v>16447</v>
      </c>
      <c r="E157" s="2042">
        <f t="shared" si="4"/>
        <v>16447</v>
      </c>
      <c r="F157" s="2042" t="str">
        <f t="shared" si="3"/>
        <v>0</v>
      </c>
    </row>
    <row r="158" spans="1:6" x14ac:dyDescent="0.25">
      <c r="A158" s="2039" t="s">
        <v>2158</v>
      </c>
      <c r="B158" s="2044" t="s">
        <v>2159</v>
      </c>
      <c r="C158" s="2041" t="s">
        <v>2294</v>
      </c>
      <c r="D158" s="1884">
        <v>3800</v>
      </c>
      <c r="E158" s="2042">
        <f t="shared" si="4"/>
        <v>3800</v>
      </c>
      <c r="F158" s="2042" t="str">
        <f t="shared" si="3"/>
        <v>0</v>
      </c>
    </row>
    <row r="159" spans="1:6" x14ac:dyDescent="0.25">
      <c r="A159" s="2039" t="s">
        <v>2158</v>
      </c>
      <c r="B159" s="2044" t="s">
        <v>2159</v>
      </c>
      <c r="C159" s="2041" t="s">
        <v>2295</v>
      </c>
      <c r="D159" s="1884">
        <v>200</v>
      </c>
      <c r="E159" s="2042">
        <f t="shared" si="4"/>
        <v>200</v>
      </c>
      <c r="F159" s="2042" t="str">
        <f t="shared" si="3"/>
        <v>0</v>
      </c>
    </row>
    <row r="160" spans="1:6" x14ac:dyDescent="0.25">
      <c r="A160" s="2039" t="s">
        <v>2158</v>
      </c>
      <c r="B160" s="2044" t="s">
        <v>2159</v>
      </c>
      <c r="C160" s="2041" t="s">
        <v>2296</v>
      </c>
      <c r="D160" s="1884">
        <v>600</v>
      </c>
      <c r="E160" s="2042">
        <f t="shared" si="4"/>
        <v>600</v>
      </c>
      <c r="F160" s="2042" t="str">
        <f t="shared" si="3"/>
        <v>0</v>
      </c>
    </row>
    <row r="161" spans="1:6" x14ac:dyDescent="0.25">
      <c r="A161" s="2039" t="s">
        <v>2168</v>
      </c>
      <c r="B161" s="2044" t="s">
        <v>2169</v>
      </c>
      <c r="C161" s="2041" t="s">
        <v>2297</v>
      </c>
      <c r="D161" s="1884">
        <v>72800</v>
      </c>
      <c r="E161" s="2042" t="str">
        <f t="shared" si="4"/>
        <v>25,000</v>
      </c>
      <c r="F161" s="2042">
        <f t="shared" si="3"/>
        <v>47800</v>
      </c>
    </row>
    <row r="162" spans="1:6" x14ac:dyDescent="0.25">
      <c r="A162" s="2039" t="s">
        <v>2158</v>
      </c>
      <c r="B162" s="2044" t="s">
        <v>2159</v>
      </c>
      <c r="C162" s="2041" t="s">
        <v>2298</v>
      </c>
      <c r="D162" s="1884">
        <v>2050</v>
      </c>
      <c r="E162" s="2042">
        <f t="shared" si="4"/>
        <v>2050</v>
      </c>
      <c r="F162" s="2042" t="str">
        <f t="shared" si="3"/>
        <v>0</v>
      </c>
    </row>
    <row r="163" spans="1:6" x14ac:dyDescent="0.25">
      <c r="A163" s="2039" t="s">
        <v>2158</v>
      </c>
      <c r="B163" s="2044" t="s">
        <v>2159</v>
      </c>
      <c r="C163" s="2041" t="s">
        <v>2299</v>
      </c>
      <c r="D163" s="1884">
        <v>970</v>
      </c>
      <c r="E163" s="2042">
        <f t="shared" si="4"/>
        <v>970</v>
      </c>
      <c r="F163" s="2042" t="str">
        <f t="shared" si="3"/>
        <v>0</v>
      </c>
    </row>
    <row r="164" spans="1:6" x14ac:dyDescent="0.25">
      <c r="A164" s="2039" t="s">
        <v>2158</v>
      </c>
      <c r="B164" s="2044" t="s">
        <v>2159</v>
      </c>
      <c r="C164" s="2041" t="s">
        <v>2300</v>
      </c>
      <c r="D164" s="1884">
        <v>2000</v>
      </c>
      <c r="E164" s="2042">
        <f t="shared" si="4"/>
        <v>2000</v>
      </c>
      <c r="F164" s="2042" t="str">
        <f t="shared" si="3"/>
        <v>0</v>
      </c>
    </row>
    <row r="165" spans="1:6" x14ac:dyDescent="0.25">
      <c r="A165" s="2039" t="s">
        <v>2158</v>
      </c>
      <c r="B165" s="2044" t="s">
        <v>2159</v>
      </c>
      <c r="C165" s="2041" t="s">
        <v>2301</v>
      </c>
      <c r="D165" s="1884">
        <v>1699</v>
      </c>
      <c r="E165" s="2042">
        <f t="shared" si="4"/>
        <v>1699</v>
      </c>
      <c r="F165" s="2042" t="str">
        <f t="shared" si="3"/>
        <v>0</v>
      </c>
    </row>
    <row r="166" spans="1:6" x14ac:dyDescent="0.25">
      <c r="A166" s="2039" t="s">
        <v>2158</v>
      </c>
      <c r="B166" s="2044" t="s">
        <v>2159</v>
      </c>
      <c r="C166" s="2041" t="s">
        <v>2302</v>
      </c>
      <c r="D166" s="1884">
        <v>9100</v>
      </c>
      <c r="E166" s="2042">
        <f t="shared" si="4"/>
        <v>9100</v>
      </c>
      <c r="F166" s="2042" t="str">
        <f t="shared" si="3"/>
        <v>0</v>
      </c>
    </row>
    <row r="167" spans="1:6" x14ac:dyDescent="0.25">
      <c r="A167" s="2039" t="s">
        <v>2303</v>
      </c>
      <c r="B167" s="2044" t="s">
        <v>2304</v>
      </c>
      <c r="C167" s="2041" t="s">
        <v>2305</v>
      </c>
      <c r="D167" s="1884">
        <v>6416</v>
      </c>
      <c r="E167" s="2042">
        <f t="shared" si="4"/>
        <v>6416</v>
      </c>
      <c r="F167" s="2042" t="str">
        <f t="shared" si="3"/>
        <v>0</v>
      </c>
    </row>
    <row r="168" spans="1:6" x14ac:dyDescent="0.25">
      <c r="A168" s="2039" t="s">
        <v>2303</v>
      </c>
      <c r="B168" s="2044" t="s">
        <v>2304</v>
      </c>
      <c r="C168" s="2041" t="s">
        <v>2306</v>
      </c>
      <c r="D168" s="1884">
        <v>103968</v>
      </c>
      <c r="E168" s="2042" t="str">
        <f t="shared" si="4"/>
        <v>25,000</v>
      </c>
      <c r="F168" s="2042">
        <f t="shared" si="3"/>
        <v>78968</v>
      </c>
    </row>
    <row r="169" spans="1:6" x14ac:dyDescent="0.25">
      <c r="A169" s="2039" t="s">
        <v>2303</v>
      </c>
      <c r="B169" s="2044" t="s">
        <v>2304</v>
      </c>
      <c r="C169" s="2041" t="s">
        <v>2307</v>
      </c>
      <c r="D169" s="1884">
        <v>108158</v>
      </c>
      <c r="E169" s="2042" t="str">
        <f t="shared" si="4"/>
        <v>25,000</v>
      </c>
      <c r="F169" s="2042">
        <f t="shared" si="3"/>
        <v>83158</v>
      </c>
    </row>
    <row r="170" spans="1:6" x14ac:dyDescent="0.25">
      <c r="A170" s="2039" t="s">
        <v>2303</v>
      </c>
      <c r="B170" s="2044" t="s">
        <v>2304</v>
      </c>
      <c r="C170" s="2041" t="s">
        <v>2308</v>
      </c>
      <c r="D170" s="1884">
        <v>12</v>
      </c>
      <c r="E170" s="2042">
        <f t="shared" si="4"/>
        <v>12</v>
      </c>
      <c r="F170" s="2042" t="str">
        <f t="shared" si="3"/>
        <v>0</v>
      </c>
    </row>
    <row r="171" spans="1:6" x14ac:dyDescent="0.25">
      <c r="A171" s="2039" t="s">
        <v>2303</v>
      </c>
      <c r="B171" s="2044" t="s">
        <v>2304</v>
      </c>
      <c r="C171" s="2041" t="s">
        <v>2309</v>
      </c>
      <c r="D171" s="1884">
        <v>110879</v>
      </c>
      <c r="E171" s="2042" t="str">
        <f t="shared" si="4"/>
        <v>25,000</v>
      </c>
      <c r="F171" s="2042">
        <f t="shared" si="3"/>
        <v>85879</v>
      </c>
    </row>
    <row r="172" spans="1:6" x14ac:dyDescent="0.25">
      <c r="A172" s="2039" t="s">
        <v>2303</v>
      </c>
      <c r="B172" s="2044" t="s">
        <v>2304</v>
      </c>
      <c r="C172" s="2041" t="s">
        <v>2245</v>
      </c>
      <c r="D172" s="1884">
        <v>23254.81</v>
      </c>
      <c r="E172" s="2042">
        <f t="shared" si="4"/>
        <v>23254.81</v>
      </c>
      <c r="F172" s="2042" t="str">
        <f t="shared" si="3"/>
        <v>0</v>
      </c>
    </row>
    <row r="173" spans="1:6" x14ac:dyDescent="0.25">
      <c r="A173" s="2039" t="s">
        <v>2303</v>
      </c>
      <c r="B173" s="2044" t="s">
        <v>2304</v>
      </c>
      <c r="C173" s="2041" t="s">
        <v>2310</v>
      </c>
      <c r="D173" s="1884">
        <v>62942</v>
      </c>
      <c r="E173" s="2042" t="str">
        <f t="shared" si="4"/>
        <v>25,000</v>
      </c>
      <c r="F173" s="2042">
        <f t="shared" si="3"/>
        <v>37942</v>
      </c>
    </row>
    <row r="174" spans="1:6" x14ac:dyDescent="0.25">
      <c r="A174" s="2039" t="s">
        <v>2303</v>
      </c>
      <c r="B174" s="2044" t="s">
        <v>2304</v>
      </c>
      <c r="C174" s="2041" t="s">
        <v>2311</v>
      </c>
      <c r="D174" s="1884">
        <v>34916</v>
      </c>
      <c r="E174" s="2042" t="str">
        <f t="shared" si="4"/>
        <v>25,000</v>
      </c>
      <c r="F174" s="2042">
        <f t="shared" si="3"/>
        <v>9916</v>
      </c>
    </row>
    <row r="175" spans="1:6" x14ac:dyDescent="0.25">
      <c r="A175" s="2039" t="s">
        <v>2303</v>
      </c>
      <c r="B175" s="2044" t="s">
        <v>2304</v>
      </c>
      <c r="C175" s="2041" t="s">
        <v>2312</v>
      </c>
      <c r="D175" s="1884">
        <v>5836</v>
      </c>
      <c r="E175" s="2042">
        <f t="shared" si="4"/>
        <v>5836</v>
      </c>
      <c r="F175" s="2042" t="str">
        <f t="shared" si="3"/>
        <v>0</v>
      </c>
    </row>
    <row r="176" spans="1:6" x14ac:dyDescent="0.25">
      <c r="A176" s="2039" t="s">
        <v>2303</v>
      </c>
      <c r="B176" s="2044" t="s">
        <v>2304</v>
      </c>
      <c r="C176" s="2041" t="s">
        <v>2313</v>
      </c>
      <c r="D176" s="1884">
        <v>13514</v>
      </c>
      <c r="E176" s="2042">
        <f t="shared" si="4"/>
        <v>13514</v>
      </c>
      <c r="F176" s="2042" t="str">
        <f t="shared" si="3"/>
        <v>0</v>
      </c>
    </row>
    <row r="177" spans="1:6" x14ac:dyDescent="0.25">
      <c r="A177" s="2039" t="s">
        <v>2303</v>
      </c>
      <c r="B177" s="2044" t="s">
        <v>2304</v>
      </c>
      <c r="C177" s="2041" t="s">
        <v>2314</v>
      </c>
      <c r="D177" s="1884">
        <v>16665</v>
      </c>
      <c r="E177" s="2042">
        <f t="shared" si="4"/>
        <v>16665</v>
      </c>
      <c r="F177" s="2042" t="str">
        <f t="shared" si="3"/>
        <v>0</v>
      </c>
    </row>
    <row r="178" spans="1:6" x14ac:dyDescent="0.25">
      <c r="A178" s="2039" t="s">
        <v>2303</v>
      </c>
      <c r="B178" s="2044" t="s">
        <v>2304</v>
      </c>
      <c r="C178" s="2041" t="s">
        <v>2315</v>
      </c>
      <c r="D178" s="1884">
        <v>8537</v>
      </c>
      <c r="E178" s="2042">
        <f t="shared" si="4"/>
        <v>8537</v>
      </c>
      <c r="F178" s="2042" t="str">
        <f t="shared" si="3"/>
        <v>0</v>
      </c>
    </row>
    <row r="179" spans="1:6" x14ac:dyDescent="0.25">
      <c r="A179" s="2039" t="s">
        <v>2303</v>
      </c>
      <c r="B179" s="2044" t="s">
        <v>2304</v>
      </c>
      <c r="C179" s="2041" t="s">
        <v>2316</v>
      </c>
      <c r="D179" s="1884">
        <v>27034</v>
      </c>
      <c r="E179" s="2042" t="str">
        <f t="shared" si="4"/>
        <v>25,000</v>
      </c>
      <c r="F179" s="2042">
        <f t="shared" si="3"/>
        <v>2034</v>
      </c>
    </row>
    <row r="180" spans="1:6" x14ac:dyDescent="0.25">
      <c r="A180" s="2039" t="s">
        <v>2303</v>
      </c>
      <c r="B180" s="2044" t="s">
        <v>2304</v>
      </c>
      <c r="C180" s="2041" t="s">
        <v>2317</v>
      </c>
      <c r="D180" s="1884">
        <v>3103</v>
      </c>
      <c r="E180" s="2042">
        <f t="shared" si="4"/>
        <v>3103</v>
      </c>
      <c r="F180" s="2042" t="str">
        <f t="shared" si="3"/>
        <v>0</v>
      </c>
    </row>
    <row r="181" spans="1:6" x14ac:dyDescent="0.25">
      <c r="A181" s="2039" t="s">
        <v>2303</v>
      </c>
      <c r="B181" s="2044" t="s">
        <v>2304</v>
      </c>
      <c r="C181" s="2041" t="s">
        <v>2318</v>
      </c>
      <c r="D181" s="1884">
        <v>13470</v>
      </c>
      <c r="E181" s="2042">
        <f t="shared" si="4"/>
        <v>13470</v>
      </c>
      <c r="F181" s="2042" t="str">
        <f t="shared" si="3"/>
        <v>0</v>
      </c>
    </row>
    <row r="182" spans="1:6" x14ac:dyDescent="0.25">
      <c r="A182" s="2039" t="s">
        <v>2303</v>
      </c>
      <c r="B182" s="2044" t="s">
        <v>2304</v>
      </c>
      <c r="C182" s="2041" t="s">
        <v>2319</v>
      </c>
      <c r="D182" s="1884">
        <v>4800</v>
      </c>
      <c r="E182" s="2042">
        <f t="shared" si="4"/>
        <v>4800</v>
      </c>
      <c r="F182" s="2042" t="str">
        <f t="shared" si="3"/>
        <v>0</v>
      </c>
    </row>
    <row r="183" spans="1:6" x14ac:dyDescent="0.25">
      <c r="A183" s="2039" t="s">
        <v>2303</v>
      </c>
      <c r="B183" s="2044" t="s">
        <v>2304</v>
      </c>
      <c r="C183" s="2041" t="s">
        <v>2320</v>
      </c>
      <c r="D183" s="1884">
        <v>2710</v>
      </c>
      <c r="E183" s="2042">
        <f t="shared" si="4"/>
        <v>2710</v>
      </c>
      <c r="F183" s="2042" t="str">
        <f t="shared" si="3"/>
        <v>0</v>
      </c>
    </row>
    <row r="184" spans="1:6" x14ac:dyDescent="0.25">
      <c r="A184" s="2039" t="s">
        <v>2303</v>
      </c>
      <c r="B184" s="2044" t="s">
        <v>2304</v>
      </c>
      <c r="C184" s="2041" t="s">
        <v>2321</v>
      </c>
      <c r="D184" s="1884">
        <v>4072</v>
      </c>
      <c r="E184" s="2042">
        <f t="shared" si="4"/>
        <v>4072</v>
      </c>
      <c r="F184" s="2042" t="str">
        <f t="shared" si="3"/>
        <v>0</v>
      </c>
    </row>
    <row r="185" spans="1:6" x14ac:dyDescent="0.25">
      <c r="A185" s="2039" t="s">
        <v>2322</v>
      </c>
      <c r="B185" s="2044" t="s">
        <v>2323</v>
      </c>
      <c r="C185" s="2041" t="s">
        <v>2324</v>
      </c>
      <c r="D185" s="1884">
        <v>24715</v>
      </c>
      <c r="E185" s="2042">
        <f t="shared" si="4"/>
        <v>24715</v>
      </c>
      <c r="F185" s="2042" t="str">
        <f t="shared" si="3"/>
        <v>0</v>
      </c>
    </row>
    <row r="186" spans="1:6" x14ac:dyDescent="0.25">
      <c r="A186" s="2039" t="s">
        <v>2322</v>
      </c>
      <c r="B186" s="2044" t="s">
        <v>2323</v>
      </c>
      <c r="C186" s="2041" t="s">
        <v>2325</v>
      </c>
      <c r="D186" s="1884">
        <v>67089</v>
      </c>
      <c r="E186" s="2042" t="str">
        <f t="shared" si="4"/>
        <v>25,000</v>
      </c>
      <c r="F186" s="2042">
        <f t="shared" si="3"/>
        <v>42089</v>
      </c>
    </row>
    <row r="187" spans="1:6" x14ac:dyDescent="0.25">
      <c r="A187" s="2039" t="s">
        <v>2326</v>
      </c>
      <c r="B187" s="2044" t="s">
        <v>2327</v>
      </c>
      <c r="C187" s="2041" t="s">
        <v>2205</v>
      </c>
      <c r="D187" s="1884">
        <v>37778</v>
      </c>
      <c r="E187" s="2042" t="str">
        <f t="shared" si="4"/>
        <v>25,000</v>
      </c>
      <c r="F187" s="2042">
        <f t="shared" si="3"/>
        <v>12778</v>
      </c>
    </row>
    <row r="188" spans="1:6" x14ac:dyDescent="0.25">
      <c r="A188" s="2039" t="s">
        <v>2326</v>
      </c>
      <c r="B188" s="2044" t="s">
        <v>2327</v>
      </c>
      <c r="C188" s="2041" t="s">
        <v>2328</v>
      </c>
      <c r="D188" s="1884">
        <v>1376514</v>
      </c>
      <c r="E188" s="2042" t="str">
        <f t="shared" si="4"/>
        <v>25,000</v>
      </c>
      <c r="F188" s="2042">
        <f t="shared" si="3"/>
        <v>1351514</v>
      </c>
    </row>
    <row r="189" spans="1:6" x14ac:dyDescent="0.25">
      <c r="A189" s="2039" t="s">
        <v>2322</v>
      </c>
      <c r="B189" s="2044" t="s">
        <v>2323</v>
      </c>
      <c r="C189" s="2041" t="s">
        <v>2328</v>
      </c>
      <c r="D189" s="1884">
        <v>70747</v>
      </c>
      <c r="E189" s="2042" t="str">
        <f t="shared" si="4"/>
        <v>25,000</v>
      </c>
      <c r="F189" s="2042">
        <f t="shared" si="3"/>
        <v>45747</v>
      </c>
    </row>
    <row r="190" spans="1:6" x14ac:dyDescent="0.25">
      <c r="A190" s="2039" t="s">
        <v>2326</v>
      </c>
      <c r="B190" s="2044" t="s">
        <v>2327</v>
      </c>
      <c r="C190" s="2041" t="s">
        <v>2329</v>
      </c>
      <c r="D190" s="1884">
        <v>1485</v>
      </c>
      <c r="E190" s="2042">
        <f t="shared" si="4"/>
        <v>1485</v>
      </c>
      <c r="F190" s="2042" t="str">
        <f t="shared" si="3"/>
        <v>0</v>
      </c>
    </row>
    <row r="191" spans="1:6" x14ac:dyDescent="0.25">
      <c r="A191" s="2039" t="s">
        <v>2322</v>
      </c>
      <c r="B191" s="2044" t="s">
        <v>2323</v>
      </c>
      <c r="C191" s="2041" t="s">
        <v>2330</v>
      </c>
      <c r="D191" s="1884">
        <v>2898</v>
      </c>
      <c r="E191" s="2042">
        <f t="shared" si="4"/>
        <v>2898</v>
      </c>
      <c r="F191" s="2042" t="str">
        <f t="shared" si="3"/>
        <v>0</v>
      </c>
    </row>
    <row r="192" spans="1:6" x14ac:dyDescent="0.25">
      <c r="A192" s="2039" t="s">
        <v>2322</v>
      </c>
      <c r="B192" s="2044" t="s">
        <v>2323</v>
      </c>
      <c r="C192" s="2041" t="s">
        <v>2331</v>
      </c>
      <c r="D192" s="1884">
        <v>3195</v>
      </c>
      <c r="E192" s="2042">
        <f t="shared" si="4"/>
        <v>3195</v>
      </c>
      <c r="F192" s="2042" t="str">
        <f t="shared" si="3"/>
        <v>0</v>
      </c>
    </row>
    <row r="193" spans="1:6" x14ac:dyDescent="0.25">
      <c r="A193" s="2039" t="s">
        <v>2332</v>
      </c>
      <c r="B193" s="2044" t="s">
        <v>2333</v>
      </c>
      <c r="C193" s="2041" t="s">
        <v>2334</v>
      </c>
      <c r="D193" s="1884">
        <v>99992</v>
      </c>
      <c r="E193" s="2042" t="str">
        <f t="shared" si="4"/>
        <v>25,000</v>
      </c>
      <c r="F193" s="2042">
        <f t="shared" si="3"/>
        <v>74992</v>
      </c>
    </row>
    <row r="194" spans="1:6" x14ac:dyDescent="0.25">
      <c r="A194" s="2039" t="s">
        <v>2332</v>
      </c>
      <c r="B194" s="2044" t="s">
        <v>2333</v>
      </c>
      <c r="C194" s="2041" t="s">
        <v>2335</v>
      </c>
      <c r="D194" s="1884">
        <v>1040</v>
      </c>
      <c r="E194" s="2042">
        <f t="shared" si="4"/>
        <v>1040</v>
      </c>
      <c r="F194" s="2042" t="str">
        <f t="shared" si="3"/>
        <v>0</v>
      </c>
    </row>
    <row r="195" spans="1:6" x14ac:dyDescent="0.25">
      <c r="A195" s="2039" t="s">
        <v>2332</v>
      </c>
      <c r="B195" s="2044" t="s">
        <v>2333</v>
      </c>
      <c r="C195" s="2041" t="s">
        <v>2336</v>
      </c>
      <c r="D195" s="1884">
        <v>200436</v>
      </c>
      <c r="E195" s="2042" t="str">
        <f t="shared" si="4"/>
        <v>25,000</v>
      </c>
      <c r="F195" s="2042">
        <f t="shared" si="3"/>
        <v>175436</v>
      </c>
    </row>
    <row r="196" spans="1:6" x14ac:dyDescent="0.25">
      <c r="A196" s="2039" t="s">
        <v>2332</v>
      </c>
      <c r="B196" s="2044" t="s">
        <v>2333</v>
      </c>
      <c r="C196" s="2041" t="s">
        <v>2337</v>
      </c>
      <c r="D196" s="1884">
        <v>22995</v>
      </c>
      <c r="E196" s="2042">
        <f t="shared" si="4"/>
        <v>22995</v>
      </c>
      <c r="F196" s="2042" t="str">
        <f t="shared" si="3"/>
        <v>0</v>
      </c>
    </row>
    <row r="197" spans="1:6" x14ac:dyDescent="0.25">
      <c r="A197" s="2039" t="s">
        <v>2332</v>
      </c>
      <c r="B197" s="2044" t="s">
        <v>2333</v>
      </c>
      <c r="C197" s="2041" t="s">
        <v>2338</v>
      </c>
      <c r="D197" s="1884">
        <v>25821</v>
      </c>
      <c r="E197" s="2042" t="str">
        <f t="shared" si="4"/>
        <v>25,000</v>
      </c>
      <c r="F197" s="2042">
        <f t="shared" si="3"/>
        <v>821</v>
      </c>
    </row>
    <row r="198" spans="1:6" x14ac:dyDescent="0.25">
      <c r="A198" s="2039" t="s">
        <v>2332</v>
      </c>
      <c r="B198" s="2044" t="s">
        <v>2333</v>
      </c>
      <c r="C198" s="2041" t="s">
        <v>2339</v>
      </c>
      <c r="D198" s="1884">
        <v>59933</v>
      </c>
      <c r="E198" s="2042" t="str">
        <f t="shared" si="4"/>
        <v>25,000</v>
      </c>
      <c r="F198" s="2042">
        <f t="shared" si="3"/>
        <v>34933</v>
      </c>
    </row>
    <row r="199" spans="1:6" x14ac:dyDescent="0.25">
      <c r="A199" s="2039" t="s">
        <v>2332</v>
      </c>
      <c r="B199" s="2044" t="s">
        <v>2333</v>
      </c>
      <c r="C199" s="2041" t="s">
        <v>2340</v>
      </c>
      <c r="D199" s="1884">
        <v>1721</v>
      </c>
      <c r="E199" s="2042">
        <f t="shared" si="4"/>
        <v>1721</v>
      </c>
      <c r="F199" s="2042" t="str">
        <f t="shared" si="3"/>
        <v>0</v>
      </c>
    </row>
    <row r="200" spans="1:6" x14ac:dyDescent="0.25">
      <c r="A200" s="2039" t="s">
        <v>2332</v>
      </c>
      <c r="B200" s="2044" t="s">
        <v>2333</v>
      </c>
      <c r="C200" s="2041" t="s">
        <v>2341</v>
      </c>
      <c r="D200" s="1884">
        <v>300</v>
      </c>
      <c r="E200" s="2042">
        <f t="shared" si="4"/>
        <v>300</v>
      </c>
      <c r="F200" s="2042" t="str">
        <f t="shared" si="3"/>
        <v>0</v>
      </c>
    </row>
    <row r="201" spans="1:6" x14ac:dyDescent="0.25">
      <c r="A201" s="2039" t="s">
        <v>2332</v>
      </c>
      <c r="B201" s="2044" t="s">
        <v>2333</v>
      </c>
      <c r="C201" s="2041" t="s">
        <v>2342</v>
      </c>
      <c r="D201" s="1884">
        <v>2193</v>
      </c>
      <c r="E201" s="2042">
        <f t="shared" si="4"/>
        <v>2193</v>
      </c>
      <c r="F201" s="2042" t="str">
        <f t="shared" si="3"/>
        <v>0</v>
      </c>
    </row>
    <row r="202" spans="1:6" x14ac:dyDescent="0.25">
      <c r="A202" s="2039" t="s">
        <v>2332</v>
      </c>
      <c r="B202" s="2044" t="s">
        <v>2333</v>
      </c>
      <c r="C202" s="2041" t="s">
        <v>2343</v>
      </c>
      <c r="D202" s="1884">
        <v>6933</v>
      </c>
      <c r="E202" s="2042">
        <f t="shared" si="4"/>
        <v>6933</v>
      </c>
      <c r="F202" s="2042" t="str">
        <f t="shared" si="3"/>
        <v>0</v>
      </c>
    </row>
    <row r="203" spans="1:6" x14ac:dyDescent="0.25">
      <c r="A203" s="2039" t="s">
        <v>2344</v>
      </c>
      <c r="B203" s="2044" t="s">
        <v>2345</v>
      </c>
      <c r="C203" s="2041" t="s">
        <v>2346</v>
      </c>
      <c r="D203" s="1884"/>
      <c r="E203" s="2042">
        <f t="shared" si="4"/>
        <v>0</v>
      </c>
      <c r="F203" s="2042" t="str">
        <f t="shared" si="3"/>
        <v>0</v>
      </c>
    </row>
    <row r="204" spans="1:6" x14ac:dyDescent="0.25">
      <c r="A204" s="1886"/>
      <c r="B204" s="1904"/>
      <c r="C204" s="1887"/>
      <c r="D204" s="1884"/>
      <c r="E204" s="1902">
        <f t="shared" ref="E204:E205" si="5">IF(D204&lt;25000,D204,"25,000")</f>
        <v>0</v>
      </c>
      <c r="F204" s="1902" t="str">
        <f t="shared" ref="F204" si="6">IF(D204&gt;=25000,(D204-E204),"0")</f>
        <v>0</v>
      </c>
    </row>
    <row r="205" spans="1:6" x14ac:dyDescent="0.25">
      <c r="A205" s="1886"/>
      <c r="B205" s="1904"/>
      <c r="C205" s="1887"/>
      <c r="D205" s="1884"/>
      <c r="E205" s="1902">
        <f t="shared" si="5"/>
        <v>0</v>
      </c>
      <c r="F205" s="1902" t="str">
        <f t="shared" ref="F205:F207" si="7">IF(D205&gt;=25000,(D205-E205),"0")</f>
        <v>0</v>
      </c>
    </row>
    <row r="206" spans="1:6" x14ac:dyDescent="0.25">
      <c r="A206" s="1886"/>
      <c r="B206" s="1904"/>
      <c r="C206" s="1887"/>
      <c r="D206" s="1884"/>
      <c r="E206" s="1902">
        <f t="shared" ref="E206:E207" si="8">IF(D206&lt;25000,D206,"25,000")</f>
        <v>0</v>
      </c>
      <c r="F206" s="1902" t="str">
        <f t="shared" si="7"/>
        <v>0</v>
      </c>
    </row>
    <row r="207" spans="1:6" x14ac:dyDescent="0.25">
      <c r="A207" s="1886"/>
      <c r="B207" s="1905"/>
      <c r="C207" s="1887"/>
      <c r="D207" s="1884"/>
      <c r="E207" s="1902">
        <f t="shared" si="8"/>
        <v>0</v>
      </c>
      <c r="F207" s="1902" t="str">
        <f t="shared" si="7"/>
        <v>0</v>
      </c>
    </row>
    <row r="208" spans="1:6" x14ac:dyDescent="0.25">
      <c r="A208" s="1888" t="s">
        <v>155</v>
      </c>
      <c r="B208" s="1906"/>
      <c r="C208" s="1889"/>
      <c r="D208" s="1890">
        <f>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112+D113+D114+D115+D116+D117+D118+D119+D120+D121+D122+D123+D124+D125+D126+D127+D128+D129+D130+D131+D132+D133+D134+D135+D136+D137+D138+D139+D140+D141+D142+D143+D144+D145+D146+D147+D148+D149+D150+D151+D152+D153+D154+D155+D156+D157+D158+D159+D160+D161+D162+D163+D164+D165+D166+D167+D168+D169+D170+D171+D172+D173+D174+D175+D176+D177+D178+D179+D180+D181+D182+D183+D184+D185+D186+D187+D188+D189+D190+D191+D192+D193+D194+D195+D196+D197+D198+D199+D200+D201+D202</f>
        <v>5499202.9299999997</v>
      </c>
      <c r="E208" s="1890">
        <f>E18+E19+E20+E21+E22+E23+E24+E25+E26+E27+E28+E29+E30+E31+E32+E33+E34+E35+E36+E37+E38+E39+E40+E41+E42+E43+E44+E45+E46+E47+E48+E49+E50+E51+E52+E53+E54+E55+E56+E57+E58+E59+E60+E61+E62+E63+E64+E65+E66+E67+E68+E69+E70+E71+E72+E73+E74+E75+E76+E77+E78+E79+E80+E81+E82+E83+E84+E85+E86+E87+E88+E89+E90+E91+E92+E93+E94+E95+E96+E97+E98+E99+E100+E101+E102+E103+E104+E105+E106+E107+E108+E109+E110+E111+E112+E113+E114+E115+E116+E117+E118+E119+E120+E121+E122+E123+E124+E125+E126+E127+E128+E129+E130+E131+E132+E133+E134+E135+E136+E137+E138+E139+E140+E141+E142+E143+E144+E145+E146+E147+E148+E149+E150+E151+E152+E153+E154+E155+E156+E157+E158+E159+E160+E161+E162+E163+E164+E165+E166+E167+E168+E169+E170+E171+E172+E173+E174+E175+E176+E177+E178+E179+E180+E181+E182+E183+E184+E185+E186+E187+E188+E189+E190+E191+E192+E193+E194+E195+E196+E197+E198+E199+E200+E201+E202</f>
        <v>1662324.27</v>
      </c>
      <c r="F208" s="1890">
        <f>F18+F19+F20+F21+F22+F23+F24+F25+F26+F27+F28+F29+F30+F31+F32+F33+F34+F35+F36+F37+F38+F39+F40+F41+F42+F43+F44+F45+F46+F47+F48+F49+F50+F51+F52+F53+F54+F55+F56+F57+F58+F59+F60+F61+F62+F63+F64+F65+F66+F67+F68+F69+F70+F71+F72+F73+F74+F75+F76+F77+F78+F79+F80+F81+F82+F83+F84+F85+F86+F87+F88+F89+F90+F91+F92+F93+F94+F95+F96+F97+F98+F99+F100+F101+F102+F103+F104+F105+F106+F107+F108+F109+F110+F111+F112+F113+F114+F115+F116+F117+F118+F119+F120+F121+F122+F123+F124+F125+F126+F127+F128+F129+F130+F131+F132+F133+F134+F135+F136+F137+F138+F139+F140+F141+F142+F143+F144+F145+F146+F147+F148+F149+F150+F151+F152+F153+F154+F155+F156+F157+F158+F159+F160+F161+F162+F163+F164+F165+F166+F167+F168+F169+F170+F171+F172+F173+F174+F175+F176+F177+F178+F179+F180+F181+F182+F183+F184+F185+F186+F187+F188+F189+F190+F191+F192+F193+F194+F195+F196+F197+F198+F199+F200+F201+F202</f>
        <v>3836878.66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8" colorId="8" zoomScale="110" zoomScaleNormal="110" workbookViewId="0">
      <selection activeCell="K38" sqref="K3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8" t="s">
        <v>1660</v>
      </c>
      <c r="B5" s="2399"/>
      <c r="C5" s="2399"/>
      <c r="D5" s="2399"/>
      <c r="E5" s="2399"/>
      <c r="F5" s="2399"/>
      <c r="G5" s="240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1">
        <f>' SEFA'!L17+' SEFA'!L18</f>
        <v>247118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44443291</v>
      </c>
      <c r="F19" s="1802"/>
      <c r="G19" s="1804">
        <f>'Expenditures 15-22'!K33-SUM('Expenditures 15-22'!G33,'Expenditures 15-22'!I33)+'Expenditures 15-22'!D229</f>
        <v>44443291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5517091</v>
      </c>
      <c r="F21" s="1805"/>
      <c r="G21" s="1808">
        <f>'Expenditures 15-22'!K42-SUM('Expenditures 15-22'!G42,'Expenditures 15-22'!I42)+'Expenditures 15-22'!K120-SUM('Expenditures 15-22'!G120,'Expenditures 15-22'!I120)+'Expenditures 15-22'!K180-SUM('Expenditures 15-22'!G180,'Expenditures 15-22'!I180)+'Expenditures 15-22'!D238</f>
        <v>5517091</v>
      </c>
      <c r="H21" s="817"/>
      <c r="I21" s="157"/>
    </row>
    <row r="22" spans="1:9" s="542" customFormat="1" ht="12" customHeight="1" x14ac:dyDescent="0.2">
      <c r="A22" s="824" t="s">
        <v>560</v>
      </c>
      <c r="B22" s="825"/>
      <c r="C22" s="823">
        <v>2200</v>
      </c>
      <c r="D22" s="1805"/>
      <c r="E22" s="1807">
        <f>'Expenditures 15-22'!K47-SUM('Expenditures 15-22'!G47,'Expenditures 15-22'!I47)+'Expenditures 15-22'!D243</f>
        <v>1745398</v>
      </c>
      <c r="F22" s="1805"/>
      <c r="G22" s="1808">
        <f>'Expenditures 15-22'!K47-SUM('Expenditures 15-22'!G47,'Expenditures 15-22'!I47)+'Expenditures 15-22'!D243</f>
        <v>1745398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1576697</v>
      </c>
      <c r="F23" s="1805"/>
      <c r="G23" s="1807">
        <f>'Expenditures 15-22'!K53-SUM('Expenditures 15-22'!G53,'Expenditures 15-22'!I53)+'Expenditures 15-22'!D257+'Expenditures 15-22'!K330-SUM('Expenditures 15-22'!G330,'Expenditures 15-22'!I330)</f>
        <v>1576697</v>
      </c>
      <c r="H23" s="817"/>
      <c r="I23" s="157"/>
    </row>
    <row r="24" spans="1:9" s="542" customFormat="1" ht="12" customHeight="1" x14ac:dyDescent="0.2">
      <c r="A24" s="824" t="s">
        <v>562</v>
      </c>
      <c r="B24" s="825"/>
      <c r="C24" s="823">
        <v>2400</v>
      </c>
      <c r="D24" s="1805"/>
      <c r="E24" s="1807">
        <f>'Expenditures 15-22'!K57-SUM('Expenditures 15-22'!G57,'Expenditures 15-22'!I57)+'Expenditures 15-22'!D261</f>
        <v>3671046</v>
      </c>
      <c r="F24" s="1805"/>
      <c r="G24" s="1808">
        <f>'Expenditures 15-22'!K57-SUM('Expenditures 15-22'!G57,'Expenditures 15-22'!I57)+'Expenditures 15-22'!D261</f>
        <v>3671046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226739</v>
      </c>
      <c r="E26" s="1807">
        <f>'Expenditures 15-22'!K122-SUM('Expenditures 15-22'!G122,'Expenditures 15-22'!I122)+E7</f>
        <v>0</v>
      </c>
      <c r="F26" s="1807">
        <f>'Expenditures 15-22'!K59-SUM('Expenditures 15-22'!G59,'Expenditures 15-22'!I59)+'Expenditures 15-22'!D263-E7</f>
        <v>226739</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402200</v>
      </c>
      <c r="E27" s="1807">
        <f>E8</f>
        <v>0</v>
      </c>
      <c r="F27" s="1807">
        <f>'Expenditures 15-22'!K60-SUM('Expenditures 15-22'!G60,'Expenditures 15-22'!I60)+'Expenditures 15-22'!D264-E8</f>
        <v>402200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5638678</v>
      </c>
      <c r="F28" s="1809">
        <f>'Expenditures 15-22'!K61-SUM('Expenditures 15-22'!G61,'Expenditures 15-22'!I61)+'Expenditures 15-22'!K124-SUM('Expenditures 15-22'!G124,'Expenditures 15-22'!I124)+'Expenditures 15-22'!D266-E9</f>
        <v>5638678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1476695</v>
      </c>
      <c r="F29" s="1805"/>
      <c r="G29" s="1808">
        <f>'Expenditures 15-22'!K62-SUM('Expenditures 15-22'!G62,'Expenditures 15-22'!I62)+'Expenditures 15-22'!K125-SUM('Expenditures 15-22'!G125,'Expenditures 15-22'!I125)+'Expenditures 15-22'!K182-SUM('Expenditures 15-22'!G182,'Expenditures 15-22'!I182)+'Expenditures 15-22'!D267</f>
        <v>1476695</v>
      </c>
      <c r="H29" s="815"/>
    </row>
    <row r="30" spans="1:9" ht="12" customHeight="1" x14ac:dyDescent="0.2">
      <c r="A30" s="824" t="s">
        <v>100</v>
      </c>
      <c r="B30" s="827"/>
      <c r="C30" s="823">
        <v>2560</v>
      </c>
      <c r="D30" s="1805"/>
      <c r="E30" s="1807">
        <f>'Expenditures 15-22'!K63-SUM('Expenditures 15-22'!G63,'Expenditures 15-22'!I63)+'Expenditures 15-22'!D268-E10</f>
        <v>2874963</v>
      </c>
      <c r="F30" s="1805"/>
      <c r="G30" s="1807">
        <f>'Expenditures 15-22'!K63-SUM('Expenditures 15-22'!G63,'Expenditures 15-22'!I63)+'Expenditures 15-22'!D268-E10</f>
        <v>2874963</v>
      </c>
    </row>
    <row r="31" spans="1:9" ht="12" customHeight="1" x14ac:dyDescent="0.2">
      <c r="A31" s="824" t="s">
        <v>101</v>
      </c>
      <c r="B31" s="827"/>
      <c r="C31" s="823">
        <v>2570</v>
      </c>
      <c r="D31" s="1807">
        <f>'Expenditures 15-22'!K64-SUM('Expenditures 15-22'!G64,'Expenditures 15-22'!I64)+'Expenditures 15-22'!D269-E12</f>
        <v>9040</v>
      </c>
      <c r="E31" s="1807">
        <f>E12</f>
        <v>0</v>
      </c>
      <c r="F31" s="1807">
        <f>'Expenditures 15-22'!K64-SUM('Expenditures 15-22'!G64,'Expenditures 15-22'!I64)+'Expenditures 15-22'!D269-E12</f>
        <v>9040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7000</v>
      </c>
      <c r="F34" s="1805"/>
      <c r="G34" s="1807">
        <f>'Expenditures 15-22'!K68-SUM('Expenditures 15-22'!G68,'Expenditures 15-22'!I68)+'Expenditures 15-22'!D273</f>
        <v>7000</v>
      </c>
    </row>
    <row r="35" spans="1:7" ht="12" customHeight="1" x14ac:dyDescent="0.2">
      <c r="A35" s="824" t="s">
        <v>1052</v>
      </c>
      <c r="B35" s="827"/>
      <c r="C35" s="823">
        <v>2630</v>
      </c>
      <c r="D35" s="1805"/>
      <c r="E35" s="1807">
        <f>'Expenditures 15-22'!K69-SUM('Expenditures 15-22'!G69,'Expenditures 15-22'!I69)+'Expenditures 15-22'!D274</f>
        <v>164124</v>
      </c>
      <c r="F35" s="1805"/>
      <c r="G35" s="1807">
        <f>'Expenditures 15-22'!K69-SUM('Expenditures 15-22'!G69,'Expenditures 15-22'!I69)+'Expenditures 15-22'!D274</f>
        <v>164124</v>
      </c>
    </row>
    <row r="36" spans="1:7" ht="12" customHeight="1" x14ac:dyDescent="0.2">
      <c r="A36" s="824" t="s">
        <v>400</v>
      </c>
      <c r="B36" s="827"/>
      <c r="C36" s="823">
        <v>2640</v>
      </c>
      <c r="D36" s="1807">
        <f>'Expenditures 15-22'!K70-SUM('Expenditures 15-22'!G70,'Expenditures 15-22'!I70)+'Expenditures 15-22'!D275-E13</f>
        <v>800455</v>
      </c>
      <c r="E36" s="1807">
        <f>E13</f>
        <v>0</v>
      </c>
      <c r="F36" s="1807">
        <f>'Expenditures 15-22'!K70-SUM('Expenditures 15-22'!G70,'Expenditures 15-22'!I70)+'Expenditures 15-22'!D275-E13</f>
        <v>800455</v>
      </c>
      <c r="G36" s="1807">
        <f>E13</f>
        <v>0</v>
      </c>
    </row>
    <row r="37" spans="1:7" ht="12" customHeight="1" x14ac:dyDescent="0.2">
      <c r="A37" s="824" t="s">
        <v>401</v>
      </c>
      <c r="B37" s="827"/>
      <c r="C37" s="823">
        <v>2660</v>
      </c>
      <c r="D37" s="1807">
        <f>'Expenditures 15-22'!K71-SUM('Expenditures 15-22'!G71,'Expenditures 15-22'!I71)+'Expenditures 15-22'!D276-E14</f>
        <v>1016826</v>
      </c>
      <c r="E37" s="1807">
        <f>E14</f>
        <v>0</v>
      </c>
      <c r="F37" s="1807">
        <f>'Expenditures 15-22'!K71-SUM('Expenditures 15-22'!G71,'Expenditures 15-22'!I71)+'Expenditures 15-22'!D276-E14</f>
        <v>1016826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216425</v>
      </c>
      <c r="F38" s="1805"/>
      <c r="G38" s="1807">
        <f>'Expenditures 15-22'!K73-SUM('Expenditures 15-22'!G73,'Expenditures 15-22'!I73)+'Expenditures 15-22'!K128-SUM('Expenditures 15-22'!G128,'Expenditures 15-22'!I128)+'Expenditures 15-22'!K183-SUM('Expenditures 15-22'!G183,'Expenditures 15-22'!I183)+'Expenditures 15-22'!D278</f>
        <v>216425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3518361</v>
      </c>
      <c r="F39" s="1805"/>
      <c r="G39" s="1807">
        <f>'Expenditures 15-22'!K75-SUM('Expenditures 15-22'!G75,'Expenditures 15-22'!I75)+'Expenditures 15-22'!K130-SUM('Expenditures 15-22'!G130,'Expenditures 15-22'!I130)+'Expenditures 15-22'!K185-SUM('Expenditures 15-22'!G185,'Expenditures 15-22'!I185)+'Expenditures 15-22'!D280</f>
        <v>3518361</v>
      </c>
    </row>
    <row r="40" spans="1:7" ht="12" customHeight="1" x14ac:dyDescent="0.2">
      <c r="A40" s="820" t="s">
        <v>1795</v>
      </c>
      <c r="B40" s="821"/>
      <c r="C40" s="823"/>
      <c r="D40" s="1805"/>
      <c r="E40" s="1809">
        <f>-'Contracts Paid in CY 29'!F208</f>
        <v>-3836878.66</v>
      </c>
      <c r="F40" s="1805"/>
      <c r="G40" s="1809">
        <f>-'Contracts Paid in CY 29'!F208</f>
        <v>-3836878.66</v>
      </c>
    </row>
    <row r="41" spans="1:7" ht="12" customHeight="1" x14ac:dyDescent="0.2">
      <c r="A41" s="828" t="s">
        <v>155</v>
      </c>
      <c r="B41" s="829"/>
      <c r="C41" s="830"/>
      <c r="D41" s="1809">
        <f>SUM(D19:D39)</f>
        <v>2455260</v>
      </c>
      <c r="E41" s="1809">
        <f>SUM(E19:E40)</f>
        <v>67012890.340000004</v>
      </c>
      <c r="F41" s="1809">
        <f>SUM(F19:F39)</f>
        <v>8093938</v>
      </c>
      <c r="G41" s="1809">
        <f>SUM(G19:G40)</f>
        <v>61374212.340000004</v>
      </c>
    </row>
    <row r="42" spans="1:7" x14ac:dyDescent="0.2">
      <c r="A42" s="817"/>
      <c r="B42" s="157"/>
      <c r="C42" s="831"/>
      <c r="D42" s="2401" t="s">
        <v>519</v>
      </c>
      <c r="E42" s="2402"/>
      <c r="F42" s="832" t="s">
        <v>520</v>
      </c>
      <c r="G42" s="833"/>
    </row>
    <row r="43" spans="1:7" ht="12" customHeight="1" x14ac:dyDescent="0.2">
      <c r="A43" s="817"/>
      <c r="B43" s="157"/>
      <c r="C43" s="831"/>
      <c r="D43" s="1458" t="s">
        <v>470</v>
      </c>
      <c r="E43" s="1810">
        <f>D41</f>
        <v>2455260</v>
      </c>
      <c r="F43" s="1458" t="s">
        <v>470</v>
      </c>
      <c r="G43" s="1810">
        <f>F41</f>
        <v>8093938</v>
      </c>
    </row>
    <row r="44" spans="1:7" ht="12" customHeight="1" x14ac:dyDescent="0.2">
      <c r="A44" s="817"/>
      <c r="B44" s="157"/>
      <c r="C44" s="831"/>
      <c r="D44" s="1458" t="s">
        <v>471</v>
      </c>
      <c r="E44" s="1810">
        <f>E41</f>
        <v>67012890.340000004</v>
      </c>
      <c r="F44" s="1458" t="s">
        <v>471</v>
      </c>
      <c r="G44" s="1810">
        <f>G41</f>
        <v>61374212.340000004</v>
      </c>
    </row>
    <row r="45" spans="1:7" ht="12" customHeight="1" x14ac:dyDescent="0.2">
      <c r="A45" s="817"/>
      <c r="B45" s="157"/>
      <c r="C45" s="157"/>
      <c r="D45" s="1459" t="s">
        <v>999</v>
      </c>
      <c r="E45" s="1811">
        <f>(E43/E44)</f>
        <v>3.6638622622347253E-2</v>
      </c>
      <c r="F45" s="1459" t="s">
        <v>999</v>
      </c>
      <c r="G45" s="1811">
        <f>(G43/G44)</f>
        <v>0.13187848269500088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E13" sqref="E1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9" t="s">
        <v>1363</v>
      </c>
      <c r="B1" s="2409"/>
      <c r="C1" s="2409"/>
      <c r="D1" s="2409"/>
      <c r="E1" s="2409"/>
      <c r="F1" s="2409"/>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0" t="s">
        <v>1529</v>
      </c>
      <c r="B5" s="2411"/>
      <c r="C5" s="2412"/>
      <c r="D5" s="2412"/>
      <c r="E5" s="2412"/>
      <c r="F5" s="2412"/>
      <c r="G5" s="1507"/>
      <c r="L5" s="1507"/>
      <c r="M5" s="1855"/>
      <c r="N5" s="1855"/>
      <c r="O5" s="1855"/>
    </row>
    <row r="6" spans="1:15" ht="12" customHeight="1" x14ac:dyDescent="0.25">
      <c r="A6" s="1480"/>
      <c r="B6" s="1481"/>
      <c r="C6" s="2413" t="str">
        <f>COVER!A17</f>
        <v xml:space="preserve">  Rock Island SD 41</v>
      </c>
      <c r="D6" s="2413"/>
      <c r="E6" s="2413"/>
      <c r="F6" s="1482"/>
      <c r="G6" s="1507"/>
      <c r="L6" s="1507"/>
      <c r="M6" s="1855"/>
      <c r="N6" s="1855"/>
      <c r="O6" s="1855"/>
    </row>
    <row r="7" spans="1:15" ht="11.25" customHeight="1" thickBot="1" x14ac:dyDescent="0.3">
      <c r="A7" s="1480"/>
      <c r="B7" s="1481"/>
      <c r="C7" s="2414">
        <f>COVER!A13</f>
        <v>49081041025</v>
      </c>
      <c r="D7" s="2414"/>
      <c r="E7" s="2414"/>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2048</v>
      </c>
      <c r="D13" s="1495" t="s">
        <v>2048</v>
      </c>
      <c r="E13" s="1498"/>
      <c r="F13" s="1497"/>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5"/>
      <c r="D35" s="2415"/>
      <c r="E35" s="2415"/>
      <c r="F35" s="2416"/>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20"/>
      <c r="B38" s="2421"/>
      <c r="C38" s="2421"/>
      <c r="D38" s="2421"/>
      <c r="E38" s="2421"/>
      <c r="F38" s="2422"/>
    </row>
    <row r="39" spans="1:15" ht="4.5" hidden="1" customHeight="1" x14ac:dyDescent="0.2">
      <c r="A39" s="1502"/>
      <c r="B39" s="1502"/>
      <c r="C39" s="1502"/>
      <c r="D39" s="1502"/>
      <c r="E39" s="1502"/>
      <c r="F39" s="1502"/>
    </row>
    <row r="40" spans="1:15" s="1499" customFormat="1" ht="12" customHeight="1" x14ac:dyDescent="0.25">
      <c r="A40" s="1503" t="s">
        <v>1375</v>
      </c>
      <c r="B40" s="1504"/>
      <c r="C40" s="2423"/>
      <c r="D40" s="2423"/>
      <c r="E40" s="2423"/>
      <c r="F40" s="2424"/>
      <c r="H40" s="1508"/>
      <c r="I40" s="1508"/>
      <c r="J40" s="1508"/>
      <c r="K40" s="1508"/>
    </row>
    <row r="41" spans="1:15" s="1499" customFormat="1" ht="12" customHeight="1" x14ac:dyDescent="0.25">
      <c r="A41" s="2425"/>
      <c r="B41" s="2426"/>
      <c r="C41" s="2426"/>
      <c r="D41" s="2426"/>
      <c r="E41" s="2426"/>
      <c r="F41" s="2427"/>
      <c r="H41" s="1508"/>
      <c r="I41" s="1508"/>
      <c r="J41" s="1508"/>
      <c r="K41" s="1508"/>
    </row>
    <row r="42" spans="1:15" s="1499" customFormat="1" ht="12" customHeight="1" x14ac:dyDescent="0.25">
      <c r="A42" s="2425"/>
      <c r="B42" s="2426"/>
      <c r="C42" s="2426"/>
      <c r="D42" s="2426"/>
      <c r="E42" s="2426"/>
      <c r="F42" s="2427"/>
      <c r="H42" s="1508"/>
      <c r="I42" s="1508"/>
      <c r="J42" s="1508"/>
      <c r="K42" s="1508"/>
    </row>
    <row r="43" spans="1:15" s="1499" customFormat="1" ht="15" x14ac:dyDescent="0.25">
      <c r="A43" s="2417"/>
      <c r="B43" s="2418"/>
      <c r="C43" s="2418"/>
      <c r="D43" s="2418"/>
      <c r="E43" s="2418"/>
      <c r="F43" s="2419"/>
      <c r="H43" s="1508"/>
      <c r="I43" s="1508"/>
      <c r="J43" s="1508"/>
      <c r="K43" s="1508"/>
    </row>
    <row r="44" spans="1:15" s="1499" customFormat="1" ht="12" hidden="1" customHeight="1" x14ac:dyDescent="0.25">
      <c r="A44" s="2417"/>
      <c r="B44" s="2418"/>
      <c r="C44" s="2418"/>
      <c r="D44" s="2418"/>
      <c r="E44" s="2418"/>
      <c r="F44" s="241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O60" sqref="O60"/>
    </sheetView>
  </sheetViews>
  <sheetFormatPr defaultColWidth="9.140625"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1999</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7"/>
      <c r="C6" s="1377"/>
      <c r="D6" s="1377"/>
      <c r="E6" s="1378"/>
      <c r="F6" s="1917"/>
      <c r="G6" s="1918"/>
      <c r="H6" s="838"/>
      <c r="I6" s="1919" t="s">
        <v>1021</v>
      </c>
      <c r="J6" s="2429" t="str">
        <f>COVER!A17</f>
        <v xml:space="preserve">  Rock Island SD 41</v>
      </c>
      <c r="K6" s="2429"/>
      <c r="L6" s="2430"/>
      <c r="M6" s="838"/>
      <c r="N6" s="1993"/>
    </row>
    <row r="7" spans="1:14" x14ac:dyDescent="0.2">
      <c r="A7" s="2431" t="s">
        <v>864</v>
      </c>
      <c r="B7" s="2432"/>
      <c r="C7" s="2432"/>
      <c r="D7" s="2432"/>
      <c r="E7" s="2433"/>
      <c r="F7" s="839"/>
      <c r="G7" s="838"/>
      <c r="H7" s="838"/>
      <c r="I7" s="1919" t="s">
        <v>369</v>
      </c>
      <c r="J7" s="2434">
        <f>COVER!A13</f>
        <v>49081041025</v>
      </c>
      <c r="K7" s="2434"/>
      <c r="L7" s="2434"/>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2015</v>
      </c>
      <c r="F9" s="1857"/>
      <c r="G9" s="1857"/>
      <c r="H9" s="1857"/>
      <c r="I9" s="1924" t="s">
        <v>2016</v>
      </c>
      <c r="J9" s="1857"/>
      <c r="K9" s="1857"/>
      <c r="L9" s="1858"/>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35" t="s">
        <v>478</v>
      </c>
      <c r="B11" s="2436"/>
      <c r="C11" s="2437"/>
      <c r="D11" s="1932" t="s">
        <v>866</v>
      </c>
      <c r="E11" s="1932" t="s">
        <v>64</v>
      </c>
      <c r="F11" s="1932" t="s">
        <v>6</v>
      </c>
      <c r="G11" s="1933" t="s">
        <v>2017</v>
      </c>
      <c r="H11" s="1934" t="s">
        <v>155</v>
      </c>
      <c r="I11" s="1932" t="s">
        <v>64</v>
      </c>
      <c r="J11" s="1932" t="s">
        <v>6</v>
      </c>
      <c r="K11" s="1933" t="s">
        <v>1998</v>
      </c>
      <c r="L11" s="1934" t="s">
        <v>155</v>
      </c>
      <c r="M11" s="838"/>
      <c r="N11" s="1993"/>
    </row>
    <row r="12" spans="1:14" x14ac:dyDescent="0.2">
      <c r="A12" s="1998">
        <v>1</v>
      </c>
      <c r="B12" s="1935" t="s">
        <v>813</v>
      </c>
      <c r="C12" s="842"/>
      <c r="D12" s="1936">
        <v>2320</v>
      </c>
      <c r="E12" s="1939">
        <f>'Expenditures 15-22'!K50</f>
        <v>292935</v>
      </c>
      <c r="F12" s="1937"/>
      <c r="G12" s="1963">
        <f>G68</f>
        <v>0</v>
      </c>
      <c r="H12" s="1939">
        <f t="shared" ref="H12:H18" si="0">SUM(E12:G12)</f>
        <v>292935</v>
      </c>
      <c r="I12" s="1938">
        <v>334426</v>
      </c>
      <c r="J12" s="1937"/>
      <c r="K12" s="1938"/>
      <c r="L12" s="1939">
        <f t="shared" ref="L12:L18" si="1">SUM(I12:K12)</f>
        <v>334426</v>
      </c>
      <c r="M12" s="838"/>
      <c r="N12" s="1993"/>
    </row>
    <row r="13" spans="1:14" x14ac:dyDescent="0.2">
      <c r="A13" s="1998">
        <v>2</v>
      </c>
      <c r="B13" s="1935" t="s">
        <v>42</v>
      </c>
      <c r="C13" s="842"/>
      <c r="D13" s="1936">
        <v>2330</v>
      </c>
      <c r="E13" s="1939">
        <f>'Expenditures 15-22'!K51</f>
        <v>164310</v>
      </c>
      <c r="F13" s="1937"/>
      <c r="G13" s="1963">
        <f>H68</f>
        <v>0</v>
      </c>
      <c r="H13" s="1939">
        <f t="shared" si="0"/>
        <v>164310</v>
      </c>
      <c r="I13" s="1938">
        <v>139709</v>
      </c>
      <c r="J13" s="1937"/>
      <c r="K13" s="1938">
        <v>0</v>
      </c>
      <c r="L13" s="1939">
        <f t="shared" si="1"/>
        <v>139709</v>
      </c>
      <c r="M13" s="838"/>
      <c r="N13" s="1993"/>
    </row>
    <row r="14" spans="1:14" x14ac:dyDescent="0.2">
      <c r="A14" s="1998">
        <v>3</v>
      </c>
      <c r="B14" s="1935" t="s">
        <v>43</v>
      </c>
      <c r="C14" s="842"/>
      <c r="D14" s="1940">
        <v>2490</v>
      </c>
      <c r="E14" s="1939">
        <f>'Expenditures 15-22'!K56</f>
        <v>0</v>
      </c>
      <c r="F14" s="1937"/>
      <c r="G14" s="1963">
        <f>I68</f>
        <v>0</v>
      </c>
      <c r="H14" s="1939">
        <f t="shared" si="0"/>
        <v>0</v>
      </c>
      <c r="I14" s="1938">
        <v>0</v>
      </c>
      <c r="J14" s="1937"/>
      <c r="K14" s="1938">
        <v>0</v>
      </c>
      <c r="L14" s="1939">
        <f t="shared" si="1"/>
        <v>0</v>
      </c>
      <c r="M14" s="838"/>
      <c r="N14" s="1993"/>
    </row>
    <row r="15" spans="1:14" x14ac:dyDescent="0.2">
      <c r="A15" s="1998">
        <v>4</v>
      </c>
      <c r="B15" s="1935" t="s">
        <v>1059</v>
      </c>
      <c r="C15" s="842"/>
      <c r="D15" s="1936">
        <v>2510</v>
      </c>
      <c r="E15" s="1939">
        <f>'Expenditures 15-22'!K59</f>
        <v>219012</v>
      </c>
      <c r="F15" s="1939">
        <f>'Expenditures 15-22'!K122</f>
        <v>0</v>
      </c>
      <c r="G15" s="1963">
        <f>J68</f>
        <v>0</v>
      </c>
      <c r="H15" s="1939">
        <f t="shared" si="0"/>
        <v>219012</v>
      </c>
      <c r="I15" s="1938">
        <v>222610</v>
      </c>
      <c r="J15" s="1938"/>
      <c r="K15" s="1938"/>
      <c r="L15" s="1939">
        <f t="shared" si="1"/>
        <v>222610</v>
      </c>
      <c r="M15" s="838"/>
      <c r="N15" s="1993"/>
    </row>
    <row r="16" spans="1:14" x14ac:dyDescent="0.2">
      <c r="A16" s="1998">
        <v>5</v>
      </c>
      <c r="B16" s="1935" t="s">
        <v>101</v>
      </c>
      <c r="C16" s="842"/>
      <c r="D16" s="1936">
        <v>2570</v>
      </c>
      <c r="E16" s="1939">
        <f>'Expenditures 15-22'!K64</f>
        <v>-869</v>
      </c>
      <c r="F16" s="1937"/>
      <c r="G16" s="1963">
        <f>K68</f>
        <v>0</v>
      </c>
      <c r="H16" s="1939">
        <f t="shared" si="0"/>
        <v>-869</v>
      </c>
      <c r="I16" s="1938">
        <v>10000</v>
      </c>
      <c r="J16" s="1937"/>
      <c r="K16" s="1938"/>
      <c r="L16" s="1939">
        <f t="shared" si="1"/>
        <v>10000</v>
      </c>
      <c r="M16" s="838"/>
      <c r="N16" s="1993"/>
    </row>
    <row r="17" spans="1:14" x14ac:dyDescent="0.2">
      <c r="A17" s="1998">
        <v>6</v>
      </c>
      <c r="B17" s="1935" t="s">
        <v>1051</v>
      </c>
      <c r="C17" s="842"/>
      <c r="D17" s="1936">
        <v>2610</v>
      </c>
      <c r="E17" s="1939">
        <f>'Expenditures 15-22'!K67</f>
        <v>0</v>
      </c>
      <c r="F17" s="1937"/>
      <c r="G17" s="1963">
        <f>L68</f>
        <v>0</v>
      </c>
      <c r="H17" s="1939">
        <f t="shared" si="0"/>
        <v>0</v>
      </c>
      <c r="I17" s="1938"/>
      <c r="J17" s="1937"/>
      <c r="K17" s="1938"/>
      <c r="L17" s="1939">
        <f t="shared" si="1"/>
        <v>0</v>
      </c>
      <c r="M17" s="838"/>
      <c r="N17" s="1993"/>
    </row>
    <row r="18" spans="1:14" ht="26.25" customHeight="1" x14ac:dyDescent="0.2">
      <c r="A18" s="1999">
        <v>7</v>
      </c>
      <c r="B18" s="2438" t="s">
        <v>7</v>
      </c>
      <c r="C18" s="2439"/>
      <c r="D18" s="2440"/>
      <c r="E18" s="1941"/>
      <c r="F18" s="1941"/>
      <c r="G18" s="1938"/>
      <c r="H18" s="1942">
        <f t="shared" si="0"/>
        <v>0</v>
      </c>
      <c r="I18" s="1938"/>
      <c r="J18" s="1938"/>
      <c r="K18" s="1938"/>
      <c r="L18" s="1939">
        <f t="shared" si="1"/>
        <v>0</v>
      </c>
      <c r="M18" s="838"/>
      <c r="N18" s="1993"/>
    </row>
    <row r="19" spans="1:14" ht="13.5" thickBot="1" x14ac:dyDescent="0.25">
      <c r="A19" s="1998">
        <v>8</v>
      </c>
      <c r="B19" s="1943" t="s">
        <v>1151</v>
      </c>
      <c r="C19" s="838"/>
      <c r="D19" s="1944"/>
      <c r="E19" s="1945">
        <f t="shared" ref="E19:L19" si="2">SUM(E12:E17)-E18</f>
        <v>675388</v>
      </c>
      <c r="F19" s="1945">
        <f t="shared" si="2"/>
        <v>0</v>
      </c>
      <c r="G19" s="1945">
        <f t="shared" ref="G19" si="3">SUM(G12:G17)-G18</f>
        <v>0</v>
      </c>
      <c r="H19" s="1945">
        <f t="shared" si="2"/>
        <v>675388</v>
      </c>
      <c r="I19" s="1945">
        <f t="shared" si="2"/>
        <v>706745</v>
      </c>
      <c r="J19" s="1945">
        <f t="shared" si="2"/>
        <v>0</v>
      </c>
      <c r="K19" s="1945">
        <f t="shared" si="2"/>
        <v>0</v>
      </c>
      <c r="L19" s="1945">
        <f t="shared" si="2"/>
        <v>706745</v>
      </c>
      <c r="M19" s="838"/>
      <c r="N19" s="1993"/>
    </row>
    <row r="20" spans="1:14" ht="13.5" thickTop="1" x14ac:dyDescent="0.2">
      <c r="A20" s="1998">
        <v>9</v>
      </c>
      <c r="B20" s="2441" t="s">
        <v>2018</v>
      </c>
      <c r="C20" s="2441"/>
      <c r="D20" s="2442"/>
      <c r="E20" s="1946"/>
      <c r="F20" s="1946"/>
      <c r="G20" s="1946"/>
      <c r="H20" s="1946"/>
      <c r="I20" s="1946"/>
      <c r="J20" s="1946"/>
      <c r="K20" s="1946"/>
      <c r="L20" s="1947">
        <f>IF(AND(H19&gt;0,L19&gt;0),(((L19-H19)/H19)),"Enter Budget Data")</f>
        <v>4.6428127239453471E-2</v>
      </c>
      <c r="M20" s="838"/>
      <c r="N20" s="1993"/>
    </row>
    <row r="21" spans="1:14" x14ac:dyDescent="0.2">
      <c r="A21" s="2000" t="s">
        <v>194</v>
      </c>
      <c r="B21" s="2001" t="s">
        <v>2043</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2019</v>
      </c>
      <c r="B24" s="2005"/>
      <c r="C24" s="2006"/>
      <c r="D24" s="2006"/>
      <c r="E24" s="2006"/>
      <c r="F24" s="2006"/>
      <c r="G24" s="2006"/>
      <c r="H24" s="2006"/>
      <c r="I24" s="2006"/>
      <c r="J24" s="2006"/>
      <c r="K24" s="2006"/>
      <c r="L24" s="838"/>
      <c r="M24" s="838"/>
      <c r="N24" s="1993"/>
    </row>
    <row r="25" spans="1:14" x14ac:dyDescent="0.2">
      <c r="A25" s="2004" t="s">
        <v>2020</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43"/>
      <c r="D27" s="2443"/>
      <c r="E27" s="843"/>
      <c r="F27" s="2444"/>
      <c r="G27" s="2444"/>
      <c r="H27" s="2444"/>
      <c r="I27" s="838"/>
      <c r="J27" s="838"/>
      <c r="K27" s="838"/>
      <c r="L27" s="838"/>
      <c r="M27" s="838"/>
      <c r="N27" s="1993"/>
    </row>
    <row r="28" spans="1:14" x14ac:dyDescent="0.2">
      <c r="A28" s="1992"/>
      <c r="B28" s="2002"/>
      <c r="C28" s="1952" t="s">
        <v>1026</v>
      </c>
      <c r="D28" s="844"/>
      <c r="E28" s="1953"/>
      <c r="F28" s="2445" t="s">
        <v>1492</v>
      </c>
      <c r="G28" s="2445"/>
      <c r="H28" s="2445"/>
      <c r="I28" s="838"/>
      <c r="J28" s="838"/>
      <c r="K28" s="838"/>
      <c r="L28" s="838"/>
      <c r="M28" s="838"/>
      <c r="N28" s="1993"/>
    </row>
    <row r="29" spans="1:14" x14ac:dyDescent="0.2">
      <c r="A29" s="1992"/>
      <c r="B29" s="2002"/>
      <c r="C29" s="2446" t="s">
        <v>2063</v>
      </c>
      <c r="D29" s="2446"/>
      <c r="E29" s="845"/>
      <c r="F29" s="2446" t="s">
        <v>2064</v>
      </c>
      <c r="G29" s="2446"/>
      <c r="H29" s="2446"/>
      <c r="I29" s="838"/>
      <c r="J29" s="838"/>
      <c r="K29" s="838"/>
      <c r="L29" s="838"/>
      <c r="M29" s="838"/>
      <c r="N29" s="1993"/>
    </row>
    <row r="30" spans="1:14" x14ac:dyDescent="0.2">
      <c r="A30" s="1992"/>
      <c r="B30" s="2002"/>
      <c r="C30" s="1955" t="s">
        <v>1544</v>
      </c>
      <c r="D30" s="838"/>
      <c r="E30" s="1954"/>
      <c r="F30" s="2428" t="s">
        <v>1493</v>
      </c>
      <c r="G30" s="2428"/>
      <c r="H30" s="2428"/>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49" t="s">
        <v>2021</v>
      </c>
      <c r="D34" s="2450"/>
      <c r="E34" s="2450"/>
      <c r="F34" s="2450"/>
      <c r="G34" s="2450"/>
      <c r="H34" s="2450"/>
      <c r="I34" s="2450"/>
      <c r="J34" s="2450"/>
      <c r="K34" s="2011"/>
      <c r="L34" s="838"/>
      <c r="M34" s="838"/>
      <c r="N34" s="1993"/>
    </row>
    <row r="35" spans="1:14" x14ac:dyDescent="0.2">
      <c r="A35" s="1992"/>
      <c r="B35" s="838"/>
      <c r="C35" s="2450"/>
      <c r="D35" s="2450"/>
      <c r="E35" s="2450"/>
      <c r="F35" s="2450"/>
      <c r="G35" s="2450"/>
      <c r="H35" s="2450"/>
      <c r="I35" s="2450"/>
      <c r="J35" s="2450"/>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49" t="s">
        <v>2022</v>
      </c>
      <c r="D37" s="2450"/>
      <c r="E37" s="2450"/>
      <c r="F37" s="2450"/>
      <c r="G37" s="2450"/>
      <c r="H37" s="2450"/>
      <c r="I37" s="2450"/>
      <c r="J37" s="2450"/>
      <c r="K37" s="2011"/>
      <c r="L37" s="2013"/>
      <c r="M37" s="838"/>
      <c r="N37" s="1993"/>
    </row>
    <row r="38" spans="1:14" x14ac:dyDescent="0.2">
      <c r="A38" s="1992"/>
      <c r="B38" s="838"/>
      <c r="C38" s="2450"/>
      <c r="D38" s="2450"/>
      <c r="E38" s="2450"/>
      <c r="F38" s="2450"/>
      <c r="G38" s="2450"/>
      <c r="H38" s="2450"/>
      <c r="I38" s="2450"/>
      <c r="J38" s="2450"/>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51" t="s">
        <v>2023</v>
      </c>
      <c r="D40" s="2452"/>
      <c r="E40" s="2452"/>
      <c r="F40" s="2452"/>
      <c r="G40" s="2452"/>
      <c r="H40" s="2452"/>
      <c r="I40" s="2452"/>
      <c r="J40" s="2452"/>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53" t="s">
        <v>2024</v>
      </c>
      <c r="B43" s="2454"/>
      <c r="C43" s="2454"/>
      <c r="D43" s="2454"/>
      <c r="E43" s="2454"/>
      <c r="F43" s="2454"/>
      <c r="G43" s="2454"/>
      <c r="H43" s="2454"/>
      <c r="I43" s="2454"/>
      <c r="J43" s="2454"/>
      <c r="K43" s="2454"/>
      <c r="L43" s="2454"/>
      <c r="M43" s="2454"/>
      <c r="N43" s="2455"/>
    </row>
    <row r="44" spans="1:14" x14ac:dyDescent="0.2">
      <c r="A44" s="1977"/>
      <c r="B44" s="1978"/>
      <c r="C44" s="1978"/>
      <c r="D44" s="1978"/>
      <c r="E44" s="1978"/>
      <c r="F44" s="1978"/>
      <c r="G44" s="1978"/>
      <c r="H44" s="1978"/>
      <c r="I44" s="1978"/>
      <c r="J44" s="1978"/>
      <c r="K44" s="1978"/>
      <c r="L44" s="1978"/>
      <c r="M44" s="1978"/>
      <c r="N44" s="1979"/>
    </row>
    <row r="45" spans="1:14" x14ac:dyDescent="0.2">
      <c r="A45" s="1977" t="s">
        <v>2025</v>
      </c>
      <c r="B45" s="1978"/>
      <c r="C45" s="1978"/>
      <c r="D45" s="1978"/>
      <c r="E45" s="1978"/>
      <c r="F45" s="1978"/>
      <c r="G45" s="1978"/>
      <c r="H45" s="1978"/>
      <c r="I45" s="1978"/>
      <c r="J45" s="1978"/>
      <c r="K45" s="1978"/>
      <c r="L45" s="1978"/>
      <c r="M45" s="1978"/>
      <c r="N45" s="1979"/>
    </row>
    <row r="46" spans="1:14" x14ac:dyDescent="0.2">
      <c r="A46" s="2456" t="s">
        <v>2026</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2042</v>
      </c>
      <c r="B49" s="2019"/>
      <c r="C49" s="2019"/>
      <c r="D49" s="2020"/>
      <c r="E49" s="2020"/>
      <c r="F49" s="2020"/>
      <c r="G49" s="2020"/>
      <c r="H49" s="2020"/>
      <c r="I49" s="2020"/>
      <c r="J49" s="2020"/>
      <c r="K49" s="2020"/>
      <c r="L49" s="2020"/>
      <c r="M49" s="2020"/>
      <c r="N49" s="2021"/>
    </row>
    <row r="50" spans="1:14" ht="15" x14ac:dyDescent="0.25">
      <c r="A50" s="2023" t="s">
        <v>2041</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29" t="str">
        <f>J6</f>
        <v xml:space="preserve">  Rock Island SD 41</v>
      </c>
      <c r="M52" s="2429"/>
      <c r="N52" s="2459"/>
    </row>
    <row r="53" spans="1:14" x14ac:dyDescent="0.2">
      <c r="A53" s="1977"/>
      <c r="B53" s="1978"/>
      <c r="C53" s="1978"/>
      <c r="D53" s="1978"/>
      <c r="E53" s="1978"/>
      <c r="F53" s="1978"/>
      <c r="G53" s="1978"/>
      <c r="H53" s="1978"/>
      <c r="I53" s="1978"/>
      <c r="J53" s="1978"/>
      <c r="K53" s="1919" t="s">
        <v>369</v>
      </c>
      <c r="L53" s="2434">
        <f>J7</f>
        <v>49081041025</v>
      </c>
      <c r="M53" s="2434"/>
      <c r="N53" s="2460"/>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61"/>
      <c r="B55" s="2462"/>
      <c r="C55" s="2462"/>
      <c r="D55" s="1965"/>
      <c r="E55" s="1965"/>
      <c r="F55" s="1965"/>
      <c r="G55" s="2463" t="s">
        <v>2027</v>
      </c>
      <c r="H55" s="2463"/>
      <c r="I55" s="2463"/>
      <c r="J55" s="2463"/>
      <c r="K55" s="2463"/>
      <c r="L55" s="2463"/>
      <c r="M55" s="2463"/>
      <c r="N55" s="2464"/>
    </row>
    <row r="56" spans="1:14" ht="63.75" x14ac:dyDescent="0.2">
      <c r="A56" s="2465" t="s">
        <v>2028</v>
      </c>
      <c r="B56" s="2466"/>
      <c r="C56" s="2467"/>
      <c r="D56" s="1959" t="s">
        <v>2029</v>
      </c>
      <c r="E56" s="1959" t="s">
        <v>2030</v>
      </c>
      <c r="F56" s="1966"/>
      <c r="G56" s="1959" t="s">
        <v>2031</v>
      </c>
      <c r="H56" s="1959" t="s">
        <v>2032</v>
      </c>
      <c r="I56" s="1959" t="s">
        <v>2033</v>
      </c>
      <c r="J56" s="1959" t="s">
        <v>2034</v>
      </c>
      <c r="K56" s="1959" t="s">
        <v>2035</v>
      </c>
      <c r="L56" s="1959" t="s">
        <v>2036</v>
      </c>
      <c r="M56" s="1959" t="s">
        <v>2037</v>
      </c>
      <c r="N56" s="1960" t="s">
        <v>2044</v>
      </c>
    </row>
    <row r="57" spans="1:14" ht="24.75" customHeight="1" x14ac:dyDescent="0.2">
      <c r="A57" s="2468" t="s">
        <v>296</v>
      </c>
      <c r="B57" s="2469"/>
      <c r="C57" s="2469"/>
      <c r="D57" s="1961">
        <v>2361</v>
      </c>
      <c r="E57" s="1971">
        <f>'Expenditures 15-22'!K319</f>
        <v>0</v>
      </c>
      <c r="F57" s="1967"/>
      <c r="G57" s="2024"/>
      <c r="H57" s="2025"/>
      <c r="I57" s="2025"/>
      <c r="J57" s="2025"/>
      <c r="K57" s="2025"/>
      <c r="L57" s="2025"/>
      <c r="M57" s="2025"/>
      <c r="N57" s="1970">
        <f>IF((SUM(G57:M57))=E57,SUM(G57:M57),"Column N does not agree with Column E")</f>
        <v>0</v>
      </c>
    </row>
    <row r="58" spans="1:14" ht="24" customHeight="1" x14ac:dyDescent="0.2">
      <c r="A58" s="2447" t="s">
        <v>2038</v>
      </c>
      <c r="B58" s="2448"/>
      <c r="C58" s="2448"/>
      <c r="D58" s="1962">
        <v>2362</v>
      </c>
      <c r="E58" s="1972">
        <f>'Expenditures 15-22'!K320</f>
        <v>535928</v>
      </c>
      <c r="F58" s="1967"/>
      <c r="G58" s="2026"/>
      <c r="H58" s="2027"/>
      <c r="I58" s="2027"/>
      <c r="J58" s="2027"/>
      <c r="K58" s="2027"/>
      <c r="L58" s="2027"/>
      <c r="M58" s="2027">
        <v>535928</v>
      </c>
      <c r="N58" s="1970">
        <f>IF((SUM(G58:M58))=E58,SUM(G58:M58),"Column N does not agree with Column E")</f>
        <v>535928</v>
      </c>
    </row>
    <row r="59" spans="1:14" ht="24.75" customHeight="1" x14ac:dyDescent="0.2">
      <c r="A59" s="2470" t="s">
        <v>297</v>
      </c>
      <c r="B59" s="2471"/>
      <c r="C59" s="2471"/>
      <c r="D59" s="1962">
        <v>2363</v>
      </c>
      <c r="E59" s="1972">
        <f>'Expenditures 15-22'!K321</f>
        <v>62169</v>
      </c>
      <c r="F59" s="1967"/>
      <c r="G59" s="2026"/>
      <c r="H59" s="2027"/>
      <c r="I59" s="2027"/>
      <c r="J59" s="2027"/>
      <c r="K59" s="2027"/>
      <c r="L59" s="2027"/>
      <c r="M59" s="2027">
        <v>62169</v>
      </c>
      <c r="N59" s="1970">
        <f>IF((SUM(G59:M59))=E59,SUM(G59:M59),"Column N does not agree with Column E")</f>
        <v>62169</v>
      </c>
    </row>
    <row r="60" spans="1:14" ht="24" customHeight="1" x14ac:dyDescent="0.2">
      <c r="A60" s="2470" t="s">
        <v>236</v>
      </c>
      <c r="B60" s="2471"/>
      <c r="C60" s="2471"/>
      <c r="D60" s="1962">
        <v>2364</v>
      </c>
      <c r="E60" s="1972">
        <f>'Expenditures 15-22'!K322</f>
        <v>0</v>
      </c>
      <c r="F60" s="1967"/>
      <c r="G60" s="2026"/>
      <c r="H60" s="2027"/>
      <c r="I60" s="2027"/>
      <c r="J60" s="2027"/>
      <c r="K60" s="2027"/>
      <c r="L60" s="2027"/>
      <c r="M60" s="2027"/>
      <c r="N60" s="1970">
        <f t="shared" ref="N60:N67" si="4">IF((SUM(G60:M60))=E60,SUM(G60:M60),"Column N does not agree with Column E")</f>
        <v>0</v>
      </c>
    </row>
    <row r="61" spans="1:14" ht="24.75" customHeight="1" x14ac:dyDescent="0.2">
      <c r="A61" s="2470" t="s">
        <v>697</v>
      </c>
      <c r="B61" s="2471"/>
      <c r="C61" s="2471"/>
      <c r="D61" s="1962">
        <v>2365</v>
      </c>
      <c r="E61" s="1972">
        <f>'Expenditures 15-22'!K323</f>
        <v>285209</v>
      </c>
      <c r="F61" s="1967"/>
      <c r="G61" s="2026"/>
      <c r="H61" s="2027"/>
      <c r="I61" s="2027"/>
      <c r="J61" s="2027"/>
      <c r="K61" s="2027"/>
      <c r="L61" s="2027"/>
      <c r="M61" s="2027">
        <v>285209</v>
      </c>
      <c r="N61" s="1970">
        <f t="shared" si="4"/>
        <v>285209</v>
      </c>
    </row>
    <row r="62" spans="1:14" ht="24" customHeight="1" x14ac:dyDescent="0.2">
      <c r="A62" s="2470" t="s">
        <v>237</v>
      </c>
      <c r="B62" s="2471"/>
      <c r="C62" s="2471"/>
      <c r="D62" s="1962">
        <v>2366</v>
      </c>
      <c r="E62" s="1972">
        <f>'Expenditures 15-22'!K324</f>
        <v>0</v>
      </c>
      <c r="F62" s="1967"/>
      <c r="G62" s="2026"/>
      <c r="H62" s="2027"/>
      <c r="I62" s="2027"/>
      <c r="J62" s="2027"/>
      <c r="K62" s="2027"/>
      <c r="L62" s="2027"/>
      <c r="M62" s="2027"/>
      <c r="N62" s="1970">
        <f t="shared" si="4"/>
        <v>0</v>
      </c>
    </row>
    <row r="63" spans="1:14" ht="24" customHeight="1" x14ac:dyDescent="0.2">
      <c r="A63" s="2447" t="s">
        <v>1022</v>
      </c>
      <c r="B63" s="2448"/>
      <c r="C63" s="2448"/>
      <c r="D63" s="1962">
        <v>2367</v>
      </c>
      <c r="E63" s="1972">
        <f>'Expenditures 15-22'!K325</f>
        <v>19880</v>
      </c>
      <c r="F63" s="1967"/>
      <c r="G63" s="2026"/>
      <c r="H63" s="2027"/>
      <c r="I63" s="2027"/>
      <c r="J63" s="2027"/>
      <c r="K63" s="2027"/>
      <c r="L63" s="2027"/>
      <c r="M63" s="2027">
        <v>19880</v>
      </c>
      <c r="N63" s="1970">
        <f t="shared" si="4"/>
        <v>19880</v>
      </c>
    </row>
    <row r="64" spans="1:14" ht="24" customHeight="1" x14ac:dyDescent="0.2">
      <c r="A64" s="2470" t="s">
        <v>1023</v>
      </c>
      <c r="B64" s="2471"/>
      <c r="C64" s="2471"/>
      <c r="D64" s="1962">
        <v>2368</v>
      </c>
      <c r="E64" s="1972">
        <f>'Expenditures 15-22'!K326</f>
        <v>0</v>
      </c>
      <c r="F64" s="1967"/>
      <c r="G64" s="2026"/>
      <c r="H64" s="2027"/>
      <c r="I64" s="2027"/>
      <c r="J64" s="2027"/>
      <c r="K64" s="2027"/>
      <c r="L64" s="2027"/>
      <c r="M64" s="2027"/>
      <c r="N64" s="1970">
        <f t="shared" si="4"/>
        <v>0</v>
      </c>
    </row>
    <row r="65" spans="1:14" ht="24" customHeight="1" x14ac:dyDescent="0.2">
      <c r="A65" s="2470" t="s">
        <v>965</v>
      </c>
      <c r="B65" s="2471"/>
      <c r="C65" s="2471"/>
      <c r="D65" s="1962">
        <v>2369</v>
      </c>
      <c r="E65" s="1972">
        <f>'Expenditures 15-22'!K327</f>
        <v>80248</v>
      </c>
      <c r="F65" s="1967"/>
      <c r="G65" s="2026"/>
      <c r="H65" s="2027"/>
      <c r="I65" s="2027"/>
      <c r="J65" s="2027"/>
      <c r="K65" s="2027"/>
      <c r="L65" s="2027"/>
      <c r="M65" s="2027">
        <v>80248</v>
      </c>
      <c r="N65" s="1970">
        <f t="shared" si="4"/>
        <v>80248</v>
      </c>
    </row>
    <row r="66" spans="1:14" ht="24" customHeight="1" x14ac:dyDescent="0.2">
      <c r="A66" s="2470" t="s">
        <v>469</v>
      </c>
      <c r="B66" s="2471"/>
      <c r="C66" s="2471"/>
      <c r="D66" s="1962">
        <v>2371</v>
      </c>
      <c r="E66" s="1972">
        <f>'Expenditures 15-22'!K328</f>
        <v>0</v>
      </c>
      <c r="F66" s="1967"/>
      <c r="G66" s="2026"/>
      <c r="H66" s="2027"/>
      <c r="I66" s="2027"/>
      <c r="J66" s="2027"/>
      <c r="K66" s="2027"/>
      <c r="L66" s="2027"/>
      <c r="M66" s="2027"/>
      <c r="N66" s="1970">
        <f t="shared" si="4"/>
        <v>0</v>
      </c>
    </row>
    <row r="67" spans="1:14" ht="24.75" customHeight="1" x14ac:dyDescent="0.2">
      <c r="A67" s="2472" t="s">
        <v>2039</v>
      </c>
      <c r="B67" s="2473"/>
      <c r="C67" s="2473"/>
      <c r="D67" s="1964">
        <v>2372</v>
      </c>
      <c r="E67" s="1973">
        <f>'Expenditures 15-22'!K329</f>
        <v>0</v>
      </c>
      <c r="F67" s="1967"/>
      <c r="G67" s="2028"/>
      <c r="H67" s="2029"/>
      <c r="I67" s="2029"/>
      <c r="J67" s="2029"/>
      <c r="K67" s="2029"/>
      <c r="L67" s="2029"/>
      <c r="M67" s="2029"/>
      <c r="N67" s="1970">
        <f t="shared" si="4"/>
        <v>0</v>
      </c>
    </row>
    <row r="68" spans="1:14" x14ac:dyDescent="0.2">
      <c r="A68" s="2474" t="s">
        <v>1151</v>
      </c>
      <c r="B68" s="2475"/>
      <c r="C68" s="2475"/>
      <c r="D68" s="1965"/>
      <c r="E68" s="1969">
        <f>SUM(E57:E67)</f>
        <v>983434</v>
      </c>
      <c r="F68" s="1968"/>
      <c r="G68" s="1969">
        <f t="shared" ref="G68:N68" si="5">SUM(G57:G67)</f>
        <v>0</v>
      </c>
      <c r="H68" s="1969">
        <f t="shared" si="5"/>
        <v>0</v>
      </c>
      <c r="I68" s="1969">
        <f t="shared" si="5"/>
        <v>0</v>
      </c>
      <c r="J68" s="1969">
        <f t="shared" si="5"/>
        <v>0</v>
      </c>
      <c r="K68" s="1969">
        <f t="shared" si="5"/>
        <v>0</v>
      </c>
      <c r="L68" s="1969">
        <f t="shared" si="5"/>
        <v>0</v>
      </c>
      <c r="M68" s="1969">
        <f t="shared" si="5"/>
        <v>983434</v>
      </c>
      <c r="N68" s="1983">
        <f t="shared" si="5"/>
        <v>983434</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2040</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2"/>
  <sheetViews>
    <sheetView showGridLines="0" zoomScale="110" zoomScaleNormal="110" workbookViewId="0">
      <selection activeCell="A20" sqref="A20:XFD2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2141</v>
      </c>
    </row>
    <row r="6" spans="1:2" x14ac:dyDescent="0.2">
      <c r="A6" s="847">
        <v>2</v>
      </c>
      <c r="B6" s="307" t="s">
        <v>2142</v>
      </c>
    </row>
    <row r="7" spans="1:2" x14ac:dyDescent="0.2">
      <c r="A7" s="847">
        <v>3</v>
      </c>
      <c r="B7" s="307" t="s">
        <v>2352</v>
      </c>
    </row>
    <row r="8" spans="1:2" x14ac:dyDescent="0.2">
      <c r="A8" s="847">
        <v>4</v>
      </c>
      <c r="B8" s="307" t="s">
        <v>2143</v>
      </c>
    </row>
    <row r="9" spans="1:2" x14ac:dyDescent="0.2">
      <c r="A9" s="847">
        <v>5</v>
      </c>
      <c r="B9" s="307" t="s">
        <v>2144</v>
      </c>
    </row>
    <row r="10" spans="1:2" x14ac:dyDescent="0.2">
      <c r="A10" s="847">
        <v>6</v>
      </c>
      <c r="B10" s="307" t="s">
        <v>2145</v>
      </c>
    </row>
    <row r="11" spans="1:2" x14ac:dyDescent="0.2">
      <c r="A11" s="847">
        <v>7</v>
      </c>
      <c r="B11" s="307" t="s">
        <v>2146</v>
      </c>
    </row>
    <row r="12" spans="1:2" x14ac:dyDescent="0.2">
      <c r="A12" s="847">
        <v>8</v>
      </c>
      <c r="B12" s="307" t="s">
        <v>2147</v>
      </c>
    </row>
    <row r="13" spans="1:2" x14ac:dyDescent="0.2">
      <c r="A13" s="847">
        <v>9</v>
      </c>
      <c r="B13" s="307" t="s">
        <v>2148</v>
      </c>
    </row>
    <row r="14" spans="1:2" x14ac:dyDescent="0.2">
      <c r="A14" s="847">
        <v>10</v>
      </c>
      <c r="B14" s="307" t="s">
        <v>2149</v>
      </c>
    </row>
    <row r="15" spans="1:2" x14ac:dyDescent="0.2">
      <c r="A15" s="847">
        <v>11</v>
      </c>
      <c r="B15" s="307" t="s">
        <v>2150</v>
      </c>
    </row>
    <row r="16" spans="1:2" x14ac:dyDescent="0.2">
      <c r="A16" s="847">
        <v>12</v>
      </c>
      <c r="B16" s="307" t="s">
        <v>2151</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 xml:space="preserve">  Rock Island SD 41</v>
      </c>
    </row>
    <row r="62" spans="1:2" x14ac:dyDescent="0.2">
      <c r="B62" s="849">
        <f>COVER!A13</f>
        <v>49081041025</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88"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2" t="s">
        <v>1056</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686</v>
      </c>
      <c r="B40" s="2159"/>
      <c r="C40" s="2159"/>
      <c r="D40" s="2159"/>
      <c r="E40" s="2159"/>
    </row>
    <row r="41" spans="1:5" x14ac:dyDescent="0.2">
      <c r="A41" s="2160" t="s">
        <v>1591</v>
      </c>
      <c r="B41" s="2160"/>
      <c r="C41" s="2160"/>
      <c r="D41" s="2160"/>
      <c r="E41" s="2160"/>
    </row>
    <row r="42" spans="1:5" ht="12.75" customHeight="1" x14ac:dyDescent="0.2">
      <c r="A42" s="2161" t="s">
        <v>1015</v>
      </c>
      <c r="B42" s="2161"/>
      <c r="C42" s="2161"/>
      <c r="D42" s="2161"/>
      <c r="E42" s="2161"/>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7" sqref="C2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1" sqref="E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6" t="s">
        <v>1665</v>
      </c>
      <c r="B18" s="247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4</xdr:row>
                <xdr:rowOff>0</xdr:rowOff>
              </from>
              <to>
                <xdr:col>3</xdr:col>
                <xdr:colOff>161925</xdr:colOff>
                <xdr:row>8</xdr:row>
                <xdr:rowOff>28575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10</xdr:row>
                <xdr:rowOff>0</xdr:rowOff>
              </from>
              <to>
                <xdr:col>3</xdr:col>
                <xdr:colOff>161925</xdr:colOff>
                <xdr:row>14</xdr:row>
                <xdr:rowOff>28575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4</xdr:col>
                <xdr:colOff>0</xdr:colOff>
                <xdr:row>4</xdr:row>
                <xdr:rowOff>0</xdr:rowOff>
              </from>
              <to>
                <xdr:col>5</xdr:col>
                <xdr:colOff>161925</xdr:colOff>
                <xdr:row>8</xdr:row>
                <xdr:rowOff>28575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4</xdr:col>
                <xdr:colOff>0</xdr:colOff>
                <xdr:row>10</xdr:row>
                <xdr:rowOff>0</xdr:rowOff>
              </from>
              <to>
                <xdr:col>5</xdr:col>
                <xdr:colOff>161925</xdr:colOff>
                <xdr:row>14</xdr:row>
                <xdr:rowOff>28575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1969</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67429398</v>
      </c>
      <c r="C8" s="1813">
        <f>'Acct Summary 7-8'!D8</f>
        <v>5748610</v>
      </c>
      <c r="D8" s="1813">
        <f>'Acct Summary 7-8'!F8</f>
        <v>1872468</v>
      </c>
      <c r="E8" s="1813">
        <f>'Acct Summary 7-8'!I8</f>
        <v>278812</v>
      </c>
      <c r="F8" s="1813">
        <f>SUM(B8:E8)</f>
        <v>75329288</v>
      </c>
    </row>
    <row r="9" spans="1:8" s="858" customFormat="1" ht="14.25" customHeight="1" thickBot="1" x14ac:dyDescent="0.25">
      <c r="A9" s="857" t="s">
        <v>1353</v>
      </c>
      <c r="B9" s="1814">
        <f>'Acct Summary 7-8'!C17</f>
        <v>66972131</v>
      </c>
      <c r="C9" s="1814">
        <f>'Acct Summary 7-8'!D17</f>
        <v>5233581</v>
      </c>
      <c r="D9" s="1814">
        <f>'Acct Summary 7-8'!F17</f>
        <v>1445370</v>
      </c>
      <c r="E9" s="1813"/>
      <c r="F9" s="1813">
        <f>SUM(B9:E9)</f>
        <v>73651082</v>
      </c>
    </row>
    <row r="10" spans="1:8" s="858" customFormat="1" ht="14.25" thickTop="1" thickBot="1" x14ac:dyDescent="0.25">
      <c r="A10" s="859" t="s">
        <v>1354</v>
      </c>
      <c r="B10" s="1815">
        <f>(B8-B9)</f>
        <v>457267</v>
      </c>
      <c r="C10" s="1815">
        <f>(C8-C9)</f>
        <v>515029</v>
      </c>
      <c r="D10" s="1815">
        <f>(D8-D9)</f>
        <v>427098</v>
      </c>
      <c r="E10" s="1814">
        <f>(E8-E9)</f>
        <v>278812</v>
      </c>
      <c r="F10" s="1816">
        <f>SUM(F8-F9)</f>
        <v>1678206</v>
      </c>
    </row>
    <row r="11" spans="1:8" s="858" customFormat="1" ht="14.25" thickTop="1" thickBot="1" x14ac:dyDescent="0.25">
      <c r="A11" s="860" t="s">
        <v>1900</v>
      </c>
      <c r="B11" s="1817">
        <f>'Acct Summary 7-8'!C81</f>
        <v>25883233</v>
      </c>
      <c r="C11" s="1817">
        <f>'Acct Summary 7-8'!D81</f>
        <v>6606236</v>
      </c>
      <c r="D11" s="1817">
        <f>'Acct Summary 7-8'!F81</f>
        <v>3367832</v>
      </c>
      <c r="E11" s="1817">
        <f>'Acct Summary 7-8'!I81</f>
        <v>4738263</v>
      </c>
      <c r="F11" s="1818">
        <f>SUM(B11:E11)</f>
        <v>40595564</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election activeCell="D63" sqref="D6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7" t="str">
        <f>IF('Contracts Paid in CY 29'!$D$208&gt;0,"OK","PLEASE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iorJhSeW7vJyUNrq6ql51vA9qRvzT9U/l6RrSW3lX3unWCm45YezPnuN6GJMKnZk+c92qelNu3JNnqjaitp7vA==" saltValue="/3K9M1SA1qDVN5czyXpYp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6" t="s">
        <v>1975</v>
      </c>
    </row>
    <row r="2" spans="1:7" ht="15.75" x14ac:dyDescent="0.25">
      <c r="A2" t="s">
        <v>260</v>
      </c>
      <c r="B2" s="135">
        <f>COVER!A13</f>
        <v>49081041025</v>
      </c>
      <c r="E2" s="1542">
        <v>2020</v>
      </c>
      <c r="F2" s="1542">
        <v>1</v>
      </c>
      <c r="G2" s="1895">
        <v>101000300</v>
      </c>
    </row>
    <row r="3" spans="1:7" ht="15" x14ac:dyDescent="0.25">
      <c r="A3" t="s">
        <v>950</v>
      </c>
      <c r="B3" s="135" t="str">
        <f>COVER!A15</f>
        <v>Rock Island</v>
      </c>
      <c r="E3" s="1830" t="s">
        <v>1968</v>
      </c>
      <c r="F3" s="1830" t="s">
        <v>1967</v>
      </c>
      <c r="G3" s="1895">
        <v>101000400</v>
      </c>
    </row>
    <row r="4" spans="1:7" ht="15" x14ac:dyDescent="0.25">
      <c r="A4" t="s">
        <v>1000</v>
      </c>
      <c r="B4" s="135" t="str">
        <f>COVER!A17</f>
        <v xml:space="preserve">  Rock Island SD 41</v>
      </c>
      <c r="E4" s="1828">
        <v>44119</v>
      </c>
      <c r="F4" s="1829">
        <v>44151</v>
      </c>
      <c r="G4" s="1895">
        <v>101000600</v>
      </c>
    </row>
    <row r="5" spans="1:7" ht="15" x14ac:dyDescent="0.25">
      <c r="A5" t="s">
        <v>699</v>
      </c>
      <c r="B5" s="135" t="str">
        <f>COVER!A38</f>
        <v>Dr. Reginald Lawrence</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Ms. Tammy Muerhoff</v>
      </c>
      <c r="G8" s="1895">
        <v>102100600</v>
      </c>
    </row>
    <row r="9" spans="1:7" ht="15" x14ac:dyDescent="0.25">
      <c r="A9" s="3" t="s">
        <v>951</v>
      </c>
      <c r="B9" s="153" t="str">
        <f>AUDITCHECK!D23</f>
        <v xml:space="preserve">ACCRUAL </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1526</v>
      </c>
      <c r="B12" s="135" t="str">
        <f>IF(COVER!J29="x","Yes",IF(COVER!L29="X","No",0))</f>
        <v>Yes</v>
      </c>
      <c r="G12" s="1895">
        <v>202100600</v>
      </c>
    </row>
    <row r="13" spans="1:7" ht="15" x14ac:dyDescent="0.25">
      <c r="A13" s="1" t="s">
        <v>1527</v>
      </c>
      <c r="B13" s="135" t="str">
        <f>IF(COVER!J30="x","Yes",IF(COVER!L30="x","No",0))</f>
        <v>Yes</v>
      </c>
      <c r="G13" s="1895">
        <v>202100800</v>
      </c>
    </row>
    <row r="14" spans="1:7" ht="15" x14ac:dyDescent="0.25">
      <c r="A14" t="s">
        <v>473</v>
      </c>
      <c r="B14" s="135" t="str">
        <f>IF(COVER!J31="x","Yes",IF(COVER!L31="x","No",0))</f>
        <v>No</v>
      </c>
      <c r="G14" s="1895">
        <v>402100300</v>
      </c>
    </row>
    <row r="15" spans="1:7" ht="15" x14ac:dyDescent="0.25">
      <c r="A15" t="s">
        <v>573</v>
      </c>
      <c r="B15" s="135">
        <f>COVER!T23</f>
        <v>66.004396999999997</v>
      </c>
      <c r="G15" s="1895">
        <v>402100400</v>
      </c>
    </row>
    <row r="16" spans="1:7" ht="15" x14ac:dyDescent="0.25">
      <c r="A16" t="s">
        <v>419</v>
      </c>
      <c r="B16" s="135" t="str">
        <f>COVER!T13</f>
        <v>Bohnsack &amp; Frommelt LLP</v>
      </c>
      <c r="G16" s="1895">
        <v>402100600</v>
      </c>
    </row>
    <row r="17" spans="1:7" ht="15" x14ac:dyDescent="0.25">
      <c r="A17" t="s">
        <v>878</v>
      </c>
      <c r="B17" s="135" t="str">
        <f>COVER!T15</f>
        <v>Sarah Bohnsack</v>
      </c>
      <c r="G17" s="1895">
        <v>402100800</v>
      </c>
    </row>
    <row r="18" spans="1:7" ht="15" x14ac:dyDescent="0.25">
      <c r="A18" t="s">
        <v>1140</v>
      </c>
      <c r="B18" s="135" t="str">
        <f>COVER!T17</f>
        <v>1500 River Drive, Suite 200</v>
      </c>
      <c r="G18" s="1895">
        <v>102200300</v>
      </c>
    </row>
    <row r="19" spans="1:7" ht="15" x14ac:dyDescent="0.25">
      <c r="A19" t="s">
        <v>880</v>
      </c>
      <c r="B19" s="135" t="str">
        <f>COVER!T25</f>
        <v>Sarah@bohnsackfrommelt.com</v>
      </c>
      <c r="G19" s="1895">
        <v>102200400</v>
      </c>
    </row>
    <row r="20" spans="1:7" ht="15" x14ac:dyDescent="0.25">
      <c r="A20" t="s">
        <v>881</v>
      </c>
      <c r="B20" s="135" t="str">
        <f>COVER!T19</f>
        <v>Moline</v>
      </c>
      <c r="G20" s="1895">
        <v>102200600</v>
      </c>
    </row>
    <row r="21" spans="1:7" ht="15" x14ac:dyDescent="0.25">
      <c r="A21" t="s">
        <v>476</v>
      </c>
      <c r="B21" s="135" t="str">
        <f>COVER!X19</f>
        <v>IL</v>
      </c>
      <c r="G21" s="1895">
        <v>102200800</v>
      </c>
    </row>
    <row r="22" spans="1:7" ht="15" x14ac:dyDescent="0.25">
      <c r="A22" t="s">
        <v>882</v>
      </c>
      <c r="B22" s="135">
        <f>COVER!Z19</f>
        <v>61265</v>
      </c>
      <c r="G22" s="1895">
        <v>102300300</v>
      </c>
    </row>
    <row r="23" spans="1:7" ht="15" x14ac:dyDescent="0.25">
      <c r="A23" t="s">
        <v>1142</v>
      </c>
      <c r="B23" s="135" t="str">
        <f>COVER!T21</f>
        <v>563.343.9595</v>
      </c>
      <c r="G23" s="1895">
        <v>102300400</v>
      </c>
    </row>
    <row r="24" spans="1:7" ht="15" x14ac:dyDescent="0.25">
      <c r="A24" t="s">
        <v>1141</v>
      </c>
      <c r="B24" s="135">
        <f>COVER!Y21</f>
        <v>0</v>
      </c>
      <c r="G24" s="1895">
        <v>102300600</v>
      </c>
    </row>
    <row r="25" spans="1:7" ht="15" x14ac:dyDescent="0.25">
      <c r="A25" t="s">
        <v>756</v>
      </c>
      <c r="B25" s="135">
        <f>COVER!B34</f>
        <v>0</v>
      </c>
      <c r="G25" s="1895">
        <v>102300800</v>
      </c>
    </row>
    <row r="26" spans="1:7" ht="15" x14ac:dyDescent="0.25">
      <c r="A26" t="s">
        <v>1143</v>
      </c>
      <c r="B26" s="135">
        <f>COVER!L34</f>
        <v>0</v>
      </c>
      <c r="G26" s="1895">
        <v>802300300</v>
      </c>
    </row>
    <row r="27" spans="1:7" ht="15" x14ac:dyDescent="0.25">
      <c r="A27" t="s">
        <v>266</v>
      </c>
      <c r="B27" s="135">
        <f>COVER!U34</f>
        <v>0</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0</v>
      </c>
      <c r="G47" s="1895">
        <v>102540400</v>
      </c>
    </row>
    <row r="48" spans="1:7" ht="15" x14ac:dyDescent="0.25">
      <c r="A48" t="s">
        <v>480</v>
      </c>
      <c r="B48" s="135" t="str">
        <f>IF('Aud Quest 2'!B51="x","Yes",IF('Aud Quest 2'!B51&lt;&gt;"x","0"))</f>
        <v>0</v>
      </c>
      <c r="G48" s="1895">
        <v>102540600</v>
      </c>
    </row>
    <row r="49" spans="1:7" ht="15" x14ac:dyDescent="0.25">
      <c r="A49" s="1" t="s">
        <v>1464</v>
      </c>
      <c r="B49" s="135" t="str">
        <f>IF('Aud Quest 2'!B53="x","Yes",IF('Aud Quest 2'!B53&lt;&gt;"x","0"))</f>
        <v>0</v>
      </c>
      <c r="G49" s="1895">
        <v>102540800</v>
      </c>
    </row>
    <row r="50" spans="1:7" ht="15" x14ac:dyDescent="0.25">
      <c r="A50" s="1" t="s">
        <v>1463</v>
      </c>
      <c r="B50" s="146">
        <f>'Aud Quest 2'!H53</f>
        <v>0</v>
      </c>
      <c r="G50" s="1895">
        <v>202540300</v>
      </c>
    </row>
    <row r="51" spans="1:7" ht="15" x14ac:dyDescent="0.25">
      <c r="A51" s="1" t="s">
        <v>1465</v>
      </c>
      <c r="B51" s="135" t="str">
        <f>IF('Aud Quest 2'!B54="x","Yes",IF('Aud Quest 2'!B54&lt;&gt;"x","0"))</f>
        <v>0</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32"/>
      <c r="D62" s="2" t="str">
        <f>IF(ISBLANK(B62),"OK",IF(A62-B62=0,"OK","Error?"))</f>
        <v>OK</v>
      </c>
      <c r="G62" s="1895">
        <v>202550300</v>
      </c>
    </row>
    <row r="63" spans="1:7" ht="15" x14ac:dyDescent="0.25">
      <c r="A63" s="10">
        <v>2</v>
      </c>
      <c r="B63" s="1832"/>
      <c r="D63" s="2" t="str">
        <f t="shared" ref="D63:D126" si="0">IF(ISBLANK(B63),"OK",IF(A63-B63=0,"OK","Error?"))</f>
        <v>OK</v>
      </c>
      <c r="G63" s="1895">
        <v>202550400</v>
      </c>
    </row>
    <row r="64" spans="1:7" ht="15" x14ac:dyDescent="0.25">
      <c r="A64" s="10">
        <v>3</v>
      </c>
      <c r="B64" s="1832"/>
      <c r="D64" s="2" t="str">
        <f t="shared" si="0"/>
        <v>OK</v>
      </c>
      <c r="G64" s="1895">
        <v>202550600</v>
      </c>
    </row>
    <row r="65" spans="1:7" ht="15" x14ac:dyDescent="0.25">
      <c r="A65" s="5">
        <v>4</v>
      </c>
      <c r="B65" s="1832">
        <f>'Assets-Liab 5-6'!C6</f>
        <v>21159870</v>
      </c>
      <c r="D65" s="2" t="str">
        <f t="shared" si="0"/>
        <v>Error?</v>
      </c>
      <c r="G65" s="1895">
        <v>202550800</v>
      </c>
    </row>
    <row r="66" spans="1:7" ht="15" x14ac:dyDescent="0.25">
      <c r="A66" s="10">
        <v>5</v>
      </c>
      <c r="B66" s="1832"/>
      <c r="D66" s="2" t="str">
        <f t="shared" si="0"/>
        <v>OK</v>
      </c>
      <c r="G66" s="1895">
        <v>402550300</v>
      </c>
    </row>
    <row r="67" spans="1:7" ht="15" x14ac:dyDescent="0.25">
      <c r="A67" s="10">
        <v>6</v>
      </c>
      <c r="B67" s="1832"/>
      <c r="D67" s="2" t="str">
        <f t="shared" si="0"/>
        <v>OK</v>
      </c>
      <c r="G67" s="1895">
        <v>402550400</v>
      </c>
    </row>
    <row r="68" spans="1:7" ht="15" x14ac:dyDescent="0.25">
      <c r="A68" s="10">
        <v>7</v>
      </c>
      <c r="B68" s="1832"/>
      <c r="D68" s="2" t="str">
        <f t="shared" si="0"/>
        <v>OK</v>
      </c>
      <c r="G68" s="1895">
        <v>402550600</v>
      </c>
    </row>
    <row r="69" spans="1:7" ht="15" x14ac:dyDescent="0.25">
      <c r="A69" s="10">
        <v>8</v>
      </c>
      <c r="B69" s="1832"/>
      <c r="D69" s="2" t="str">
        <f t="shared" si="0"/>
        <v>OK</v>
      </c>
      <c r="G69" s="1895">
        <v>402550800</v>
      </c>
    </row>
    <row r="70" spans="1:7" ht="15" x14ac:dyDescent="0.25">
      <c r="A70" s="10">
        <v>9</v>
      </c>
      <c r="B70" s="1832"/>
      <c r="D70" s="2" t="str">
        <f t="shared" si="0"/>
        <v>OK</v>
      </c>
      <c r="G70" s="1895">
        <v>102560300</v>
      </c>
    </row>
    <row r="71" spans="1:7" ht="15" x14ac:dyDescent="0.25">
      <c r="A71" s="10">
        <v>10</v>
      </c>
      <c r="B71" s="1832"/>
      <c r="D71" s="2" t="str">
        <f t="shared" si="0"/>
        <v>OK</v>
      </c>
      <c r="G71" s="1895">
        <v>102560400</v>
      </c>
    </row>
    <row r="72" spans="1:7" ht="15" x14ac:dyDescent="0.25">
      <c r="A72" s="5">
        <v>11</v>
      </c>
      <c r="B72" s="1832">
        <f>'Assets-Liab 5-6'!C10</f>
        <v>0</v>
      </c>
      <c r="D72" s="2" t="str">
        <f t="shared" si="0"/>
        <v>Error?</v>
      </c>
      <c r="G72" s="1895">
        <v>102560600</v>
      </c>
    </row>
    <row r="73" spans="1:7" ht="15" x14ac:dyDescent="0.25">
      <c r="A73" s="5">
        <v>12</v>
      </c>
      <c r="B73" s="1832">
        <f>'Assets-Liab 5-6'!C5</f>
        <v>21449058</v>
      </c>
      <c r="D73" s="2" t="str">
        <f t="shared" si="0"/>
        <v>Error?</v>
      </c>
      <c r="G73" s="1895">
        <v>102560800</v>
      </c>
    </row>
    <row r="74" spans="1:7" ht="15" x14ac:dyDescent="0.25">
      <c r="A74" s="10">
        <v>13</v>
      </c>
      <c r="B74" s="1832"/>
      <c r="D74" s="2" t="str">
        <f t="shared" si="0"/>
        <v>OK</v>
      </c>
      <c r="G74" s="1895">
        <v>102570300</v>
      </c>
    </row>
    <row r="75" spans="1:7" ht="15" x14ac:dyDescent="0.25">
      <c r="A75" s="10">
        <v>14</v>
      </c>
      <c r="B75" s="1832"/>
      <c r="D75" s="2" t="str">
        <f t="shared" si="0"/>
        <v>OK</v>
      </c>
      <c r="G75" s="1895">
        <v>102570400</v>
      </c>
    </row>
    <row r="76" spans="1:7" ht="15" x14ac:dyDescent="0.25">
      <c r="A76" s="5">
        <v>15</v>
      </c>
      <c r="B76" s="1832">
        <f>'Assets-Liab 5-6'!C12</f>
        <v>0</v>
      </c>
      <c r="D76" s="2" t="str">
        <f t="shared" si="0"/>
        <v>Error?</v>
      </c>
      <c r="G76" s="1895">
        <v>102570600</v>
      </c>
    </row>
    <row r="77" spans="1:7" ht="15" x14ac:dyDescent="0.25">
      <c r="A77" s="5">
        <v>16</v>
      </c>
      <c r="B77" s="1832">
        <f>'Assets-Liab 5-6'!C13</f>
        <v>46880863</v>
      </c>
      <c r="C77" s="2" t="s">
        <v>569</v>
      </c>
      <c r="D77" s="2" t="str">
        <f t="shared" si="0"/>
        <v>Error?</v>
      </c>
      <c r="G77" s="1895">
        <v>102570800</v>
      </c>
    </row>
    <row r="78" spans="1:7" ht="15" x14ac:dyDescent="0.25">
      <c r="A78" s="10">
        <v>17</v>
      </c>
      <c r="B78" s="1832"/>
      <c r="D78" s="2" t="str">
        <f t="shared" si="0"/>
        <v>OK</v>
      </c>
      <c r="G78" s="1895">
        <v>102610300</v>
      </c>
    </row>
    <row r="79" spans="1:7" ht="15" x14ac:dyDescent="0.25">
      <c r="A79" s="10">
        <v>18</v>
      </c>
      <c r="B79" s="1832"/>
      <c r="D79" s="2" t="str">
        <f t="shared" si="0"/>
        <v>OK</v>
      </c>
      <c r="G79" s="1895">
        <v>102610400</v>
      </c>
    </row>
    <row r="80" spans="1:7" ht="15" x14ac:dyDescent="0.25">
      <c r="A80" s="10">
        <v>19</v>
      </c>
      <c r="B80" s="1832"/>
      <c r="D80" s="2" t="str">
        <f t="shared" si="0"/>
        <v>OK</v>
      </c>
      <c r="G80" s="1895">
        <v>102610600</v>
      </c>
    </row>
    <row r="81" spans="1:7" ht="15" x14ac:dyDescent="0.25">
      <c r="A81" s="10">
        <v>20</v>
      </c>
      <c r="B81" s="1832"/>
      <c r="D81" s="2" t="str">
        <f t="shared" si="0"/>
        <v>OK</v>
      </c>
      <c r="G81" s="1895">
        <v>102610800</v>
      </c>
    </row>
    <row r="82" spans="1:7" ht="15" x14ac:dyDescent="0.25">
      <c r="A82" s="10">
        <v>21</v>
      </c>
      <c r="B82" s="1832"/>
      <c r="D82" s="2" t="str">
        <f t="shared" si="0"/>
        <v>OK</v>
      </c>
      <c r="G82" s="1895">
        <v>102620300</v>
      </c>
    </row>
    <row r="83" spans="1:7" ht="15" x14ac:dyDescent="0.25">
      <c r="A83" s="10">
        <v>22</v>
      </c>
      <c r="B83" s="1832"/>
      <c r="D83" s="2" t="str">
        <f t="shared" si="0"/>
        <v>OK</v>
      </c>
      <c r="G83" s="1895">
        <v>102620400</v>
      </c>
    </row>
    <row r="84" spans="1:7" ht="15" x14ac:dyDescent="0.25">
      <c r="A84" s="10">
        <v>23</v>
      </c>
      <c r="B84" s="1832"/>
      <c r="D84" s="2" t="str">
        <f t="shared" si="0"/>
        <v>OK</v>
      </c>
      <c r="G84" s="1895">
        <v>102620600</v>
      </c>
    </row>
    <row r="85" spans="1:7" ht="15" x14ac:dyDescent="0.25">
      <c r="A85" s="10">
        <v>24</v>
      </c>
      <c r="B85" s="1832"/>
      <c r="D85" s="2" t="str">
        <f t="shared" si="0"/>
        <v>OK</v>
      </c>
      <c r="G85" s="1895">
        <v>102620800</v>
      </c>
    </row>
    <row r="86" spans="1:7" ht="15" x14ac:dyDescent="0.25">
      <c r="A86" s="12">
        <v>25</v>
      </c>
      <c r="B86" s="1832">
        <f>'Assets-Liab 5-6'!C31</f>
        <v>0</v>
      </c>
      <c r="D86" s="2" t="str">
        <f t="shared" si="0"/>
        <v>Error?</v>
      </c>
      <c r="G86" s="1895">
        <v>102630300</v>
      </c>
    </row>
    <row r="87" spans="1:7" ht="15" x14ac:dyDescent="0.25">
      <c r="A87" s="10">
        <v>26</v>
      </c>
      <c r="B87" s="1832"/>
      <c r="D87" s="2" t="str">
        <f t="shared" si="0"/>
        <v>OK</v>
      </c>
      <c r="G87" s="1895">
        <v>102630400</v>
      </c>
    </row>
    <row r="88" spans="1:7" ht="15" x14ac:dyDescent="0.25">
      <c r="A88" s="5">
        <v>27</v>
      </c>
      <c r="B88" s="1832">
        <f>'Assets-Liab 5-6'!C32</f>
        <v>17610869</v>
      </c>
      <c r="D88" s="2" t="str">
        <f t="shared" si="0"/>
        <v>Error?</v>
      </c>
      <c r="G88" s="1895">
        <v>102630600</v>
      </c>
    </row>
    <row r="89" spans="1:7" ht="15" x14ac:dyDescent="0.25">
      <c r="A89" s="10">
        <v>28</v>
      </c>
      <c r="B89" s="1832"/>
      <c r="D89" s="2" t="str">
        <f t="shared" si="0"/>
        <v>OK</v>
      </c>
      <c r="G89" s="1895">
        <v>102630800</v>
      </c>
    </row>
    <row r="90" spans="1:7" ht="15" x14ac:dyDescent="0.25">
      <c r="A90" s="10">
        <v>29</v>
      </c>
      <c r="B90" s="1832"/>
      <c r="D90" s="2" t="str">
        <f t="shared" si="0"/>
        <v>OK</v>
      </c>
      <c r="G90" s="1895">
        <v>102640300</v>
      </c>
    </row>
    <row r="91" spans="1:7" ht="15" x14ac:dyDescent="0.25">
      <c r="A91" s="5">
        <v>30</v>
      </c>
      <c r="B91" s="1832">
        <f>'Assets-Liab 5-6'!C34</f>
        <v>20997630</v>
      </c>
      <c r="C91" s="2" t="s">
        <v>569</v>
      </c>
      <c r="D91" s="2" t="str">
        <f t="shared" si="0"/>
        <v>Error?</v>
      </c>
      <c r="G91" s="1895">
        <v>102640400</v>
      </c>
    </row>
    <row r="92" spans="1:7" ht="15" x14ac:dyDescent="0.25">
      <c r="A92" s="5">
        <v>31</v>
      </c>
      <c r="B92" s="1832">
        <f>'Assets-Liab 5-6'!C39</f>
        <v>25883233</v>
      </c>
      <c r="D92" s="2" t="str">
        <f t="shared" si="0"/>
        <v>Error?</v>
      </c>
      <c r="G92" s="1895">
        <v>102640600</v>
      </c>
    </row>
    <row r="93" spans="1:7" ht="15" x14ac:dyDescent="0.25">
      <c r="A93" s="5">
        <v>32</v>
      </c>
      <c r="B93" s="1832">
        <f>'Assets-Liab 5-6'!C41</f>
        <v>46880863</v>
      </c>
      <c r="C93" s="2" t="s">
        <v>569</v>
      </c>
      <c r="D93" s="2" t="str">
        <f t="shared" si="0"/>
        <v>Error?</v>
      </c>
      <c r="G93" s="1895">
        <v>102640800</v>
      </c>
    </row>
    <row r="94" spans="1:7" ht="15" x14ac:dyDescent="0.25">
      <c r="A94" s="10">
        <v>33</v>
      </c>
      <c r="B94" s="1832"/>
      <c r="D94" s="2" t="str">
        <f t="shared" si="0"/>
        <v>OK</v>
      </c>
      <c r="G94" s="1895">
        <v>102660300</v>
      </c>
    </row>
    <row r="95" spans="1:7" ht="15" x14ac:dyDescent="0.25">
      <c r="A95" s="10">
        <v>34</v>
      </c>
      <c r="B95" s="1832"/>
      <c r="D95" s="2" t="str">
        <f t="shared" si="0"/>
        <v>OK</v>
      </c>
      <c r="G95" s="1895">
        <v>102660400</v>
      </c>
    </row>
    <row r="96" spans="1:7" ht="15" x14ac:dyDescent="0.25">
      <c r="A96" s="10">
        <v>35</v>
      </c>
      <c r="B96" s="1832"/>
      <c r="D96" s="2" t="str">
        <f t="shared" si="0"/>
        <v>OK</v>
      </c>
      <c r="G96" s="1895">
        <v>102660600</v>
      </c>
    </row>
    <row r="97" spans="1:7" ht="15" x14ac:dyDescent="0.25">
      <c r="A97" s="5">
        <v>36</v>
      </c>
      <c r="B97" s="1832">
        <f>'Assets-Liab 5-6'!D6</f>
        <v>4898920</v>
      </c>
      <c r="D97" s="2" t="str">
        <f t="shared" si="0"/>
        <v>Error?</v>
      </c>
      <c r="G97" s="1895">
        <v>102660800</v>
      </c>
    </row>
    <row r="98" spans="1:7" ht="15" x14ac:dyDescent="0.25">
      <c r="A98" s="10">
        <v>37</v>
      </c>
      <c r="B98" s="1832"/>
      <c r="D98" s="2" t="str">
        <f t="shared" si="0"/>
        <v>OK</v>
      </c>
      <c r="G98" s="1895">
        <v>102900300</v>
      </c>
    </row>
    <row r="99" spans="1:7" ht="15" x14ac:dyDescent="0.25">
      <c r="A99" s="10">
        <v>38</v>
      </c>
      <c r="B99" s="1832"/>
      <c r="D99" s="2" t="str">
        <f t="shared" si="0"/>
        <v>OK</v>
      </c>
      <c r="G99" s="1895">
        <v>102900400</v>
      </c>
    </row>
    <row r="100" spans="1:7" ht="15" x14ac:dyDescent="0.25">
      <c r="A100" s="10">
        <v>39</v>
      </c>
      <c r="B100" s="1832"/>
      <c r="D100" s="2" t="str">
        <f t="shared" si="0"/>
        <v>OK</v>
      </c>
      <c r="G100" s="1895">
        <v>102900600</v>
      </c>
    </row>
    <row r="101" spans="1:7" ht="15" x14ac:dyDescent="0.25">
      <c r="A101" s="10">
        <v>40</v>
      </c>
      <c r="B101" s="1832"/>
      <c r="D101" s="2" t="str">
        <f t="shared" si="0"/>
        <v>OK</v>
      </c>
      <c r="G101" s="1895">
        <v>102900800</v>
      </c>
    </row>
    <row r="102" spans="1:7" ht="15" x14ac:dyDescent="0.25">
      <c r="A102" s="10">
        <v>41</v>
      </c>
      <c r="B102" s="1832"/>
      <c r="D102" s="2" t="str">
        <f t="shared" si="0"/>
        <v>OK</v>
      </c>
      <c r="G102" s="1895">
        <v>202900300</v>
      </c>
    </row>
    <row r="103" spans="1:7" ht="15" x14ac:dyDescent="0.25">
      <c r="A103" s="10">
        <v>42</v>
      </c>
      <c r="B103" s="1832"/>
      <c r="D103" s="2" t="str">
        <f t="shared" si="0"/>
        <v>OK</v>
      </c>
      <c r="G103" s="1895">
        <v>202900400</v>
      </c>
    </row>
    <row r="104" spans="1:7" ht="15" x14ac:dyDescent="0.25">
      <c r="A104" s="5">
        <v>43</v>
      </c>
      <c r="B104" s="1832">
        <f>'Assets-Liab 5-6'!D10</f>
        <v>0</v>
      </c>
      <c r="D104" s="2" t="str">
        <f t="shared" si="0"/>
        <v>Error?</v>
      </c>
      <c r="G104" s="1895">
        <v>202900600</v>
      </c>
    </row>
    <row r="105" spans="1:7" ht="15" x14ac:dyDescent="0.25">
      <c r="A105" s="5">
        <v>44</v>
      </c>
      <c r="B105" s="1832">
        <f>'Assets-Liab 5-6'!D5</f>
        <v>0</v>
      </c>
      <c r="D105" s="2" t="str">
        <f t="shared" si="0"/>
        <v>Error?</v>
      </c>
      <c r="G105" s="1895">
        <v>202900800</v>
      </c>
    </row>
    <row r="106" spans="1:7" ht="15" x14ac:dyDescent="0.25">
      <c r="A106" s="10">
        <v>45</v>
      </c>
      <c r="B106" s="1832"/>
      <c r="D106" s="2" t="str">
        <f t="shared" si="0"/>
        <v>OK</v>
      </c>
      <c r="G106" s="1895">
        <v>402900300</v>
      </c>
    </row>
    <row r="107" spans="1:7" ht="15" x14ac:dyDescent="0.25">
      <c r="A107" s="10">
        <v>46</v>
      </c>
      <c r="B107" s="1832"/>
      <c r="D107" s="2" t="str">
        <f t="shared" si="0"/>
        <v>OK</v>
      </c>
      <c r="G107" s="1895">
        <v>402900400</v>
      </c>
    </row>
    <row r="108" spans="1:7" ht="15" x14ac:dyDescent="0.25">
      <c r="A108" s="5">
        <v>47</v>
      </c>
      <c r="B108" s="1832">
        <f>'Assets-Liab 5-6'!D12</f>
        <v>0</v>
      </c>
      <c r="D108" s="2" t="str">
        <f t="shared" si="0"/>
        <v>Error?</v>
      </c>
      <c r="G108" s="1895">
        <v>402900600</v>
      </c>
    </row>
    <row r="109" spans="1:7" ht="15" x14ac:dyDescent="0.25">
      <c r="A109" s="5">
        <v>48</v>
      </c>
      <c r="B109" s="1832">
        <f>'Assets-Liab 5-6'!D13</f>
        <v>10788070</v>
      </c>
      <c r="C109" s="2" t="s">
        <v>569</v>
      </c>
      <c r="D109" s="2" t="str">
        <f t="shared" si="0"/>
        <v>Error?</v>
      </c>
      <c r="G109" s="1895">
        <v>402900800</v>
      </c>
    </row>
    <row r="110" spans="1:7" ht="15" x14ac:dyDescent="0.25">
      <c r="A110" s="10">
        <v>49</v>
      </c>
      <c r="B110" s="1832"/>
      <c r="D110" s="2" t="str">
        <f t="shared" si="0"/>
        <v>OK</v>
      </c>
      <c r="G110" s="1895">
        <v>602900300</v>
      </c>
    </row>
    <row r="111" spans="1:7" ht="15" x14ac:dyDescent="0.25">
      <c r="A111" s="10">
        <v>50</v>
      </c>
      <c r="B111" s="1832"/>
      <c r="D111" s="2" t="str">
        <f t="shared" si="0"/>
        <v>OK</v>
      </c>
      <c r="G111" s="1895">
        <v>602900400</v>
      </c>
    </row>
    <row r="112" spans="1:7" ht="15" x14ac:dyDescent="0.25">
      <c r="A112" s="10">
        <v>51</v>
      </c>
      <c r="B112" s="1832"/>
      <c r="D112" s="2" t="str">
        <f t="shared" si="0"/>
        <v>OK</v>
      </c>
      <c r="G112" s="1895">
        <v>602900600</v>
      </c>
    </row>
    <row r="113" spans="1:7" ht="15" x14ac:dyDescent="0.25">
      <c r="A113" s="10">
        <v>52</v>
      </c>
      <c r="B113" s="1832"/>
      <c r="D113" s="2" t="str">
        <f t="shared" si="0"/>
        <v>OK</v>
      </c>
      <c r="G113" s="1895">
        <v>602900800</v>
      </c>
    </row>
    <row r="114" spans="1:7" ht="15" x14ac:dyDescent="0.25">
      <c r="A114" s="10">
        <v>53</v>
      </c>
      <c r="B114" s="1832"/>
      <c r="D114" s="2" t="str">
        <f t="shared" si="0"/>
        <v>OK</v>
      </c>
      <c r="G114" s="1895">
        <v>902900300</v>
      </c>
    </row>
    <row r="115" spans="1:7" ht="15" x14ac:dyDescent="0.25">
      <c r="A115" s="10">
        <v>54</v>
      </c>
      <c r="B115" s="1832"/>
      <c r="D115" s="2" t="str">
        <f t="shared" si="0"/>
        <v>OK</v>
      </c>
      <c r="G115" s="1895">
        <v>902900400</v>
      </c>
    </row>
    <row r="116" spans="1:7" ht="15" x14ac:dyDescent="0.25">
      <c r="A116" s="10">
        <v>55</v>
      </c>
      <c r="B116" s="1832"/>
      <c r="D116" s="2" t="str">
        <f t="shared" si="0"/>
        <v>OK</v>
      </c>
      <c r="G116" s="1895">
        <v>902900600</v>
      </c>
    </row>
    <row r="117" spans="1:7" ht="15" x14ac:dyDescent="0.25">
      <c r="A117" s="5">
        <v>56</v>
      </c>
      <c r="B117" s="1832">
        <f>'Assets-Liab 5-6'!D31</f>
        <v>0</v>
      </c>
      <c r="D117" s="2" t="str">
        <f t="shared" si="0"/>
        <v>Error?</v>
      </c>
      <c r="G117" s="1895">
        <v>902900800</v>
      </c>
    </row>
    <row r="118" spans="1:7" ht="15" x14ac:dyDescent="0.25">
      <c r="A118" s="10">
        <v>57</v>
      </c>
      <c r="B118" s="1832"/>
      <c r="D118" s="2" t="str">
        <f t="shared" si="0"/>
        <v>OK</v>
      </c>
      <c r="G118" s="1895">
        <v>103000300</v>
      </c>
    </row>
    <row r="119" spans="1:7" ht="15" x14ac:dyDescent="0.25">
      <c r="A119" s="5">
        <v>58</v>
      </c>
      <c r="B119" s="1832">
        <f>'Assets-Liab 5-6'!D32</f>
        <v>4002737</v>
      </c>
      <c r="D119" s="2" t="str">
        <f t="shared" si="0"/>
        <v>Error?</v>
      </c>
      <c r="G119" s="1895">
        <v>103000400</v>
      </c>
    </row>
    <row r="120" spans="1:7" ht="15" x14ac:dyDescent="0.25">
      <c r="A120" s="10">
        <v>59</v>
      </c>
      <c r="B120" s="1832"/>
      <c r="D120" s="2" t="str">
        <f t="shared" si="0"/>
        <v>OK</v>
      </c>
      <c r="G120" s="1895">
        <v>103000600</v>
      </c>
    </row>
    <row r="121" spans="1:7" ht="15" x14ac:dyDescent="0.25">
      <c r="A121" s="10">
        <v>60</v>
      </c>
      <c r="B121" s="1832"/>
      <c r="D121" s="2" t="str">
        <f t="shared" si="0"/>
        <v>OK</v>
      </c>
      <c r="G121" s="1895">
        <v>103000800</v>
      </c>
    </row>
    <row r="122" spans="1:7" ht="15" x14ac:dyDescent="0.25">
      <c r="A122" s="5">
        <v>61</v>
      </c>
      <c r="B122" s="1832">
        <f>'Assets-Liab 5-6'!D34</f>
        <v>4181834</v>
      </c>
      <c r="C122" s="2" t="s">
        <v>569</v>
      </c>
      <c r="D122" s="2" t="str">
        <f t="shared" si="0"/>
        <v>Error?</v>
      </c>
      <c r="G122" s="1895">
        <v>203000300</v>
      </c>
    </row>
    <row r="123" spans="1:7" ht="15" x14ac:dyDescent="0.25">
      <c r="A123" s="5">
        <v>62</v>
      </c>
      <c r="B123" s="1832">
        <f>'Assets-Liab 5-6'!D39</f>
        <v>6287563</v>
      </c>
      <c r="D123" s="2" t="str">
        <f t="shared" si="0"/>
        <v>Error?</v>
      </c>
      <c r="G123" s="1895">
        <v>203000400</v>
      </c>
    </row>
    <row r="124" spans="1:7" ht="15" x14ac:dyDescent="0.25">
      <c r="A124" s="5">
        <v>63</v>
      </c>
      <c r="B124" s="1832">
        <f>'Assets-Liab 5-6'!D41</f>
        <v>10788070</v>
      </c>
      <c r="C124" s="2" t="s">
        <v>569</v>
      </c>
      <c r="D124" s="2" t="str">
        <f t="shared" si="0"/>
        <v>Error?</v>
      </c>
      <c r="G124" s="1895">
        <v>203000600</v>
      </c>
    </row>
    <row r="125" spans="1:7" ht="15" x14ac:dyDescent="0.25">
      <c r="A125" s="10">
        <v>64</v>
      </c>
      <c r="B125" s="1832"/>
      <c r="D125" s="2" t="str">
        <f t="shared" si="0"/>
        <v>OK</v>
      </c>
      <c r="G125" s="1895">
        <v>203000800</v>
      </c>
    </row>
    <row r="126" spans="1:7" ht="15" x14ac:dyDescent="0.25">
      <c r="A126" s="5">
        <v>65</v>
      </c>
      <c r="B126" s="1832">
        <f>'Assets-Liab 5-6'!E6</f>
        <v>3849945</v>
      </c>
      <c r="D126" s="2" t="str">
        <f t="shared" si="0"/>
        <v>Error?</v>
      </c>
      <c r="G126" s="1895">
        <v>403000300</v>
      </c>
    </row>
    <row r="127" spans="1:7" ht="15" x14ac:dyDescent="0.25">
      <c r="A127" s="10">
        <v>66</v>
      </c>
      <c r="B127" s="1832"/>
      <c r="D127" s="2" t="str">
        <f t="shared" ref="D127:D190" si="1">IF(ISBLANK(B127),"OK",IF(A127-B127=0,"OK","Error?"))</f>
        <v>OK</v>
      </c>
      <c r="G127" s="1895">
        <v>403000400</v>
      </c>
    </row>
    <row r="128" spans="1:7" ht="15" x14ac:dyDescent="0.25">
      <c r="A128" s="10">
        <v>67</v>
      </c>
      <c r="B128" s="1832"/>
      <c r="D128" s="2" t="str">
        <f t="shared" si="1"/>
        <v>OK</v>
      </c>
      <c r="G128" s="1895">
        <v>403000600</v>
      </c>
    </row>
    <row r="129" spans="1:7" ht="15" x14ac:dyDescent="0.25">
      <c r="A129" s="5">
        <v>68</v>
      </c>
      <c r="B129" s="1832">
        <f>'Assets-Liab 5-6'!E5</f>
        <v>0</v>
      </c>
      <c r="D129" s="2" t="str">
        <f t="shared" si="1"/>
        <v>Error?</v>
      </c>
      <c r="G129" s="1895">
        <v>403000800</v>
      </c>
    </row>
    <row r="130" spans="1:7" x14ac:dyDescent="0.2">
      <c r="A130" s="5">
        <v>69</v>
      </c>
      <c r="B130" s="1832">
        <f>'Assets-Liab 5-6'!E12</f>
        <v>0</v>
      </c>
      <c r="D130" s="2" t="str">
        <f t="shared" si="1"/>
        <v>Error?</v>
      </c>
    </row>
    <row r="131" spans="1:7" x14ac:dyDescent="0.2">
      <c r="A131" s="5">
        <v>70</v>
      </c>
      <c r="B131" s="1832">
        <f>'Assets-Liab 5-6'!E13</f>
        <v>5063993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3143483</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3143483</v>
      </c>
      <c r="C139" s="2" t="s">
        <v>569</v>
      </c>
      <c r="D139" s="2" t="str">
        <f t="shared" si="1"/>
        <v>Error?</v>
      </c>
    </row>
    <row r="140" spans="1:7" x14ac:dyDescent="0.2">
      <c r="A140" s="5">
        <v>79</v>
      </c>
      <c r="B140" s="1832">
        <f>'Assets-Liab 5-6'!E39</f>
        <v>1920510</v>
      </c>
      <c r="D140" s="2" t="str">
        <f t="shared" si="1"/>
        <v>Error?</v>
      </c>
    </row>
    <row r="141" spans="1:7" x14ac:dyDescent="0.2">
      <c r="A141" s="5">
        <v>80</v>
      </c>
      <c r="B141" s="1832">
        <f>'Assets-Liab 5-6'!E41</f>
        <v>5063993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1308504</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5095229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1727397</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1727397</v>
      </c>
      <c r="C169" s="2" t="s">
        <v>569</v>
      </c>
      <c r="D169" s="2" t="str">
        <f t="shared" si="1"/>
        <v>Error?</v>
      </c>
    </row>
    <row r="170" spans="1:4" x14ac:dyDescent="0.2">
      <c r="A170" s="5">
        <v>109</v>
      </c>
      <c r="B170" s="1832">
        <f>'Assets-Liab 5-6'!F39</f>
        <v>3367832</v>
      </c>
      <c r="D170" s="2" t="str">
        <f t="shared" si="1"/>
        <v>Error?</v>
      </c>
    </row>
    <row r="171" spans="1:4" x14ac:dyDescent="0.2">
      <c r="A171" s="5">
        <v>110</v>
      </c>
      <c r="B171" s="1832">
        <f>'Assets-Liab 5-6'!F41</f>
        <v>5095229</v>
      </c>
      <c r="C171" s="2" t="s">
        <v>569</v>
      </c>
      <c r="D171" s="2" t="str">
        <f t="shared" si="1"/>
        <v>Error?</v>
      </c>
    </row>
    <row r="172" spans="1:4" x14ac:dyDescent="0.2">
      <c r="A172" s="10">
        <v>111</v>
      </c>
      <c r="B172" s="1832"/>
      <c r="D172" s="2" t="str">
        <f t="shared" si="1"/>
        <v>OK</v>
      </c>
    </row>
    <row r="173" spans="1:4" x14ac:dyDescent="0.2">
      <c r="A173" s="5">
        <v>112</v>
      </c>
      <c r="B173" s="1832">
        <f>'Assets-Liab 5-6'!G6</f>
        <v>2682948</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4104990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2186028</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2455023</v>
      </c>
      <c r="C188" s="2" t="s">
        <v>569</v>
      </c>
      <c r="D188" s="2" t="str">
        <f t="shared" si="1"/>
        <v>Error?</v>
      </c>
    </row>
    <row r="189" spans="1:4" x14ac:dyDescent="0.2">
      <c r="A189" s="5">
        <v>128</v>
      </c>
      <c r="B189" s="1832">
        <f>'Assets-Liab 5-6'!G39</f>
        <v>1649967</v>
      </c>
      <c r="D189" s="2" t="str">
        <f t="shared" si="1"/>
        <v>Error?</v>
      </c>
    </row>
    <row r="190" spans="1:4" x14ac:dyDescent="0.2">
      <c r="A190" s="5">
        <v>129</v>
      </c>
      <c r="B190" s="1832">
        <f>'Assets-Liab 5-6'!G41</f>
        <v>4104990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17005227</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19108664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277934</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1123055</v>
      </c>
      <c r="C211" s="2" t="s">
        <v>569</v>
      </c>
      <c r="D211" s="2" t="str">
        <f t="shared" si="2"/>
        <v>Error?</v>
      </c>
    </row>
    <row r="212" spans="1:4" x14ac:dyDescent="0.2">
      <c r="A212" s="5">
        <v>151</v>
      </c>
      <c r="B212" s="1832">
        <f>'Assets-Liab 5-6'!H38</f>
        <v>17985609</v>
      </c>
      <c r="D212" s="2" t="str">
        <f t="shared" si="2"/>
        <v>Error?</v>
      </c>
    </row>
    <row r="213" spans="1:4" x14ac:dyDescent="0.2">
      <c r="A213" s="12">
        <v>152</v>
      </c>
      <c r="B213" s="1832">
        <f>'Assets-Liab 5-6'!H41</f>
        <v>19108664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2439266</v>
      </c>
      <c r="D273" s="2" t="str">
        <f t="shared" si="3"/>
        <v>Error?</v>
      </c>
    </row>
    <row r="274" spans="1:4" x14ac:dyDescent="0.2">
      <c r="A274" s="5">
        <v>213</v>
      </c>
      <c r="B274" s="1832">
        <f>'Assets-Liab 5-6'!M17</f>
        <v>48081315</v>
      </c>
      <c r="D274" s="2" t="str">
        <f t="shared" si="3"/>
        <v>Error?</v>
      </c>
    </row>
    <row r="275" spans="1:4" x14ac:dyDescent="0.2">
      <c r="A275" s="5">
        <v>214</v>
      </c>
      <c r="B275" s="1832">
        <f>'Assets-Liab 5-6'!M18</f>
        <v>2030199</v>
      </c>
      <c r="D275" s="2" t="str">
        <f t="shared" si="3"/>
        <v>Error?</v>
      </c>
    </row>
    <row r="276" spans="1:4" x14ac:dyDescent="0.2">
      <c r="A276" s="5">
        <v>215</v>
      </c>
      <c r="B276" s="1832">
        <f>'Assets-Liab 5-6'!M19</f>
        <v>954828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55958220</v>
      </c>
      <c r="C279" s="2" t="s">
        <v>569</v>
      </c>
      <c r="D279" s="2" t="str">
        <f t="shared" si="3"/>
        <v>Error?</v>
      </c>
    </row>
    <row r="280" spans="1:4" x14ac:dyDescent="0.2">
      <c r="A280" s="5">
        <v>219</v>
      </c>
      <c r="B280" s="1832">
        <f>'Assets-Liab 5-6'!M40</f>
        <v>55958220</v>
      </c>
      <c r="D280" s="2" t="str">
        <f t="shared" si="3"/>
        <v>Error?</v>
      </c>
    </row>
    <row r="281" spans="1:4" x14ac:dyDescent="0.2">
      <c r="A281" s="5">
        <v>220</v>
      </c>
      <c r="B281" s="1832">
        <f>'Assets-Liab 5-6'!M41</f>
        <v>55958220</v>
      </c>
      <c r="C281" s="2" t="s">
        <v>569</v>
      </c>
      <c r="D281" s="2" t="str">
        <f t="shared" si="3"/>
        <v>Error?</v>
      </c>
    </row>
    <row r="282" spans="1:4" x14ac:dyDescent="0.2">
      <c r="A282" s="5">
        <v>221</v>
      </c>
      <c r="B282" s="1832">
        <f>'Assets-Liab 5-6'!N21</f>
        <v>1920510</v>
      </c>
      <c r="D282" s="2" t="str">
        <f t="shared" si="3"/>
        <v>Error?</v>
      </c>
    </row>
    <row r="283" spans="1:4" x14ac:dyDescent="0.2">
      <c r="A283" s="5">
        <v>222</v>
      </c>
      <c r="B283" s="1832">
        <f>'Assets-Liab 5-6'!N22</f>
        <v>36229490</v>
      </c>
      <c r="D283" s="2" t="str">
        <f t="shared" si="3"/>
        <v>Error?</v>
      </c>
    </row>
    <row r="284" spans="1:4" x14ac:dyDescent="0.2">
      <c r="A284" s="5">
        <v>223</v>
      </c>
      <c r="B284" s="1832">
        <f>'Assets-Liab 5-6'!N23</f>
        <v>38150000</v>
      </c>
      <c r="C284" s="2" t="s">
        <v>569</v>
      </c>
      <c r="D284" s="2" t="str">
        <f t="shared" si="3"/>
        <v>Error?</v>
      </c>
    </row>
    <row r="285" spans="1:4" x14ac:dyDescent="0.2">
      <c r="A285" s="5">
        <v>224</v>
      </c>
      <c r="B285" s="1832">
        <f>'Assets-Liab 5-6'!N36</f>
        <v>38150000</v>
      </c>
      <c r="D285" s="2" t="str">
        <f t="shared" si="3"/>
        <v>Error?</v>
      </c>
    </row>
    <row r="286" spans="1:4" x14ac:dyDescent="0.2">
      <c r="A286" s="10">
        <v>225</v>
      </c>
      <c r="B286" s="1832"/>
      <c r="D286" s="2" t="str">
        <f t="shared" si="3"/>
        <v>OK</v>
      </c>
    </row>
    <row r="287" spans="1:4" x14ac:dyDescent="0.2">
      <c r="A287" s="5">
        <v>226</v>
      </c>
      <c r="B287" s="1832">
        <f>'Assets-Liab 5-6'!N37</f>
        <v>38150000</v>
      </c>
      <c r="C287" s="2" t="s">
        <v>569</v>
      </c>
      <c r="D287" s="2" t="str">
        <f t="shared" si="3"/>
        <v>Error?</v>
      </c>
    </row>
    <row r="288" spans="1:4" x14ac:dyDescent="0.2">
      <c r="A288" s="5">
        <v>227</v>
      </c>
      <c r="B288" s="1832">
        <f>'Assets-Liab 5-6'!N41</f>
        <v>38150000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14700000</v>
      </c>
      <c r="D618" s="2" t="str">
        <f t="shared" si="8"/>
        <v>Error?</v>
      </c>
    </row>
    <row r="619" spans="1:4" x14ac:dyDescent="0.2">
      <c r="A619" s="5">
        <v>558</v>
      </c>
      <c r="B619" s="1832">
        <f>'Acct Summary 7-8'!H34</f>
        <v>2499002</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21133552</v>
      </c>
      <c r="D705" s="2" t="str">
        <f t="shared" si="10"/>
        <v>Error?</v>
      </c>
    </row>
    <row r="706" spans="1:4" x14ac:dyDescent="0.2">
      <c r="A706" s="5">
        <v>645</v>
      </c>
      <c r="B706" s="1832">
        <f>'Expenditures 15-22'!C16</f>
        <v>362897</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1249875</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626346</v>
      </c>
      <c r="D717" s="2" t="str">
        <f t="shared" si="10"/>
        <v>Error?</v>
      </c>
    </row>
    <row r="718" spans="1:4" x14ac:dyDescent="0.2">
      <c r="A718" s="5">
        <v>657</v>
      </c>
      <c r="B718" s="1832">
        <f>'Expenditures 15-22'!C14</f>
        <v>1223433</v>
      </c>
      <c r="D718" s="2" t="str">
        <f t="shared" si="10"/>
        <v>Error?</v>
      </c>
    </row>
    <row r="719" spans="1:4" x14ac:dyDescent="0.2">
      <c r="A719" s="5">
        <v>658</v>
      </c>
      <c r="B719" s="1832">
        <f>'Expenditures 15-22'!C15</f>
        <v>48016</v>
      </c>
      <c r="D719" s="2" t="str">
        <f t="shared" si="10"/>
        <v>Error?</v>
      </c>
    </row>
    <row r="720" spans="1:4" x14ac:dyDescent="0.2">
      <c r="A720" s="5">
        <v>659</v>
      </c>
      <c r="B720" s="1832">
        <f>'Expenditures 15-22'!C33</f>
        <v>33388937</v>
      </c>
      <c r="C720" s="2" t="s">
        <v>569</v>
      </c>
      <c r="D720" s="2" t="str">
        <f t="shared" si="10"/>
        <v>Error?</v>
      </c>
    </row>
    <row r="721" spans="1:4" x14ac:dyDescent="0.2">
      <c r="A721" s="5">
        <v>660</v>
      </c>
      <c r="B721" s="1832">
        <f>'Expenditures 15-22'!C36</f>
        <v>713692</v>
      </c>
      <c r="D721" s="2" t="str">
        <f t="shared" si="10"/>
        <v>Error?</v>
      </c>
    </row>
    <row r="722" spans="1:4" x14ac:dyDescent="0.2">
      <c r="A722" s="5">
        <v>661</v>
      </c>
      <c r="B722" s="1832">
        <f>'Expenditures 15-22'!C37</f>
        <v>1459469</v>
      </c>
      <c r="D722" s="2" t="str">
        <f t="shared" si="10"/>
        <v>Error?</v>
      </c>
    </row>
    <row r="723" spans="1:4" x14ac:dyDescent="0.2">
      <c r="A723" s="5">
        <v>662</v>
      </c>
      <c r="B723" s="1832">
        <f>'Expenditures 15-22'!C38</f>
        <v>526951</v>
      </c>
      <c r="D723" s="2" t="str">
        <f t="shared" si="10"/>
        <v>Error?</v>
      </c>
    </row>
    <row r="724" spans="1:4" x14ac:dyDescent="0.2">
      <c r="A724" s="5">
        <v>663</v>
      </c>
      <c r="B724" s="1832">
        <f>'Expenditures 15-22'!C39</f>
        <v>784566</v>
      </c>
      <c r="D724" s="2" t="str">
        <f t="shared" si="10"/>
        <v>Error?</v>
      </c>
    </row>
    <row r="725" spans="1:4" x14ac:dyDescent="0.2">
      <c r="A725" s="5">
        <v>664</v>
      </c>
      <c r="B725" s="1832">
        <f>'Expenditures 15-22'!C40</f>
        <v>750351</v>
      </c>
      <c r="D725" s="2" t="str">
        <f t="shared" si="10"/>
        <v>Error?</v>
      </c>
    </row>
    <row r="726" spans="1:4" x14ac:dyDescent="0.2">
      <c r="A726" s="5">
        <v>665</v>
      </c>
      <c r="B726" s="1832">
        <f>'Expenditures 15-22'!C41</f>
        <v>82303</v>
      </c>
      <c r="D726" s="2" t="str">
        <f t="shared" si="10"/>
        <v>Error?</v>
      </c>
    </row>
    <row r="727" spans="1:4" x14ac:dyDescent="0.2">
      <c r="A727" s="5">
        <v>666</v>
      </c>
      <c r="B727" s="1832">
        <f>'Expenditures 15-22'!C42</f>
        <v>4317332</v>
      </c>
      <c r="C727" s="2" t="s">
        <v>569</v>
      </c>
      <c r="D727" s="2" t="str">
        <f t="shared" si="10"/>
        <v>Error?</v>
      </c>
    </row>
    <row r="728" spans="1:4" x14ac:dyDescent="0.2">
      <c r="A728" s="5">
        <v>667</v>
      </c>
      <c r="B728" s="1832">
        <f>'Expenditures 15-22'!C44</f>
        <v>579197</v>
      </c>
      <c r="D728" s="2" t="str">
        <f t="shared" si="10"/>
        <v>Error?</v>
      </c>
    </row>
    <row r="729" spans="1:4" x14ac:dyDescent="0.2">
      <c r="A729" s="5">
        <v>668</v>
      </c>
      <c r="B729" s="1832">
        <f>'Expenditures 15-22'!C45</f>
        <v>260471</v>
      </c>
      <c r="D729" s="2" t="str">
        <f t="shared" si="10"/>
        <v>Error?</v>
      </c>
    </row>
    <row r="730" spans="1:4" x14ac:dyDescent="0.2">
      <c r="A730" s="5">
        <v>669</v>
      </c>
      <c r="B730" s="1832">
        <f>'Expenditures 15-22'!C46</f>
        <v>77293</v>
      </c>
      <c r="D730" s="2" t="str">
        <f t="shared" si="10"/>
        <v>Error?</v>
      </c>
    </row>
    <row r="731" spans="1:4" x14ac:dyDescent="0.2">
      <c r="A731" s="5">
        <v>670</v>
      </c>
      <c r="B731" s="1832">
        <f>'Expenditures 15-22'!C47</f>
        <v>916961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231035</v>
      </c>
      <c r="D733" s="2" t="str">
        <f t="shared" si="10"/>
        <v>Error?</v>
      </c>
    </row>
    <row r="734" spans="1:4" x14ac:dyDescent="0.2">
      <c r="A734" s="5">
        <v>673</v>
      </c>
      <c r="B734" s="1832">
        <f>'Expenditures 15-22'!C53</f>
        <v>357147</v>
      </c>
      <c r="C734" s="2" t="s">
        <v>569</v>
      </c>
      <c r="D734" s="2" t="str">
        <f t="shared" si="10"/>
        <v>Error?</v>
      </c>
    </row>
    <row r="735" spans="1:4" x14ac:dyDescent="0.2">
      <c r="A735" s="5">
        <v>674</v>
      </c>
      <c r="B735" s="1832">
        <f>'Expenditures 15-22'!C55</f>
        <v>2936850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2936850</v>
      </c>
      <c r="C737" s="2" t="s">
        <v>569</v>
      </c>
      <c r="D737" s="2" t="str">
        <f t="shared" si="10"/>
        <v>Error?</v>
      </c>
    </row>
    <row r="738" spans="1:4" x14ac:dyDescent="0.2">
      <c r="A738" s="5">
        <v>677</v>
      </c>
      <c r="B738" s="1832">
        <f>'Expenditures 15-22'!C59</f>
        <v>185565</v>
      </c>
      <c r="D738" s="2" t="str">
        <f t="shared" si="10"/>
        <v>Error?</v>
      </c>
    </row>
    <row r="739" spans="1:4" x14ac:dyDescent="0.2">
      <c r="A739" s="5">
        <v>678</v>
      </c>
      <c r="B739" s="1832">
        <f>'Expenditures 15-22'!C60</f>
        <v>270713</v>
      </c>
      <c r="D739" s="2" t="str">
        <f t="shared" si="10"/>
        <v>Error?</v>
      </c>
    </row>
    <row r="740" spans="1:4" x14ac:dyDescent="0.2">
      <c r="A740" s="5">
        <v>679</v>
      </c>
      <c r="B740" s="1832">
        <f>'Expenditures 15-22'!C61</f>
        <v>228175</v>
      </c>
      <c r="D740" s="2" t="str">
        <f t="shared" si="10"/>
        <v>Error?</v>
      </c>
    </row>
    <row r="741" spans="1:4" x14ac:dyDescent="0.2">
      <c r="A741" s="5">
        <v>680</v>
      </c>
      <c r="B741" s="1832">
        <f>'Expenditures 15-22'!C62</f>
        <v>8865</v>
      </c>
      <c r="D741" s="2" t="str">
        <f t="shared" si="10"/>
        <v>Error?</v>
      </c>
    </row>
    <row r="742" spans="1:4" x14ac:dyDescent="0.2">
      <c r="A742" s="5">
        <v>681</v>
      </c>
      <c r="B742" s="1832">
        <f>'Expenditures 15-22'!C63</f>
        <v>1145284</v>
      </c>
      <c r="D742" s="2" t="str">
        <f t="shared" si="10"/>
        <v>Error?</v>
      </c>
    </row>
    <row r="743" spans="1:4" x14ac:dyDescent="0.2">
      <c r="A743" s="5">
        <v>682</v>
      </c>
      <c r="B743" s="1832">
        <f>'Expenditures 15-22'!C64</f>
        <v>1116</v>
      </c>
      <c r="D743" s="2" t="str">
        <f t="shared" si="10"/>
        <v>Error?</v>
      </c>
    </row>
    <row r="744" spans="1:4" x14ac:dyDescent="0.2">
      <c r="A744" s="10">
        <v>683</v>
      </c>
      <c r="B744" s="1832"/>
      <c r="D744" s="2" t="str">
        <f t="shared" si="10"/>
        <v>OK</v>
      </c>
    </row>
    <row r="745" spans="1:4" x14ac:dyDescent="0.2">
      <c r="A745" s="5">
        <v>684</v>
      </c>
      <c r="B745" s="1832">
        <f>'Expenditures 15-22'!C65</f>
        <v>1839718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107071</v>
      </c>
      <c r="D748" s="2" t="str">
        <f t="shared" si="10"/>
        <v>Error?</v>
      </c>
    </row>
    <row r="749" spans="1:4" x14ac:dyDescent="0.2">
      <c r="A749" s="5">
        <v>688</v>
      </c>
      <c r="B749" s="1832">
        <f>'Expenditures 15-22'!C70</f>
        <v>475259</v>
      </c>
      <c r="D749" s="2" t="str">
        <f t="shared" si="10"/>
        <v>Error?</v>
      </c>
    </row>
    <row r="750" spans="1:4" x14ac:dyDescent="0.2">
      <c r="A750" s="10">
        <v>689</v>
      </c>
      <c r="B750" s="1832"/>
      <c r="D750" s="2" t="str">
        <f t="shared" si="10"/>
        <v>OK</v>
      </c>
    </row>
    <row r="751" spans="1:4" x14ac:dyDescent="0.2">
      <c r="A751" s="5">
        <v>690</v>
      </c>
      <c r="B751" s="1832">
        <f>'Expenditures 15-22'!C71</f>
        <v>432726</v>
      </c>
      <c r="D751" s="2" t="str">
        <f t="shared" si="10"/>
        <v>Error?</v>
      </c>
    </row>
    <row r="752" spans="1:4" x14ac:dyDescent="0.2">
      <c r="A752" s="10">
        <v>691</v>
      </c>
      <c r="B752" s="1832"/>
      <c r="D752" s="2" t="str">
        <f t="shared" si="10"/>
        <v>OK</v>
      </c>
    </row>
    <row r="753" spans="1:4" x14ac:dyDescent="0.2">
      <c r="A753" s="5">
        <v>692</v>
      </c>
      <c r="B753" s="1832">
        <f>'Expenditures 15-22'!C72</f>
        <v>1015056</v>
      </c>
      <c r="C753" s="2" t="s">
        <v>569</v>
      </c>
      <c r="D753" s="2" t="str">
        <f t="shared" si="10"/>
        <v>Error?</v>
      </c>
    </row>
    <row r="754" spans="1:4" x14ac:dyDescent="0.2">
      <c r="A754" s="5">
        <v>693</v>
      </c>
      <c r="B754" s="1832">
        <f>'Expenditures 15-22'!C73</f>
        <v>94897</v>
      </c>
      <c r="D754" s="2" t="str">
        <f t="shared" si="10"/>
        <v>Error?</v>
      </c>
    </row>
    <row r="755" spans="1:4" x14ac:dyDescent="0.2">
      <c r="A755" s="5">
        <v>694</v>
      </c>
      <c r="B755" s="1832">
        <f>'Expenditures 15-22'!C74</f>
        <v>11477961</v>
      </c>
      <c r="C755" s="2" t="s">
        <v>569</v>
      </c>
      <c r="D755" s="2" t="str">
        <f t="shared" si="10"/>
        <v>Error?</v>
      </c>
    </row>
    <row r="756" spans="1:4" x14ac:dyDescent="0.2">
      <c r="A756" s="5">
        <v>695</v>
      </c>
      <c r="B756" s="1832">
        <f>'Expenditures 15-22'!C75</f>
        <v>1941971</v>
      </c>
      <c r="D756" s="2" t="str">
        <f t="shared" si="10"/>
        <v>Error?</v>
      </c>
    </row>
    <row r="757" spans="1:4" x14ac:dyDescent="0.2">
      <c r="A757" s="5">
        <v>696</v>
      </c>
      <c r="B757" s="1832">
        <f>'Expenditures 15-22'!C114</f>
        <v>46808869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4616071</v>
      </c>
      <c r="D763" s="2" t="str">
        <f t="shared" si="10"/>
        <v>Error?</v>
      </c>
    </row>
    <row r="764" spans="1:4" x14ac:dyDescent="0.2">
      <c r="A764" s="5">
        <v>703</v>
      </c>
      <c r="B764" s="1832">
        <f>'Expenditures 15-22'!D16</f>
        <v>72610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291268</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138559</v>
      </c>
      <c r="D775" s="2" t="str">
        <f t="shared" si="11"/>
        <v>Error?</v>
      </c>
    </row>
    <row r="776" spans="1:4" x14ac:dyDescent="0.2">
      <c r="A776" s="5">
        <v>715</v>
      </c>
      <c r="B776" s="1832">
        <f>'Expenditures 15-22'!D14</f>
        <v>110958</v>
      </c>
      <c r="D776" s="2" t="str">
        <f t="shared" si="11"/>
        <v>Error?</v>
      </c>
    </row>
    <row r="777" spans="1:4" x14ac:dyDescent="0.2">
      <c r="A777" s="5">
        <v>716</v>
      </c>
      <c r="B777" s="1832">
        <f>'Expenditures 15-22'!D15</f>
        <v>5714</v>
      </c>
      <c r="D777" s="2" t="str">
        <f t="shared" si="11"/>
        <v>Error?</v>
      </c>
    </row>
    <row r="778" spans="1:4" x14ac:dyDescent="0.2">
      <c r="A778" s="5">
        <v>717</v>
      </c>
      <c r="B778" s="1832">
        <f>'Expenditures 15-22'!D33</f>
        <v>7300208</v>
      </c>
      <c r="C778" s="2" t="s">
        <v>569</v>
      </c>
      <c r="D778" s="2" t="str">
        <f t="shared" si="11"/>
        <v>Error?</v>
      </c>
    </row>
    <row r="779" spans="1:4" x14ac:dyDescent="0.2">
      <c r="A779" s="5">
        <v>718</v>
      </c>
      <c r="B779" s="1832">
        <f>'Expenditures 15-22'!D36</f>
        <v>180071</v>
      </c>
      <c r="D779" s="2" t="str">
        <f t="shared" si="11"/>
        <v>Error?</v>
      </c>
    </row>
    <row r="780" spans="1:4" x14ac:dyDescent="0.2">
      <c r="A780" s="5">
        <v>719</v>
      </c>
      <c r="B780" s="1832">
        <f>'Expenditures 15-22'!D37</f>
        <v>327420</v>
      </c>
      <c r="D780" s="2" t="str">
        <f t="shared" si="11"/>
        <v>Error?</v>
      </c>
    </row>
    <row r="781" spans="1:4" x14ac:dyDescent="0.2">
      <c r="A781" s="5">
        <v>720</v>
      </c>
      <c r="B781" s="1832">
        <f>'Expenditures 15-22'!D38</f>
        <v>108894</v>
      </c>
      <c r="D781" s="2" t="str">
        <f t="shared" si="11"/>
        <v>Error?</v>
      </c>
    </row>
    <row r="782" spans="1:4" x14ac:dyDescent="0.2">
      <c r="A782" s="5">
        <v>721</v>
      </c>
      <c r="B782" s="1832">
        <f>'Expenditures 15-22'!D39</f>
        <v>192592</v>
      </c>
      <c r="D782" s="2" t="str">
        <f t="shared" si="11"/>
        <v>Error?</v>
      </c>
    </row>
    <row r="783" spans="1:4" x14ac:dyDescent="0.2">
      <c r="A783" s="5">
        <v>722</v>
      </c>
      <c r="B783" s="1832">
        <f>'Expenditures 15-22'!D40</f>
        <v>151665</v>
      </c>
      <c r="D783" s="2" t="str">
        <f t="shared" si="11"/>
        <v>Error?</v>
      </c>
    </row>
    <row r="784" spans="1:4" x14ac:dyDescent="0.2">
      <c r="A784" s="5">
        <v>723</v>
      </c>
      <c r="B784" s="1832">
        <f>'Expenditures 15-22'!D41</f>
        <v>1462</v>
      </c>
      <c r="D784" s="2" t="str">
        <f t="shared" si="11"/>
        <v>Error?</v>
      </c>
    </row>
    <row r="785" spans="1:4" x14ac:dyDescent="0.2">
      <c r="A785" s="5">
        <v>724</v>
      </c>
      <c r="B785" s="1832">
        <f>'Expenditures 15-22'!D42</f>
        <v>962104</v>
      </c>
      <c r="C785" s="2" t="s">
        <v>569</v>
      </c>
      <c r="D785" s="2" t="str">
        <f t="shared" si="11"/>
        <v>Error?</v>
      </c>
    </row>
    <row r="786" spans="1:4" x14ac:dyDescent="0.2">
      <c r="A786" s="5">
        <v>725</v>
      </c>
      <c r="B786" s="1832">
        <f>'Expenditures 15-22'!D44</f>
        <v>143824</v>
      </c>
      <c r="D786" s="2" t="str">
        <f t="shared" si="11"/>
        <v>Error?</v>
      </c>
    </row>
    <row r="787" spans="1:4" x14ac:dyDescent="0.2">
      <c r="A787" s="5">
        <v>726</v>
      </c>
      <c r="B787" s="1832">
        <f>'Expenditures 15-22'!D45</f>
        <v>43171</v>
      </c>
      <c r="D787" s="2" t="str">
        <f t="shared" si="11"/>
        <v>Error?</v>
      </c>
    </row>
    <row r="788" spans="1:4" x14ac:dyDescent="0.2">
      <c r="A788" s="5">
        <v>727</v>
      </c>
      <c r="B788" s="1832">
        <f>'Expenditures 15-22'!D46</f>
        <v>23027</v>
      </c>
      <c r="D788" s="2" t="str">
        <f t="shared" si="11"/>
        <v>Error?</v>
      </c>
    </row>
    <row r="789" spans="1:4" x14ac:dyDescent="0.2">
      <c r="A789" s="5">
        <v>728</v>
      </c>
      <c r="B789" s="1832">
        <f>'Expenditures 15-22'!D47</f>
        <v>210022</v>
      </c>
      <c r="C789" s="2" t="s">
        <v>569</v>
      </c>
      <c r="D789" s="2" t="str">
        <f t="shared" si="11"/>
        <v>Error?</v>
      </c>
    </row>
    <row r="790" spans="1:4" x14ac:dyDescent="0.2">
      <c r="A790" s="5">
        <v>729</v>
      </c>
      <c r="B790" s="1832">
        <f>'Expenditures 15-22'!D49</f>
        <v>10487</v>
      </c>
      <c r="D790" s="2" t="str">
        <f t="shared" si="11"/>
        <v>Error?</v>
      </c>
    </row>
    <row r="791" spans="1:4" x14ac:dyDescent="0.2">
      <c r="A791" s="5">
        <v>730</v>
      </c>
      <c r="B791" s="1832">
        <f>'Expenditures 15-22'!D50</f>
        <v>14534</v>
      </c>
      <c r="D791" s="2" t="str">
        <f t="shared" si="11"/>
        <v>Error?</v>
      </c>
    </row>
    <row r="792" spans="1:4" x14ac:dyDescent="0.2">
      <c r="A792" s="5">
        <v>731</v>
      </c>
      <c r="B792" s="1832">
        <f>'Expenditures 15-22'!D53</f>
        <v>63219</v>
      </c>
      <c r="C792" s="2" t="s">
        <v>569</v>
      </c>
      <c r="D792" s="2" t="str">
        <f t="shared" si="11"/>
        <v>Error?</v>
      </c>
    </row>
    <row r="793" spans="1:4" x14ac:dyDescent="0.2">
      <c r="A793" s="5">
        <v>732</v>
      </c>
      <c r="B793" s="1832">
        <f>'Expenditures 15-22'!D55</f>
        <v>568480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568480</v>
      </c>
      <c r="C795" s="2" t="s">
        <v>569</v>
      </c>
      <c r="D795" s="2" t="str">
        <f t="shared" si="11"/>
        <v>Error?</v>
      </c>
    </row>
    <row r="796" spans="1:4" x14ac:dyDescent="0.2">
      <c r="A796" s="5">
        <v>735</v>
      </c>
      <c r="B796" s="1832">
        <f>'Expenditures 15-22'!D59</f>
        <v>29575</v>
      </c>
      <c r="D796" s="2" t="str">
        <f t="shared" si="11"/>
        <v>Error?</v>
      </c>
    </row>
    <row r="797" spans="1:4" x14ac:dyDescent="0.2">
      <c r="A797" s="5">
        <v>736</v>
      </c>
      <c r="B797" s="1832">
        <f>'Expenditures 15-22'!D60</f>
        <v>57046</v>
      </c>
      <c r="D797" s="2" t="str">
        <f t="shared" si="11"/>
        <v>Error?</v>
      </c>
    </row>
    <row r="798" spans="1:4" x14ac:dyDescent="0.2">
      <c r="A798" s="5">
        <v>737</v>
      </c>
      <c r="B798" s="1832">
        <f>'Expenditures 15-22'!D61</f>
        <v>39222</v>
      </c>
      <c r="D798" s="2" t="str">
        <f t="shared" si="11"/>
        <v>Error?</v>
      </c>
    </row>
    <row r="799" spans="1:4" x14ac:dyDescent="0.2">
      <c r="A799" s="5">
        <v>738</v>
      </c>
      <c r="B799" s="1832">
        <f>'Expenditures 15-22'!D62</f>
        <v>1597</v>
      </c>
      <c r="D799" s="2" t="str">
        <f t="shared" si="11"/>
        <v>Error?</v>
      </c>
    </row>
    <row r="800" spans="1:4" x14ac:dyDescent="0.2">
      <c r="A800" s="5">
        <v>739</v>
      </c>
      <c r="B800" s="1832">
        <f>'Expenditures 15-22'!D63</f>
        <v>165268</v>
      </c>
      <c r="D800" s="2" t="str">
        <f t="shared" si="11"/>
        <v>Error?</v>
      </c>
    </row>
    <row r="801" spans="1:4" x14ac:dyDescent="0.2">
      <c r="A801" s="5">
        <v>740</v>
      </c>
      <c r="B801" s="1832">
        <f>'Expenditures 15-22'!D64</f>
        <v>501</v>
      </c>
      <c r="D801" s="2" t="str">
        <f t="shared" si="11"/>
        <v>Error?</v>
      </c>
    </row>
    <row r="802" spans="1:4" x14ac:dyDescent="0.2">
      <c r="A802" s="10">
        <v>741</v>
      </c>
      <c r="B802" s="1832"/>
      <c r="D802" s="2" t="str">
        <f t="shared" si="11"/>
        <v>OK</v>
      </c>
    </row>
    <row r="803" spans="1:4" x14ac:dyDescent="0.2">
      <c r="A803" s="5">
        <v>742</v>
      </c>
      <c r="B803" s="1832">
        <f>'Expenditures 15-22'!D65</f>
        <v>293209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11327</v>
      </c>
      <c r="D806" s="2" t="str">
        <f t="shared" si="11"/>
        <v>Error?</v>
      </c>
    </row>
    <row r="807" spans="1:4" x14ac:dyDescent="0.2">
      <c r="A807" s="5">
        <v>746</v>
      </c>
      <c r="B807" s="1832">
        <f>'Expenditures 15-22'!D70</f>
        <v>79008</v>
      </c>
      <c r="D807" s="2" t="str">
        <f t="shared" si="11"/>
        <v>Error?</v>
      </c>
    </row>
    <row r="808" spans="1:4" x14ac:dyDescent="0.2">
      <c r="A808" s="10">
        <v>747</v>
      </c>
      <c r="B808" s="1832"/>
      <c r="D808" s="2" t="str">
        <f t="shared" si="11"/>
        <v>OK</v>
      </c>
    </row>
    <row r="809" spans="1:4" x14ac:dyDescent="0.2">
      <c r="A809" s="5">
        <v>748</v>
      </c>
      <c r="B809" s="1832">
        <f>'Expenditures 15-22'!D71</f>
        <v>95147</v>
      </c>
      <c r="D809" s="2" t="str">
        <f t="shared" si="11"/>
        <v>Error?</v>
      </c>
    </row>
    <row r="810" spans="1:4" x14ac:dyDescent="0.2">
      <c r="A810" s="10">
        <v>749</v>
      </c>
      <c r="B810" s="1832"/>
      <c r="D810" s="2" t="str">
        <f t="shared" si="11"/>
        <v>OK</v>
      </c>
    </row>
    <row r="811" spans="1:4" x14ac:dyDescent="0.2">
      <c r="A811" s="5">
        <v>750</v>
      </c>
      <c r="B811" s="1832">
        <f>'Expenditures 15-22'!D72</f>
        <v>185482</v>
      </c>
      <c r="C811" s="2" t="s">
        <v>569</v>
      </c>
      <c r="D811" s="2" t="str">
        <f t="shared" si="11"/>
        <v>Error?</v>
      </c>
    </row>
    <row r="812" spans="1:4" x14ac:dyDescent="0.2">
      <c r="A812" s="5">
        <v>751</v>
      </c>
      <c r="B812" s="1832">
        <f>'Expenditures 15-22'!D73</f>
        <v>34420</v>
      </c>
      <c r="D812" s="2" t="str">
        <f t="shared" si="11"/>
        <v>Error?</v>
      </c>
    </row>
    <row r="813" spans="1:4" x14ac:dyDescent="0.2">
      <c r="A813" s="5">
        <v>752</v>
      </c>
      <c r="B813" s="1832">
        <f>'Expenditures 15-22'!D74</f>
        <v>2316936</v>
      </c>
      <c r="C813" s="2" t="s">
        <v>569</v>
      </c>
      <c r="D813" s="2" t="str">
        <f t="shared" si="11"/>
        <v>Error?</v>
      </c>
    </row>
    <row r="814" spans="1:4" x14ac:dyDescent="0.2">
      <c r="A814" s="5">
        <v>753</v>
      </c>
      <c r="B814" s="1832">
        <f>'Expenditures 15-22'!D75</f>
        <v>547519</v>
      </c>
      <c r="D814" s="2" t="str">
        <f t="shared" si="11"/>
        <v>Error?</v>
      </c>
    </row>
    <row r="815" spans="1:4" x14ac:dyDescent="0.2">
      <c r="A815" s="5">
        <v>754</v>
      </c>
      <c r="B815" s="1832">
        <f>'Expenditures 15-22'!D114</f>
        <v>10164663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384071</v>
      </c>
      <c r="D821" s="2" t="str">
        <f t="shared" si="11"/>
        <v>Error?</v>
      </c>
    </row>
    <row r="822" spans="1:4" x14ac:dyDescent="0.2">
      <c r="A822" s="5">
        <v>761</v>
      </c>
      <c r="B822" s="1832">
        <f>'Expenditures 15-22'!E16</f>
        <v>265</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300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53779</v>
      </c>
      <c r="D833" s="2" t="str">
        <f t="shared" si="12"/>
        <v>Error?</v>
      </c>
    </row>
    <row r="834" spans="1:4" x14ac:dyDescent="0.2">
      <c r="A834" s="5">
        <v>773</v>
      </c>
      <c r="B834" s="1832">
        <f>'Expenditures 15-22'!E14</f>
        <v>137163</v>
      </c>
      <c r="D834" s="2" t="str">
        <f t="shared" si="12"/>
        <v>Error?</v>
      </c>
    </row>
    <row r="835" spans="1:4" x14ac:dyDescent="0.2">
      <c r="A835" s="5">
        <v>774</v>
      </c>
      <c r="B835" s="1832">
        <f>'Expenditures 15-22'!E15</f>
        <v>33469</v>
      </c>
      <c r="D835" s="2" t="str">
        <f t="shared" si="12"/>
        <v>Error?</v>
      </c>
    </row>
    <row r="836" spans="1:4" x14ac:dyDescent="0.2">
      <c r="A836" s="5">
        <v>775</v>
      </c>
      <c r="B836" s="1832">
        <f>'Expenditures 15-22'!E33</f>
        <v>826215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413935</v>
      </c>
      <c r="D844" s="2" t="str">
        <f t="shared" si="12"/>
        <v>Error?</v>
      </c>
    </row>
    <row r="845" spans="1:4" x14ac:dyDescent="0.2">
      <c r="A845" s="5">
        <v>784</v>
      </c>
      <c r="B845" s="1832">
        <f>'Expenditures 15-22'!E45</f>
        <v>25003</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438938</v>
      </c>
      <c r="C847" s="2" t="s">
        <v>569</v>
      </c>
      <c r="D847" s="2" t="str">
        <f t="shared" si="12"/>
        <v>Error?</v>
      </c>
    </row>
    <row r="848" spans="1:4" x14ac:dyDescent="0.2">
      <c r="A848" s="5">
        <v>787</v>
      </c>
      <c r="B848" s="1832">
        <f>'Expenditures 15-22'!E49</f>
        <v>95914</v>
      </c>
      <c r="D848" s="2" t="str">
        <f t="shared" si="12"/>
        <v>Error?</v>
      </c>
    </row>
    <row r="849" spans="1:4" x14ac:dyDescent="0.2">
      <c r="A849" s="5">
        <v>788</v>
      </c>
      <c r="B849" s="1832">
        <f>'Expenditures 15-22'!E50</f>
        <v>20625</v>
      </c>
      <c r="D849" s="2" t="str">
        <f t="shared" si="12"/>
        <v>Error?</v>
      </c>
    </row>
    <row r="850" spans="1:4" x14ac:dyDescent="0.2">
      <c r="A850" s="5">
        <v>789</v>
      </c>
      <c r="B850" s="1832">
        <f>'Expenditures 15-22'!E53</f>
        <v>116539</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3872</v>
      </c>
      <c r="D854" s="2" t="str">
        <f t="shared" si="12"/>
        <v>Error?</v>
      </c>
    </row>
    <row r="855" spans="1:4" x14ac:dyDescent="0.2">
      <c r="A855" s="5">
        <v>794</v>
      </c>
      <c r="B855" s="1832">
        <f>'Expenditures 15-22'!E60</f>
        <v>20676</v>
      </c>
      <c r="D855" s="2" t="str">
        <f t="shared" si="12"/>
        <v>Error?</v>
      </c>
    </row>
    <row r="856" spans="1:4" x14ac:dyDescent="0.2">
      <c r="A856" s="5">
        <v>795</v>
      </c>
      <c r="B856" s="1832">
        <f>'Expenditures 15-22'!E61</f>
        <v>65871</v>
      </c>
      <c r="D856" s="2" t="str">
        <f t="shared" si="12"/>
        <v>Error?</v>
      </c>
    </row>
    <row r="857" spans="1:4" x14ac:dyDescent="0.2">
      <c r="A857" s="5">
        <v>796</v>
      </c>
      <c r="B857" s="1832">
        <f>'Expenditures 15-22'!E62</f>
        <v>69224</v>
      </c>
      <c r="D857" s="2" t="str">
        <f t="shared" si="12"/>
        <v>Error?</v>
      </c>
    </row>
    <row r="858" spans="1:4" x14ac:dyDescent="0.2">
      <c r="A858" s="5">
        <v>797</v>
      </c>
      <c r="B858" s="1832">
        <f>'Expenditures 15-22'!E63</f>
        <v>32579</v>
      </c>
      <c r="D858" s="2" t="str">
        <f t="shared" si="12"/>
        <v>Error?</v>
      </c>
    </row>
    <row r="859" spans="1:4" x14ac:dyDescent="0.2">
      <c r="A859" s="5">
        <v>798</v>
      </c>
      <c r="B859" s="1832">
        <f>'Expenditures 15-22'!E64</f>
        <v>3541</v>
      </c>
      <c r="D859" s="2" t="str">
        <f t="shared" si="12"/>
        <v>Error?</v>
      </c>
    </row>
    <row r="860" spans="1:4" x14ac:dyDescent="0.2">
      <c r="A860" s="10">
        <v>799</v>
      </c>
      <c r="B860" s="1832"/>
      <c r="D860" s="2" t="str">
        <f t="shared" si="12"/>
        <v>OK</v>
      </c>
    </row>
    <row r="861" spans="1:4" x14ac:dyDescent="0.2">
      <c r="A861" s="5">
        <v>800</v>
      </c>
      <c r="B861" s="1832">
        <f>'Expenditures 15-22'!E65</f>
        <v>195763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7000</v>
      </c>
      <c r="D863" s="2" t="str">
        <f t="shared" si="12"/>
        <v>Error?</v>
      </c>
    </row>
    <row r="864" spans="1:4" x14ac:dyDescent="0.2">
      <c r="A864" s="5">
        <v>803</v>
      </c>
      <c r="B864" s="1832">
        <f>'Expenditures 15-22'!E69</f>
        <v>6355</v>
      </c>
      <c r="D864" s="2" t="str">
        <f t="shared" si="12"/>
        <v>Error?</v>
      </c>
    </row>
    <row r="865" spans="1:4" x14ac:dyDescent="0.2">
      <c r="A865" s="5">
        <v>804</v>
      </c>
      <c r="B865" s="1832">
        <f>'Expenditures 15-22'!E70</f>
        <v>198453</v>
      </c>
      <c r="D865" s="2" t="str">
        <f t="shared" si="12"/>
        <v>Error?</v>
      </c>
    </row>
    <row r="866" spans="1:4" x14ac:dyDescent="0.2">
      <c r="A866" s="10">
        <v>805</v>
      </c>
      <c r="B866" s="1832"/>
      <c r="D866" s="2" t="str">
        <f t="shared" si="12"/>
        <v>OK</v>
      </c>
    </row>
    <row r="867" spans="1:4" x14ac:dyDescent="0.2">
      <c r="A867" s="5">
        <v>806</v>
      </c>
      <c r="B867" s="1832">
        <f>'Expenditures 15-22'!E71</f>
        <v>407016</v>
      </c>
      <c r="D867" s="2" t="str">
        <f t="shared" si="12"/>
        <v>Error?</v>
      </c>
    </row>
    <row r="868" spans="1:4" x14ac:dyDescent="0.2">
      <c r="A868" s="10">
        <v>807</v>
      </c>
      <c r="B868" s="1832"/>
      <c r="D868" s="2" t="str">
        <f t="shared" si="12"/>
        <v>OK</v>
      </c>
    </row>
    <row r="869" spans="1:4" x14ac:dyDescent="0.2">
      <c r="A869" s="5">
        <v>808</v>
      </c>
      <c r="B869" s="1832">
        <f>'Expenditures 15-22'!E72</f>
        <v>618824</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1370064</v>
      </c>
      <c r="C871" s="2" t="s">
        <v>569</v>
      </c>
      <c r="D871" s="2" t="str">
        <f t="shared" si="12"/>
        <v>Error?</v>
      </c>
    </row>
    <row r="872" spans="1:4" x14ac:dyDescent="0.2">
      <c r="A872" s="5">
        <v>811</v>
      </c>
      <c r="B872" s="1832">
        <f>'Expenditures 15-22'!E75</f>
        <v>860293</v>
      </c>
      <c r="D872" s="2" t="str">
        <f t="shared" si="12"/>
        <v>Error?</v>
      </c>
    </row>
    <row r="873" spans="1:4" x14ac:dyDescent="0.2">
      <c r="A873" s="5">
        <v>812</v>
      </c>
      <c r="B873" s="1832">
        <f>'Expenditures 15-22'!E114</f>
        <v>3668037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687208</v>
      </c>
      <c r="D879" s="2" t="str">
        <f t="shared" si="12"/>
        <v>Error?</v>
      </c>
    </row>
    <row r="880" spans="1:4" x14ac:dyDescent="0.2">
      <c r="A880" s="5">
        <v>819</v>
      </c>
      <c r="B880" s="1832">
        <f>'Expenditures 15-22'!F16</f>
        <v>1195</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8433</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26279</v>
      </c>
      <c r="D891" s="2" t="str">
        <f t="shared" si="12"/>
        <v>Error?</v>
      </c>
    </row>
    <row r="892" spans="1:4" x14ac:dyDescent="0.2">
      <c r="A892" s="5">
        <v>831</v>
      </c>
      <c r="B892" s="1832">
        <f>'Expenditures 15-22'!F14</f>
        <v>391626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2018909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5596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5596</v>
      </c>
      <c r="C901" s="2" t="s">
        <v>569</v>
      </c>
      <c r="D901" s="2" t="str">
        <f t="shared" si="13"/>
        <v>Error?</v>
      </c>
    </row>
    <row r="902" spans="1:4" x14ac:dyDescent="0.2">
      <c r="A902" s="5">
        <v>841</v>
      </c>
      <c r="B902" s="1832">
        <f>'Expenditures 15-22'!F44</f>
        <v>91313</v>
      </c>
      <c r="D902" s="2" t="str">
        <f t="shared" si="13"/>
        <v>Error?</v>
      </c>
    </row>
    <row r="903" spans="1:4" x14ac:dyDescent="0.2">
      <c r="A903" s="5">
        <v>842</v>
      </c>
      <c r="B903" s="1832">
        <f>'Expenditures 15-22'!F45</f>
        <v>31622</v>
      </c>
      <c r="D903" s="2" t="str">
        <f t="shared" si="13"/>
        <v>Error?</v>
      </c>
    </row>
    <row r="904" spans="1:4" x14ac:dyDescent="0.2">
      <c r="A904" s="5">
        <v>843</v>
      </c>
      <c r="B904" s="1832">
        <f>'Expenditures 15-22'!F46</f>
        <v>9345</v>
      </c>
      <c r="D904" s="2" t="str">
        <f t="shared" si="13"/>
        <v>Error?</v>
      </c>
    </row>
    <row r="905" spans="1:4" x14ac:dyDescent="0.2">
      <c r="A905" s="5">
        <v>844</v>
      </c>
      <c r="B905" s="1832">
        <f>'Expenditures 15-22'!F47</f>
        <v>132280</v>
      </c>
      <c r="C905" s="2" t="s">
        <v>569</v>
      </c>
      <c r="D905" s="2" t="str">
        <f t="shared" si="13"/>
        <v>Error?</v>
      </c>
    </row>
    <row r="906" spans="1:4" x14ac:dyDescent="0.2">
      <c r="A906" s="5">
        <v>845</v>
      </c>
      <c r="B906" s="1832">
        <f>'Expenditures 15-22'!F49</f>
        <v>3100</v>
      </c>
      <c r="D906" s="2" t="str">
        <f t="shared" si="13"/>
        <v>Error?</v>
      </c>
    </row>
    <row r="907" spans="1:4" x14ac:dyDescent="0.2">
      <c r="A907" s="5">
        <v>846</v>
      </c>
      <c r="B907" s="1832">
        <f>'Expenditures 15-22'!F50</f>
        <v>18967</v>
      </c>
      <c r="D907" s="2" t="str">
        <f t="shared" si="13"/>
        <v>Error?</v>
      </c>
    </row>
    <row r="908" spans="1:4" x14ac:dyDescent="0.2">
      <c r="A908" s="5">
        <v>847</v>
      </c>
      <c r="B908" s="1832">
        <f>'Expenditures 15-22'!F53</f>
        <v>22067</v>
      </c>
      <c r="C908" s="2" t="s">
        <v>569</v>
      </c>
      <c r="D908" s="2" t="str">
        <f t="shared" si="13"/>
        <v>Error?</v>
      </c>
    </row>
    <row r="909" spans="1:4" x14ac:dyDescent="0.2">
      <c r="A909" s="5">
        <v>848</v>
      </c>
      <c r="B909" s="1832">
        <f>'Expenditures 15-22'!F55</f>
        <v>1163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1163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5227</v>
      </c>
      <c r="D913" s="2" t="str">
        <f t="shared" si="13"/>
        <v>Error?</v>
      </c>
    </row>
    <row r="914" spans="1:4" x14ac:dyDescent="0.2">
      <c r="A914" s="5">
        <v>853</v>
      </c>
      <c r="B914" s="1832">
        <f>'Expenditures 15-22'!F61</f>
        <v>4777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1355452</v>
      </c>
      <c r="D916" s="2" t="str">
        <f t="shared" si="13"/>
        <v>Error?</v>
      </c>
    </row>
    <row r="917" spans="1:4" x14ac:dyDescent="0.2">
      <c r="A917" s="5">
        <v>856</v>
      </c>
      <c r="B917" s="1832">
        <f>'Expenditures 15-22'!F64</f>
        <v>-6027</v>
      </c>
      <c r="D917" s="2" t="str">
        <f t="shared" si="13"/>
        <v>Error?</v>
      </c>
    </row>
    <row r="918" spans="1:4" x14ac:dyDescent="0.2">
      <c r="A918" s="10">
        <v>857</v>
      </c>
      <c r="B918" s="1832"/>
      <c r="D918" s="2" t="str">
        <f t="shared" si="13"/>
        <v>OK</v>
      </c>
    </row>
    <row r="919" spans="1:4" x14ac:dyDescent="0.2">
      <c r="A919" s="5">
        <v>858</v>
      </c>
      <c r="B919" s="1832">
        <f>'Expenditures 15-22'!F65</f>
        <v>1359429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19243</v>
      </c>
      <c r="D922" s="2" t="str">
        <f t="shared" si="13"/>
        <v>Error?</v>
      </c>
    </row>
    <row r="923" spans="1:4" x14ac:dyDescent="0.2">
      <c r="A923" s="5">
        <v>862</v>
      </c>
      <c r="B923" s="1832">
        <f>'Expenditures 15-22'!F70</f>
        <v>13632</v>
      </c>
      <c r="D923" s="2" t="str">
        <f t="shared" si="13"/>
        <v>Error?</v>
      </c>
    </row>
    <row r="924" spans="1:4" x14ac:dyDescent="0.2">
      <c r="A924" s="10">
        <v>863</v>
      </c>
      <c r="B924" s="1832"/>
      <c r="D924" s="2" t="str">
        <f t="shared" si="13"/>
        <v>OK</v>
      </c>
    </row>
    <row r="925" spans="1:4" x14ac:dyDescent="0.2">
      <c r="A925" s="5">
        <v>864</v>
      </c>
      <c r="B925" s="1832">
        <f>'Expenditures 15-22'!F71</f>
        <v>10688</v>
      </c>
      <c r="D925" s="2" t="str">
        <f t="shared" si="13"/>
        <v>Error?</v>
      </c>
    </row>
    <row r="926" spans="1:4" x14ac:dyDescent="0.2">
      <c r="A926" s="10">
        <v>865</v>
      </c>
      <c r="B926" s="1832"/>
      <c r="D926" s="2" t="str">
        <f t="shared" si="13"/>
        <v>OK</v>
      </c>
    </row>
    <row r="927" spans="1:4" x14ac:dyDescent="0.2">
      <c r="A927" s="5">
        <v>866</v>
      </c>
      <c r="B927" s="1832">
        <f>'Expenditures 15-22'!F72</f>
        <v>43563</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1564098</v>
      </c>
      <c r="C929" s="2" t="s">
        <v>569</v>
      </c>
      <c r="D929" s="2" t="str">
        <f t="shared" si="13"/>
        <v>Error?</v>
      </c>
    </row>
    <row r="930" spans="1:4" x14ac:dyDescent="0.2">
      <c r="A930" s="5">
        <v>869</v>
      </c>
      <c r="B930" s="1832">
        <f>'Expenditures 15-22'!F75</f>
        <v>146948</v>
      </c>
      <c r="D930" s="2" t="str">
        <f t="shared" si="13"/>
        <v>Error?</v>
      </c>
    </row>
    <row r="931" spans="1:4" x14ac:dyDescent="0.2">
      <c r="A931" s="5">
        <v>870</v>
      </c>
      <c r="B931" s="1832">
        <f>'Expenditures 15-22'!F114</f>
        <v>3729955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67729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1686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69415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35417</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35417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35417</v>
      </c>
      <c r="C987" s="2" t="s">
        <v>569</v>
      </c>
      <c r="D987" s="2" t="str">
        <f t="shared" si="14"/>
        <v>Error?</v>
      </c>
    </row>
    <row r="988" spans="1:4" x14ac:dyDescent="0.2">
      <c r="A988" s="5">
        <v>927</v>
      </c>
      <c r="B988" s="1832">
        <f>'Expenditures 15-22'!G75</f>
        <v>78705</v>
      </c>
      <c r="D988" s="2" t="str">
        <f t="shared" si="14"/>
        <v>Error?</v>
      </c>
    </row>
    <row r="989" spans="1:4" x14ac:dyDescent="0.2">
      <c r="A989" s="5">
        <v>928</v>
      </c>
      <c r="B989" s="1832">
        <f>'Expenditures 15-22'!G114</f>
        <v>183537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1375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1375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8682</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8682</v>
      </c>
      <c r="C1021" s="2" t="s">
        <v>569</v>
      </c>
      <c r="D1021" s="2" t="str">
        <f t="shared" si="14"/>
        <v>Error?</v>
      </c>
    </row>
    <row r="1022" spans="1:4" x14ac:dyDescent="0.2">
      <c r="A1022" s="5">
        <v>961</v>
      </c>
      <c r="B1022" s="1832">
        <f>'Expenditures 15-22'!H49</f>
        <v>18523</v>
      </c>
      <c r="D1022" s="2" t="str">
        <f t="shared" si="14"/>
        <v>Error?</v>
      </c>
    </row>
    <row r="1023" spans="1:4" x14ac:dyDescent="0.2">
      <c r="A1023" s="5">
        <v>962</v>
      </c>
      <c r="B1023" s="1832">
        <f>'Expenditures 15-22'!H50</f>
        <v>2847</v>
      </c>
      <c r="D1023" s="2" t="str">
        <f t="shared" ref="D1023:D1086" si="15">IF(ISBLANK(B1023),"OK",IF(A1023-B1023=0,"OK","Error?"))</f>
        <v>Error?</v>
      </c>
    </row>
    <row r="1024" spans="1:4" x14ac:dyDescent="0.2">
      <c r="A1024" s="5">
        <v>963</v>
      </c>
      <c r="B1024" s="1832">
        <f>'Expenditures 15-22'!H53</f>
        <v>21370</v>
      </c>
      <c r="C1024" s="2" t="s">
        <v>569</v>
      </c>
      <c r="D1024" s="2" t="str">
        <f t="shared" si="15"/>
        <v>Error?</v>
      </c>
    </row>
    <row r="1025" spans="1:4" x14ac:dyDescent="0.2">
      <c r="A1025" s="5">
        <v>964</v>
      </c>
      <c r="B1025" s="1832">
        <f>'Expenditures 15-22'!H55</f>
        <v>675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675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3601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3601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562</v>
      </c>
      <c r="D1038" s="2" t="str">
        <f t="shared" si="15"/>
        <v>Error?</v>
      </c>
    </row>
    <row r="1039" spans="1:4" x14ac:dyDescent="0.2">
      <c r="A1039" s="5">
        <v>978</v>
      </c>
      <c r="B1039" s="1832">
        <f>'Expenditures 15-22'!H70</f>
        <v>219</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781</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35109</v>
      </c>
      <c r="C1045" s="2" t="s">
        <v>569</v>
      </c>
      <c r="D1045" s="2" t="str">
        <f t="shared" si="15"/>
        <v>Error?</v>
      </c>
    </row>
    <row r="1046" spans="1:5" x14ac:dyDescent="0.2">
      <c r="A1046" s="5">
        <v>985</v>
      </c>
      <c r="B1046" s="1832">
        <f>'Expenditures 15-22'!H75</f>
        <v>17848</v>
      </c>
      <c r="D1046" s="2" t="str">
        <f t="shared" si="15"/>
        <v>Error?</v>
      </c>
    </row>
    <row r="1047" spans="1:5" x14ac:dyDescent="0.2">
      <c r="A1047" s="5">
        <v>986</v>
      </c>
      <c r="B1047" s="1832">
        <f>'Expenditures 15-22'!H102</f>
        <v>2135851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2190183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26919291</v>
      </c>
      <c r="C1093" s="2" t="s">
        <v>569</v>
      </c>
      <c r="D1093" s="2" t="str">
        <f t="shared" si="16"/>
        <v>Error?</v>
      </c>
    </row>
    <row r="1094" spans="1:4" x14ac:dyDescent="0.2">
      <c r="A1094" s="5">
        <v>1033</v>
      </c>
      <c r="B1094" s="1832">
        <f>'Expenditures 15-22'!K16</f>
        <v>436967</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1552382</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844963</v>
      </c>
      <c r="C1105" s="2" t="s">
        <v>569</v>
      </c>
      <c r="D1105" s="2" t="str">
        <f t="shared" si="16"/>
        <v>Error?</v>
      </c>
    </row>
    <row r="1106" spans="1:4" x14ac:dyDescent="0.2">
      <c r="A1106" s="5">
        <v>1045</v>
      </c>
      <c r="B1106" s="1832">
        <f>'Expenditures 15-22'!K14</f>
        <v>1873356</v>
      </c>
      <c r="C1106" s="2" t="s">
        <v>569</v>
      </c>
      <c r="D1106" s="2" t="str">
        <f t="shared" si="16"/>
        <v>Error?</v>
      </c>
    </row>
    <row r="1107" spans="1:4" x14ac:dyDescent="0.2">
      <c r="A1107" s="5">
        <v>1046</v>
      </c>
      <c r="B1107" s="1832">
        <f>'Expenditures 15-22'!K15</f>
        <v>87199</v>
      </c>
      <c r="C1107" s="2" t="s">
        <v>569</v>
      </c>
      <c r="D1107" s="2" t="str">
        <f t="shared" si="16"/>
        <v>Error?</v>
      </c>
    </row>
    <row r="1108" spans="1:4" x14ac:dyDescent="0.2">
      <c r="A1108" s="5">
        <v>1047</v>
      </c>
      <c r="B1108" s="1832">
        <f>'Expenditures 15-22'!K33</f>
        <v>43716458</v>
      </c>
      <c r="C1108" s="2" t="s">
        <v>569</v>
      </c>
      <c r="D1108" s="2" t="str">
        <f t="shared" si="16"/>
        <v>Error?</v>
      </c>
    </row>
    <row r="1109" spans="1:4" x14ac:dyDescent="0.2">
      <c r="A1109" s="5">
        <v>1048</v>
      </c>
      <c r="B1109" s="1832">
        <f>'Expenditures 15-22'!K36</f>
        <v>893763</v>
      </c>
      <c r="C1109" s="2" t="s">
        <v>569</v>
      </c>
      <c r="D1109" s="2" t="str">
        <f t="shared" si="16"/>
        <v>Error?</v>
      </c>
    </row>
    <row r="1110" spans="1:4" x14ac:dyDescent="0.2">
      <c r="A1110" s="5">
        <v>1049</v>
      </c>
      <c r="B1110" s="1832">
        <f>'Expenditures 15-22'!K37</f>
        <v>1786889</v>
      </c>
      <c r="C1110" s="2" t="s">
        <v>569</v>
      </c>
      <c r="D1110" s="2" t="str">
        <f t="shared" si="16"/>
        <v>Error?</v>
      </c>
    </row>
    <row r="1111" spans="1:4" x14ac:dyDescent="0.2">
      <c r="A1111" s="5">
        <v>1050</v>
      </c>
      <c r="B1111" s="1832">
        <f>'Expenditures 15-22'!K38</f>
        <v>641441</v>
      </c>
      <c r="C1111" s="2" t="s">
        <v>569</v>
      </c>
      <c r="D1111" s="2" t="str">
        <f t="shared" si="16"/>
        <v>Error?</v>
      </c>
    </row>
    <row r="1112" spans="1:4" x14ac:dyDescent="0.2">
      <c r="A1112" s="5">
        <v>1051</v>
      </c>
      <c r="B1112" s="1832">
        <f>'Expenditures 15-22'!K39</f>
        <v>977158</v>
      </c>
      <c r="C1112" s="2" t="s">
        <v>569</v>
      </c>
      <c r="D1112" s="2" t="str">
        <f t="shared" si="16"/>
        <v>Error?</v>
      </c>
    </row>
    <row r="1113" spans="1:4" x14ac:dyDescent="0.2">
      <c r="A1113" s="5">
        <v>1052</v>
      </c>
      <c r="B1113" s="1832">
        <f>'Expenditures 15-22'!K40</f>
        <v>902016</v>
      </c>
      <c r="C1113" s="2" t="s">
        <v>569</v>
      </c>
      <c r="D1113" s="2" t="str">
        <f t="shared" si="16"/>
        <v>Error?</v>
      </c>
    </row>
    <row r="1114" spans="1:4" x14ac:dyDescent="0.2">
      <c r="A1114" s="5">
        <v>1053</v>
      </c>
      <c r="B1114" s="1832">
        <f>'Expenditures 15-22'!K41</f>
        <v>83765</v>
      </c>
      <c r="C1114" s="2" t="s">
        <v>569</v>
      </c>
      <c r="D1114" s="2" t="str">
        <f t="shared" si="16"/>
        <v>Error?</v>
      </c>
    </row>
    <row r="1115" spans="1:4" x14ac:dyDescent="0.2">
      <c r="A1115" s="5">
        <v>1054</v>
      </c>
      <c r="B1115" s="1832">
        <f>'Expenditures 15-22'!K42</f>
        <v>5285032</v>
      </c>
      <c r="C1115" s="2" t="s">
        <v>569</v>
      </c>
      <c r="D1115" s="2" t="str">
        <f t="shared" si="16"/>
        <v>Error?</v>
      </c>
    </row>
    <row r="1116" spans="1:4" x14ac:dyDescent="0.2">
      <c r="A1116" s="5">
        <v>1055</v>
      </c>
      <c r="B1116" s="1832">
        <f>'Expenditures 15-22'!K44</f>
        <v>1249707</v>
      </c>
      <c r="C1116" s="2" t="s">
        <v>569</v>
      </c>
      <c r="D1116" s="2" t="str">
        <f t="shared" si="16"/>
        <v>Error?</v>
      </c>
    </row>
    <row r="1117" spans="1:4" x14ac:dyDescent="0.2">
      <c r="A1117" s="5">
        <v>1056</v>
      </c>
      <c r="B1117" s="1832">
        <f>'Expenditures 15-22'!K45</f>
        <v>360267</v>
      </c>
      <c r="C1117" s="2" t="s">
        <v>569</v>
      </c>
      <c r="D1117" s="2" t="str">
        <f t="shared" si="16"/>
        <v>Error?</v>
      </c>
    </row>
    <row r="1118" spans="1:4" x14ac:dyDescent="0.2">
      <c r="A1118" s="5">
        <v>1057</v>
      </c>
      <c r="B1118" s="1832">
        <f>'Expenditures 15-22'!K46</f>
        <v>109665</v>
      </c>
      <c r="C1118" s="2" t="s">
        <v>569</v>
      </c>
      <c r="D1118" s="2" t="str">
        <f t="shared" si="16"/>
        <v>Error?</v>
      </c>
    </row>
    <row r="1119" spans="1:4" x14ac:dyDescent="0.2">
      <c r="A1119" s="5">
        <v>1058</v>
      </c>
      <c r="B1119" s="1832">
        <f>'Expenditures 15-22'!K47</f>
        <v>1719639</v>
      </c>
      <c r="C1119" s="2" t="s">
        <v>569</v>
      </c>
      <c r="D1119" s="2" t="str">
        <f t="shared" si="16"/>
        <v>Error?</v>
      </c>
    </row>
    <row r="1120" spans="1:4" x14ac:dyDescent="0.2">
      <c r="A1120" s="5">
        <v>1059</v>
      </c>
      <c r="B1120" s="1832">
        <f>'Expenditures 15-22'!K49</f>
        <v>128024</v>
      </c>
      <c r="C1120" s="2" t="s">
        <v>569</v>
      </c>
      <c r="D1120" s="2" t="str">
        <f t="shared" si="16"/>
        <v>Error?</v>
      </c>
    </row>
    <row r="1121" spans="1:4" x14ac:dyDescent="0.2">
      <c r="A1121" s="5">
        <v>1060</v>
      </c>
      <c r="B1121" s="1832">
        <f>'Expenditures 15-22'!K50</f>
        <v>292935</v>
      </c>
      <c r="C1121" s="2" t="s">
        <v>569</v>
      </c>
      <c r="D1121" s="2" t="str">
        <f t="shared" si="16"/>
        <v>Error?</v>
      </c>
    </row>
    <row r="1122" spans="1:4" x14ac:dyDescent="0.2">
      <c r="A1122" s="5">
        <v>1061</v>
      </c>
      <c r="B1122" s="1832">
        <f>'Expenditures 15-22'!K53</f>
        <v>585269</v>
      </c>
      <c r="C1122" s="2" t="s">
        <v>569</v>
      </c>
      <c r="D1122" s="2" t="str">
        <f t="shared" si="16"/>
        <v>Error?</v>
      </c>
    </row>
    <row r="1123" spans="1:4" x14ac:dyDescent="0.2">
      <c r="A1123" s="5">
        <v>1062</v>
      </c>
      <c r="B1123" s="1832">
        <f>'Expenditures 15-22'!K55</f>
        <v>3507168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3507168</v>
      </c>
      <c r="C1125" s="2" t="s">
        <v>569</v>
      </c>
      <c r="D1125" s="2" t="str">
        <f t="shared" si="16"/>
        <v>Error?</v>
      </c>
    </row>
    <row r="1126" spans="1:4" x14ac:dyDescent="0.2">
      <c r="A1126" s="5">
        <v>1065</v>
      </c>
      <c r="B1126" s="1832">
        <f>'Expenditures 15-22'!K59</f>
        <v>219012</v>
      </c>
      <c r="C1126" s="2" t="s">
        <v>569</v>
      </c>
      <c r="D1126" s="2" t="str">
        <f t="shared" si="16"/>
        <v>Error?</v>
      </c>
    </row>
    <row r="1127" spans="1:4" x14ac:dyDescent="0.2">
      <c r="A1127" s="5">
        <v>1066</v>
      </c>
      <c r="B1127" s="1832">
        <f>'Expenditures 15-22'!K60</f>
        <v>353662</v>
      </c>
      <c r="C1127" s="2" t="s">
        <v>569</v>
      </c>
      <c r="D1127" s="2" t="str">
        <f t="shared" si="16"/>
        <v>Error?</v>
      </c>
    </row>
    <row r="1128" spans="1:4" x14ac:dyDescent="0.2">
      <c r="A1128" s="5">
        <v>1067</v>
      </c>
      <c r="B1128" s="1832">
        <f>'Expenditures 15-22'!K61</f>
        <v>338045</v>
      </c>
      <c r="C1128" s="2" t="s">
        <v>569</v>
      </c>
      <c r="D1128" s="2" t="str">
        <f t="shared" si="16"/>
        <v>Error?</v>
      </c>
    </row>
    <row r="1129" spans="1:4" x14ac:dyDescent="0.2">
      <c r="A1129" s="5">
        <v>1068</v>
      </c>
      <c r="B1129" s="1832">
        <f>'Expenditures 15-22'!K62</f>
        <v>79686</v>
      </c>
      <c r="C1129" s="2" t="s">
        <v>569</v>
      </c>
      <c r="D1129" s="2" t="str">
        <f t="shared" si="16"/>
        <v>Error?</v>
      </c>
    </row>
    <row r="1130" spans="1:4" x14ac:dyDescent="0.2">
      <c r="A1130" s="5">
        <v>1069</v>
      </c>
      <c r="B1130" s="1832">
        <f>'Expenditures 15-22'!K63</f>
        <v>2761937</v>
      </c>
      <c r="C1130" s="2" t="s">
        <v>569</v>
      </c>
      <c r="D1130" s="2" t="str">
        <f t="shared" si="16"/>
        <v>Error?</v>
      </c>
    </row>
    <row r="1131" spans="1:4" x14ac:dyDescent="0.2">
      <c r="A1131" s="5">
        <v>1070</v>
      </c>
      <c r="B1131" s="1832">
        <f>'Expenditures 15-22'!K64</f>
        <v>-869</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3751473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7000</v>
      </c>
      <c r="C1135" s="2" t="s">
        <v>569</v>
      </c>
      <c r="D1135" s="2" t="str">
        <f t="shared" si="16"/>
        <v>Error?</v>
      </c>
    </row>
    <row r="1136" spans="1:4" x14ac:dyDescent="0.2">
      <c r="A1136" s="5">
        <v>1075</v>
      </c>
      <c r="B1136" s="1832">
        <f>'Expenditures 15-22'!K69</f>
        <v>144558</v>
      </c>
      <c r="C1136" s="2" t="s">
        <v>569</v>
      </c>
      <c r="D1136" s="2" t="str">
        <f t="shared" si="16"/>
        <v>Error?</v>
      </c>
    </row>
    <row r="1137" spans="1:4" x14ac:dyDescent="0.2">
      <c r="A1137" s="5">
        <v>1076</v>
      </c>
      <c r="B1137" s="1832">
        <f>'Expenditures 15-22'!K70</f>
        <v>774365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1011252</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1937175</v>
      </c>
      <c r="C1141" s="2" t="s">
        <v>569</v>
      </c>
      <c r="D1141" s="2" t="str">
        <f t="shared" si="16"/>
        <v>Error?</v>
      </c>
    </row>
    <row r="1142" spans="1:4" x14ac:dyDescent="0.2">
      <c r="A1142" s="5">
        <v>1081</v>
      </c>
      <c r="B1142" s="1832">
        <f>'Expenditures 15-22'!K73</f>
        <v>129317</v>
      </c>
      <c r="C1142" s="2" t="s">
        <v>569</v>
      </c>
      <c r="D1142" s="2" t="str">
        <f t="shared" si="16"/>
        <v>Error?</v>
      </c>
    </row>
    <row r="1143" spans="1:4" x14ac:dyDescent="0.2">
      <c r="A1143" s="5">
        <v>1082</v>
      </c>
      <c r="B1143" s="1832">
        <f>'Expenditures 15-22'!K74</f>
        <v>16915073</v>
      </c>
      <c r="C1143" s="2" t="s">
        <v>569</v>
      </c>
      <c r="D1143" s="2" t="str">
        <f t="shared" si="16"/>
        <v>Error?</v>
      </c>
    </row>
    <row r="1144" spans="1:4" x14ac:dyDescent="0.2">
      <c r="A1144" s="5">
        <v>1083</v>
      </c>
      <c r="B1144" s="1832">
        <f>'Expenditures 15-22'!K75</f>
        <v>3593284</v>
      </c>
      <c r="C1144" s="2" t="s">
        <v>569</v>
      </c>
      <c r="D1144" s="2" t="str">
        <f t="shared" si="16"/>
        <v>Error?</v>
      </c>
    </row>
    <row r="1145" spans="1:4" x14ac:dyDescent="0.2">
      <c r="A1145" s="5">
        <v>1084</v>
      </c>
      <c r="B1145" s="1832">
        <f>'Expenditures 15-22'!K102</f>
        <v>2747316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66972131</v>
      </c>
      <c r="C1152" s="2" t="s">
        <v>569</v>
      </c>
      <c r="D1152" s="2" t="str">
        <f t="shared" si="17"/>
        <v>Error?</v>
      </c>
    </row>
    <row r="1153" spans="1:4" x14ac:dyDescent="0.2">
      <c r="A1153" s="5">
        <v>1092</v>
      </c>
      <c r="B1153" s="1832">
        <f>'Expenditures 15-22'!K115</f>
        <v>457267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2199140</v>
      </c>
      <c r="D1221" s="2" t="str">
        <f t="shared" si="18"/>
        <v>Error?</v>
      </c>
    </row>
    <row r="1222" spans="1:4" x14ac:dyDescent="0.2">
      <c r="A1222" s="10">
        <v>1161</v>
      </c>
      <c r="B1222" s="1832"/>
      <c r="D1222" s="2" t="str">
        <f t="shared" si="18"/>
        <v>OK</v>
      </c>
    </row>
    <row r="1223" spans="1:4" x14ac:dyDescent="0.2">
      <c r="A1223" s="5">
        <v>1162</v>
      </c>
      <c r="B1223" s="1832">
        <f>'Expenditures 15-22'!C127</f>
        <v>2199140</v>
      </c>
      <c r="C1223" s="2" t="s">
        <v>569</v>
      </c>
      <c r="D1223" s="2" t="str">
        <f t="shared" si="18"/>
        <v>Error?</v>
      </c>
    </row>
    <row r="1224" spans="1:4" x14ac:dyDescent="0.2">
      <c r="A1224" s="5">
        <v>1163</v>
      </c>
      <c r="B1224" s="1832">
        <f>'Expenditures 15-22'!C128</f>
        <v>52825</v>
      </c>
      <c r="D1224" s="2" t="str">
        <f t="shared" si="18"/>
        <v>Error?</v>
      </c>
    </row>
    <row r="1225" spans="1:4" x14ac:dyDescent="0.2">
      <c r="A1225" s="5">
        <v>1164</v>
      </c>
      <c r="B1225" s="1832">
        <f>'Expenditures 15-22'!C129</f>
        <v>2251965</v>
      </c>
      <c r="C1225" s="2" t="s">
        <v>569</v>
      </c>
      <c r="D1225" s="2" t="str">
        <f t="shared" si="18"/>
        <v>Error?</v>
      </c>
    </row>
    <row r="1226" spans="1:4" x14ac:dyDescent="0.2">
      <c r="A1226" s="5">
        <v>1165</v>
      </c>
      <c r="B1226" s="1832">
        <f>'Expenditures 15-22'!C151</f>
        <v>2251965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426361</v>
      </c>
      <c r="D1229" s="2" t="str">
        <f t="shared" si="18"/>
        <v>Error?</v>
      </c>
    </row>
    <row r="1230" spans="1:4" x14ac:dyDescent="0.2">
      <c r="A1230" s="10">
        <v>1169</v>
      </c>
      <c r="B1230" s="1832"/>
      <c r="D1230" s="2" t="str">
        <f t="shared" si="18"/>
        <v>OK</v>
      </c>
    </row>
    <row r="1231" spans="1:4" x14ac:dyDescent="0.2">
      <c r="A1231" s="5">
        <v>1170</v>
      </c>
      <c r="B1231" s="1832">
        <f>'Expenditures 15-22'!D127</f>
        <v>426361</v>
      </c>
      <c r="C1231" s="2" t="s">
        <v>569</v>
      </c>
      <c r="D1231" s="2" t="str">
        <f t="shared" si="18"/>
        <v>Error?</v>
      </c>
    </row>
    <row r="1232" spans="1:4" x14ac:dyDescent="0.2">
      <c r="A1232" s="5">
        <v>1171</v>
      </c>
      <c r="B1232" s="1832">
        <f>'Expenditures 15-22'!D128</f>
        <v>2489</v>
      </c>
      <c r="D1232" s="2" t="str">
        <f t="shared" si="18"/>
        <v>Error?</v>
      </c>
    </row>
    <row r="1233" spans="1:4" x14ac:dyDescent="0.2">
      <c r="A1233" s="5">
        <v>1172</v>
      </c>
      <c r="B1233" s="1832">
        <f>'Expenditures 15-22'!D129</f>
        <v>428850</v>
      </c>
      <c r="C1233" s="2" t="s">
        <v>569</v>
      </c>
      <c r="D1233" s="2" t="str">
        <f t="shared" si="18"/>
        <v>Error?</v>
      </c>
    </row>
    <row r="1234" spans="1:4" x14ac:dyDescent="0.2">
      <c r="A1234" s="5">
        <v>1173</v>
      </c>
      <c r="B1234" s="1832">
        <f>'Expenditures 15-22'!D151</f>
        <v>428850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1223527</v>
      </c>
      <c r="D1237" s="2" t="str">
        <f t="shared" si="18"/>
        <v>Error?</v>
      </c>
    </row>
    <row r="1238" spans="1:4" x14ac:dyDescent="0.2">
      <c r="A1238" s="10">
        <v>1177</v>
      </c>
      <c r="B1238" s="1832"/>
      <c r="D1238" s="2" t="str">
        <f t="shared" si="18"/>
        <v>OK</v>
      </c>
    </row>
    <row r="1239" spans="1:4" x14ac:dyDescent="0.2">
      <c r="A1239" s="5">
        <v>1178</v>
      </c>
      <c r="B1239" s="1832">
        <f>'Expenditures 15-22'!E127</f>
        <v>1223527</v>
      </c>
      <c r="C1239" s="2" t="s">
        <v>569</v>
      </c>
      <c r="D1239" s="2" t="str">
        <f t="shared" si="18"/>
        <v>Error?</v>
      </c>
    </row>
    <row r="1240" spans="1:4" x14ac:dyDescent="0.2">
      <c r="A1240" s="5">
        <v>1179</v>
      </c>
      <c r="B1240" s="1832">
        <f>'Expenditures 15-22'!E128</f>
        <v>10676</v>
      </c>
      <c r="D1240" s="2" t="str">
        <f t="shared" si="18"/>
        <v>Error?</v>
      </c>
    </row>
    <row r="1241" spans="1:4" x14ac:dyDescent="0.2">
      <c r="A1241" s="5">
        <v>1180</v>
      </c>
      <c r="B1241" s="1832">
        <f>'Expenditures 15-22'!E129</f>
        <v>1234203</v>
      </c>
      <c r="C1241" s="2" t="s">
        <v>569</v>
      </c>
      <c r="D1241" s="2" t="str">
        <f t="shared" si="18"/>
        <v>Error?</v>
      </c>
    </row>
    <row r="1242" spans="1:4" x14ac:dyDescent="0.2">
      <c r="A1242" s="5">
        <v>1181</v>
      </c>
      <c r="B1242" s="1832">
        <f>'Expenditures 15-22'!E151</f>
        <v>1234203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1021249</v>
      </c>
      <c r="D1245" s="2" t="str">
        <f t="shared" si="18"/>
        <v>Error?</v>
      </c>
    </row>
    <row r="1246" spans="1:4" x14ac:dyDescent="0.2">
      <c r="A1246" s="10">
        <v>1185</v>
      </c>
      <c r="B1246" s="1832"/>
      <c r="D1246" s="2" t="str">
        <f t="shared" si="18"/>
        <v>OK</v>
      </c>
    </row>
    <row r="1247" spans="1:4" x14ac:dyDescent="0.2">
      <c r="A1247" s="5">
        <v>1186</v>
      </c>
      <c r="B1247" s="1832">
        <f>'Expenditures 15-22'!F127</f>
        <v>1021249</v>
      </c>
      <c r="C1247" s="2" t="s">
        <v>569</v>
      </c>
      <c r="D1247" s="2" t="str">
        <f t="shared" si="18"/>
        <v>Error?</v>
      </c>
    </row>
    <row r="1248" spans="1:4" x14ac:dyDescent="0.2">
      <c r="A1248" s="5">
        <v>1187</v>
      </c>
      <c r="B1248" s="1832">
        <f>'Expenditures 15-22'!F128</f>
        <v>21118</v>
      </c>
      <c r="D1248" s="2" t="str">
        <f t="shared" si="18"/>
        <v>Error?</v>
      </c>
    </row>
    <row r="1249" spans="1:4" x14ac:dyDescent="0.2">
      <c r="A1249" s="5">
        <v>1188</v>
      </c>
      <c r="B1249" s="1832">
        <f>'Expenditures 15-22'!F129</f>
        <v>1042367</v>
      </c>
      <c r="C1249" s="2" t="s">
        <v>569</v>
      </c>
      <c r="D1249" s="2" t="str">
        <f t="shared" si="18"/>
        <v>Error?</v>
      </c>
    </row>
    <row r="1250" spans="1:4" x14ac:dyDescent="0.2">
      <c r="A1250" s="5">
        <v>1189</v>
      </c>
      <c r="B1250" s="1832">
        <f>'Expenditures 15-22'!F151</f>
        <v>1042367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1175</v>
      </c>
      <c r="D1252" s="2" t="str">
        <f t="shared" si="18"/>
        <v>Error?</v>
      </c>
    </row>
    <row r="1253" spans="1:4" x14ac:dyDescent="0.2">
      <c r="A1253" s="5">
        <v>1192</v>
      </c>
      <c r="B1253" s="1832">
        <f>'Expenditures 15-22'!G124</f>
        <v>242659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243834</v>
      </c>
      <c r="C1256" s="2" t="s">
        <v>569</v>
      </c>
      <c r="D1256" s="2" t="str">
        <f t="shared" si="18"/>
        <v>Error?</v>
      </c>
    </row>
    <row r="1257" spans="1:4" x14ac:dyDescent="0.2">
      <c r="A1257" s="5">
        <v>1196</v>
      </c>
      <c r="B1257" s="1832">
        <f>'Expenditures 15-22'!G128</f>
        <v>24859</v>
      </c>
      <c r="D1257" s="2" t="str">
        <f t="shared" si="18"/>
        <v>Error?</v>
      </c>
    </row>
    <row r="1258" spans="1:4" x14ac:dyDescent="0.2">
      <c r="A1258" s="5">
        <v>1197</v>
      </c>
      <c r="B1258" s="1832">
        <f>'Expenditures 15-22'!G129</f>
        <v>268693</v>
      </c>
      <c r="C1258" s="2" t="s">
        <v>569</v>
      </c>
      <c r="D1258" s="2" t="str">
        <f t="shared" si="18"/>
        <v>Error?</v>
      </c>
    </row>
    <row r="1259" spans="1:4" x14ac:dyDescent="0.2">
      <c r="A1259" s="5">
        <v>1198</v>
      </c>
      <c r="B1259" s="1832">
        <f>'Expenditures 15-22'!G151</f>
        <v>268693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1175</v>
      </c>
      <c r="C1275" s="2" t="s">
        <v>569</v>
      </c>
      <c r="D1275" s="2" t="str">
        <f t="shared" si="18"/>
        <v>Error?</v>
      </c>
    </row>
    <row r="1276" spans="1:4" x14ac:dyDescent="0.2">
      <c r="A1276" s="5">
        <v>1215</v>
      </c>
      <c r="B1276" s="1832">
        <f>'Expenditures 15-22'!K124</f>
        <v>5120439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5121614</v>
      </c>
      <c r="C1279" s="2" t="s">
        <v>569</v>
      </c>
      <c r="D1279" s="2" t="str">
        <f t="shared" ref="D1279:D1342" si="19">IF(ISBLANK(B1279),"OK",IF(A1279-B1279=0,"OK","Error?"))</f>
        <v>Error?</v>
      </c>
    </row>
    <row r="1280" spans="1:4" x14ac:dyDescent="0.2">
      <c r="A1280" s="5">
        <v>1219</v>
      </c>
      <c r="B1280" s="1832">
        <f>'Expenditures 15-22'!K128</f>
        <v>111967</v>
      </c>
      <c r="C1280" s="2" t="s">
        <v>569</v>
      </c>
      <c r="D1280" s="2" t="str">
        <f t="shared" si="19"/>
        <v>Error?</v>
      </c>
    </row>
    <row r="1281" spans="1:4" x14ac:dyDescent="0.2">
      <c r="A1281" s="5">
        <v>1220</v>
      </c>
      <c r="B1281" s="1832">
        <f>'Expenditures 15-22'!K129</f>
        <v>5233581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5233581</v>
      </c>
      <c r="C1288" s="2" t="s">
        <v>569</v>
      </c>
      <c r="D1288" s="2" t="str">
        <f t="shared" si="19"/>
        <v>Error?</v>
      </c>
    </row>
    <row r="1289" spans="1:4" x14ac:dyDescent="0.2">
      <c r="A1289" s="5">
        <v>1228</v>
      </c>
      <c r="B1289" s="1832">
        <f>'Expenditures 15-22'!K152</f>
        <v>515029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1043</v>
      </c>
      <c r="D1307" s="2" t="str">
        <f t="shared" si="19"/>
        <v>Error?</v>
      </c>
    </row>
    <row r="1308" spans="1:4" x14ac:dyDescent="0.2">
      <c r="A1308" s="5">
        <v>1247</v>
      </c>
      <c r="B1308" s="1832">
        <f>'Expenditures 15-22'!E172</f>
        <v>1043</v>
      </c>
      <c r="C1308" s="2" t="s">
        <v>569</v>
      </c>
      <c r="D1308" s="2" t="str">
        <f t="shared" si="19"/>
        <v>Error?</v>
      </c>
    </row>
    <row r="1309" spans="1:4" x14ac:dyDescent="0.2">
      <c r="A1309" s="5">
        <v>1248</v>
      </c>
      <c r="B1309" s="1832">
        <f>'Expenditures 15-22'!E174</f>
        <v>1043</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981400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2170000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3151400</v>
      </c>
      <c r="C1317" s="2" t="s">
        <v>569</v>
      </c>
      <c r="D1317" s="2" t="str">
        <f t="shared" si="19"/>
        <v>Error?</v>
      </c>
    </row>
    <row r="1318" spans="1:4" x14ac:dyDescent="0.2">
      <c r="A1318" s="5">
        <v>1257</v>
      </c>
      <c r="B1318" s="1832">
        <f>'Expenditures 15-22'!H174</f>
        <v>3151400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981400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2170000</v>
      </c>
      <c r="C1329" s="2" t="s">
        <v>569</v>
      </c>
      <c r="D1329" s="2" t="str">
        <f t="shared" si="19"/>
        <v>Error?</v>
      </c>
    </row>
    <row r="1330" spans="1:4" x14ac:dyDescent="0.2">
      <c r="A1330" s="5">
        <v>1269</v>
      </c>
      <c r="B1330" s="1832">
        <f>'Expenditures 15-22'!K171</f>
        <v>1043</v>
      </c>
      <c r="C1330" s="2" t="s">
        <v>569</v>
      </c>
      <c r="D1330" s="2" t="str">
        <f t="shared" si="19"/>
        <v>Error?</v>
      </c>
    </row>
    <row r="1331" spans="1:4" x14ac:dyDescent="0.2">
      <c r="A1331" s="5">
        <v>1270</v>
      </c>
      <c r="B1331" s="1832">
        <f>'Expenditures 15-22'!K172</f>
        <v>3152443</v>
      </c>
      <c r="C1331" s="2" t="s">
        <v>569</v>
      </c>
      <c r="D1331" s="2" t="str">
        <f t="shared" si="19"/>
        <v>Error?</v>
      </c>
    </row>
    <row r="1332" spans="1:4" x14ac:dyDescent="0.2">
      <c r="A1332" s="5">
        <v>1271</v>
      </c>
      <c r="B1332" s="1832">
        <f>'Expenditures 15-22'!K174</f>
        <v>3152443</v>
      </c>
      <c r="C1332" s="2" t="s">
        <v>569</v>
      </c>
      <c r="D1332" s="2" t="str">
        <f t="shared" si="19"/>
        <v>Error?</v>
      </c>
    </row>
    <row r="1333" spans="1:4" x14ac:dyDescent="0.2">
      <c r="A1333" s="5">
        <v>1272</v>
      </c>
      <c r="B1333" s="1832">
        <f>'Expenditures 15-22'!K175</f>
        <v>124902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2061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2061</v>
      </c>
      <c r="C1339" s="2" t="s">
        <v>569</v>
      </c>
      <c r="D1339" s="2" t="str">
        <f t="shared" si="19"/>
        <v>Error?</v>
      </c>
    </row>
    <row r="1340" spans="1:4" x14ac:dyDescent="0.2">
      <c r="A1340" s="5">
        <v>1279</v>
      </c>
      <c r="B1340" s="1832">
        <f>'Expenditures 15-22'!C210</f>
        <v>2061</v>
      </c>
      <c r="C1340" s="2" t="s">
        <v>569</v>
      </c>
      <c r="D1340" s="2" t="str">
        <f t="shared" si="19"/>
        <v>Error?</v>
      </c>
    </row>
    <row r="1341" spans="1:4" x14ac:dyDescent="0.2">
      <c r="A1341" s="5">
        <v>1280</v>
      </c>
      <c r="B1341" s="1832">
        <f>'Expenditures 15-22'!D182</f>
        <v>97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97</v>
      </c>
      <c r="C1345" s="2" t="s">
        <v>569</v>
      </c>
      <c r="D1345" s="2" t="str">
        <f t="shared" si="20"/>
        <v>Error?</v>
      </c>
    </row>
    <row r="1346" spans="1:4" x14ac:dyDescent="0.2">
      <c r="A1346" s="5">
        <v>1285</v>
      </c>
      <c r="B1346" s="1832">
        <f>'Expenditures 15-22'!D210</f>
        <v>97</v>
      </c>
      <c r="C1346" s="2" t="s">
        <v>569</v>
      </c>
      <c r="D1346" s="2" t="str">
        <f t="shared" si="20"/>
        <v>Error?</v>
      </c>
    </row>
    <row r="1347" spans="1:4" x14ac:dyDescent="0.2">
      <c r="A1347" s="5">
        <v>1286</v>
      </c>
      <c r="B1347" s="1832">
        <f>'Expenditures 15-22'!E182</f>
        <v>1394469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1394469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1394469</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48743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48743</v>
      </c>
      <c r="C1364" s="2" t="s">
        <v>569</v>
      </c>
      <c r="D1364" s="2" t="str">
        <f t="shared" si="20"/>
        <v>Error?</v>
      </c>
    </row>
    <row r="1365" spans="1:4" x14ac:dyDescent="0.2">
      <c r="A1365" s="5">
        <v>1304</v>
      </c>
      <c r="B1365" s="1832">
        <f>'Expenditures 15-22'!G210</f>
        <v>48743</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1445370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1445370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1445370</v>
      </c>
      <c r="C1388" s="2" t="s">
        <v>569</v>
      </c>
      <c r="D1388" s="2" t="str">
        <f t="shared" si="20"/>
        <v>Error?</v>
      </c>
    </row>
    <row r="1389" spans="1:4" x14ac:dyDescent="0.2">
      <c r="A1389" s="5">
        <v>1328</v>
      </c>
      <c r="B1389" s="1832">
        <f>'Expenditures 15-22'!K211</f>
        <v>427098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5122</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28595</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8874</v>
      </c>
      <c r="D1407" s="2" t="str">
        <f t="shared" ref="D1407:D1470" si="21">IF(ISBLANK(B1407),"OK",IF(A1407-B1407=0,"OK","Error?"))</f>
        <v>Error?</v>
      </c>
    </row>
    <row r="1408" spans="1:4" x14ac:dyDescent="0.2">
      <c r="A1408" s="5">
        <v>1347</v>
      </c>
      <c r="B1408" s="1832">
        <f>'Expenditures 15-22'!D223</f>
        <v>59150</v>
      </c>
      <c r="D1408" s="2" t="str">
        <f t="shared" si="21"/>
        <v>Error?</v>
      </c>
    </row>
    <row r="1409" spans="1:4" x14ac:dyDescent="0.2">
      <c r="A1409" s="5">
        <v>1348</v>
      </c>
      <c r="B1409" s="1832">
        <f>'Expenditures 15-22'!D224</f>
        <v>1689</v>
      </c>
      <c r="D1409" s="2" t="str">
        <f t="shared" si="21"/>
        <v>Error?</v>
      </c>
    </row>
    <row r="1410" spans="1:4" x14ac:dyDescent="0.2">
      <c r="A1410" s="5">
        <v>1349</v>
      </c>
      <c r="B1410" s="1832">
        <f>'Expenditures 15-22'!D229</f>
        <v>907647</v>
      </c>
      <c r="C1410" s="2" t="s">
        <v>569</v>
      </c>
      <c r="D1410" s="2" t="str">
        <f t="shared" si="21"/>
        <v>Error?</v>
      </c>
    </row>
    <row r="1411" spans="1:4" x14ac:dyDescent="0.2">
      <c r="A1411" s="5">
        <v>1350</v>
      </c>
      <c r="B1411" s="1832">
        <f>'Expenditures 15-22'!D232</f>
        <v>43654</v>
      </c>
      <c r="D1411" s="2" t="str">
        <f t="shared" si="21"/>
        <v>Error?</v>
      </c>
    </row>
    <row r="1412" spans="1:4" x14ac:dyDescent="0.2">
      <c r="A1412" s="5">
        <v>1351</v>
      </c>
      <c r="B1412" s="1832">
        <f>'Expenditures 15-22'!D233</f>
        <v>61747</v>
      </c>
      <c r="D1412" s="2" t="str">
        <f t="shared" si="21"/>
        <v>Error?</v>
      </c>
    </row>
    <row r="1413" spans="1:4" x14ac:dyDescent="0.2">
      <c r="A1413" s="5">
        <v>1352</v>
      </c>
      <c r="B1413" s="1832">
        <f>'Expenditures 15-22'!D234</f>
        <v>95974</v>
      </c>
      <c r="D1413" s="2" t="str">
        <f t="shared" si="21"/>
        <v>Error?</v>
      </c>
    </row>
    <row r="1414" spans="1:4" x14ac:dyDescent="0.2">
      <c r="A1414" s="5">
        <v>1353</v>
      </c>
      <c r="B1414" s="1832">
        <f>'Expenditures 15-22'!D235</f>
        <v>10520</v>
      </c>
      <c r="D1414" s="2" t="str">
        <f t="shared" si="21"/>
        <v>Error?</v>
      </c>
    </row>
    <row r="1415" spans="1:4" x14ac:dyDescent="0.2">
      <c r="A1415" s="5">
        <v>1354</v>
      </c>
      <c r="B1415" s="1832">
        <f>'Expenditures 15-22'!D236</f>
        <v>10656</v>
      </c>
      <c r="D1415" s="2" t="str">
        <f t="shared" si="21"/>
        <v>Error?</v>
      </c>
    </row>
    <row r="1416" spans="1:4" x14ac:dyDescent="0.2">
      <c r="A1416" s="5">
        <v>1355</v>
      </c>
      <c r="B1416" s="1832">
        <f>'Expenditures 15-22'!D237</f>
        <v>9508</v>
      </c>
      <c r="D1416" s="2" t="str">
        <f t="shared" si="21"/>
        <v>Error?</v>
      </c>
    </row>
    <row r="1417" spans="1:4" x14ac:dyDescent="0.2">
      <c r="A1417" s="5">
        <v>1356</v>
      </c>
      <c r="B1417" s="1832">
        <f>'Expenditures 15-22'!D238</f>
        <v>232059</v>
      </c>
      <c r="C1417" s="2" t="s">
        <v>569</v>
      </c>
      <c r="D1417" s="2" t="str">
        <f t="shared" si="21"/>
        <v>Error?</v>
      </c>
    </row>
    <row r="1418" spans="1:4" x14ac:dyDescent="0.2">
      <c r="A1418" s="5">
        <v>1357</v>
      </c>
      <c r="B1418" s="1832">
        <f>'Expenditures 15-22'!D240</f>
        <v>6469</v>
      </c>
      <c r="D1418" s="2" t="str">
        <f t="shared" si="21"/>
        <v>Error?</v>
      </c>
    </row>
    <row r="1419" spans="1:4" x14ac:dyDescent="0.2">
      <c r="A1419" s="5">
        <v>1358</v>
      </c>
      <c r="B1419" s="1832">
        <f>'Expenditures 15-22'!D241</f>
        <v>31776</v>
      </c>
      <c r="D1419" s="2" t="str">
        <f t="shared" si="21"/>
        <v>Error?</v>
      </c>
    </row>
    <row r="1420" spans="1:4" x14ac:dyDescent="0.2">
      <c r="A1420" s="5">
        <v>1359</v>
      </c>
      <c r="B1420" s="1832">
        <f>'Expenditures 15-22'!D242</f>
        <v>270</v>
      </c>
      <c r="D1420" s="2" t="str">
        <f t="shared" si="21"/>
        <v>Error?</v>
      </c>
    </row>
    <row r="1421" spans="1:4" x14ac:dyDescent="0.2">
      <c r="A1421" s="5">
        <v>1360</v>
      </c>
      <c r="B1421" s="1832">
        <f>'Expenditures 15-22'!D243</f>
        <v>38515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12609</v>
      </c>
      <c r="D1423" s="2" t="str">
        <f t="shared" si="21"/>
        <v>Error?</v>
      </c>
    </row>
    <row r="1424" spans="1:4" x14ac:dyDescent="0.2">
      <c r="A1424" s="5">
        <v>1363</v>
      </c>
      <c r="B1424" s="1832">
        <f>'Expenditures 15-22'!D257</f>
        <v>12921</v>
      </c>
      <c r="C1424" s="2" t="s">
        <v>569</v>
      </c>
      <c r="D1424" s="2" t="str">
        <f t="shared" si="21"/>
        <v>Error?</v>
      </c>
    </row>
    <row r="1425" spans="1:4" x14ac:dyDescent="0.2">
      <c r="A1425" s="5">
        <v>1364</v>
      </c>
      <c r="B1425" s="1832">
        <f>'Expenditures 15-22'!D259</f>
        <v>163878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163878</v>
      </c>
      <c r="C1427" s="2" t="s">
        <v>569</v>
      </c>
      <c r="D1427" s="2" t="str">
        <f t="shared" si="21"/>
        <v>Error?</v>
      </c>
    </row>
    <row r="1428" spans="1:4" x14ac:dyDescent="0.2">
      <c r="A1428" s="5">
        <v>1367</v>
      </c>
      <c r="B1428" s="1832">
        <f>'Expenditures 15-22'!D263</f>
        <v>7727</v>
      </c>
      <c r="D1428" s="2" t="str">
        <f t="shared" si="21"/>
        <v>Error?</v>
      </c>
    </row>
    <row r="1429" spans="1:4" x14ac:dyDescent="0.2">
      <c r="A1429" s="5">
        <v>1368</v>
      </c>
      <c r="B1429" s="1832">
        <f>'Expenditures 15-22'!D264</f>
        <v>48538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430356</v>
      </c>
      <c r="D1431" s="2" t="str">
        <f t="shared" si="21"/>
        <v>Error?</v>
      </c>
    </row>
    <row r="1432" spans="1:4" x14ac:dyDescent="0.2">
      <c r="A1432" s="5">
        <v>1371</v>
      </c>
      <c r="B1432" s="1832">
        <f>'Expenditures 15-22'!D267</f>
        <v>382</v>
      </c>
      <c r="D1432" s="2" t="str">
        <f t="shared" si="21"/>
        <v>Error?</v>
      </c>
    </row>
    <row r="1433" spans="1:4" x14ac:dyDescent="0.2">
      <c r="A1433" s="5">
        <v>1372</v>
      </c>
      <c r="B1433" s="1832">
        <f>'Expenditures 15-22'!D268</f>
        <v>172779</v>
      </c>
      <c r="D1433" s="2" t="str">
        <f t="shared" si="21"/>
        <v>Error?</v>
      </c>
    </row>
    <row r="1434" spans="1:4" x14ac:dyDescent="0.2">
      <c r="A1434" s="5">
        <v>1373</v>
      </c>
      <c r="B1434" s="1832">
        <f>'Expenditures 15-22'!D269</f>
        <v>9909</v>
      </c>
      <c r="D1434" s="2" t="str">
        <f t="shared" si="21"/>
        <v>Error?</v>
      </c>
    </row>
    <row r="1435" spans="1:4" x14ac:dyDescent="0.2">
      <c r="A1435" s="10">
        <v>1374</v>
      </c>
      <c r="B1435" s="1832"/>
      <c r="D1435" s="2" t="str">
        <f t="shared" si="21"/>
        <v>OK</v>
      </c>
    </row>
    <row r="1436" spans="1:4" x14ac:dyDescent="0.2">
      <c r="A1436" s="5">
        <v>1375</v>
      </c>
      <c r="B1436" s="1832">
        <f>'Expenditures 15-22'!D270</f>
        <v>669691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19566</v>
      </c>
      <c r="D1439" s="2" t="str">
        <f t="shared" si="21"/>
        <v>Error?</v>
      </c>
    </row>
    <row r="1440" spans="1:4" x14ac:dyDescent="0.2">
      <c r="A1440" s="5">
        <v>1379</v>
      </c>
      <c r="B1440" s="1832">
        <f>'Expenditures 15-22'!D275</f>
        <v>33884</v>
      </c>
      <c r="D1440" s="2" t="str">
        <f t="shared" si="21"/>
        <v>Error?</v>
      </c>
    </row>
    <row r="1441" spans="1:4" x14ac:dyDescent="0.2">
      <c r="A1441" s="10">
        <v>1380</v>
      </c>
      <c r="B1441" s="1832"/>
      <c r="D1441" s="2" t="str">
        <f t="shared" si="21"/>
        <v>OK</v>
      </c>
    </row>
    <row r="1442" spans="1:4" x14ac:dyDescent="0.2">
      <c r="A1442" s="5">
        <v>1381</v>
      </c>
      <c r="B1442" s="1832">
        <f>'Expenditures 15-22'!D276</f>
        <v>71249</v>
      </c>
      <c r="D1442" s="2" t="str">
        <f t="shared" si="21"/>
        <v>Error?</v>
      </c>
    </row>
    <row r="1443" spans="1:4" x14ac:dyDescent="0.2">
      <c r="A1443" s="10">
        <v>1382</v>
      </c>
      <c r="B1443" s="1832"/>
      <c r="D1443" s="2" t="str">
        <f t="shared" si="21"/>
        <v>OK</v>
      </c>
    </row>
    <row r="1444" spans="1:4" x14ac:dyDescent="0.2">
      <c r="A1444" s="5">
        <v>1383</v>
      </c>
      <c r="B1444" s="1832">
        <f>'Expenditures 15-22'!D277</f>
        <v>124699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1241763</v>
      </c>
      <c r="C1446" s="2" t="s">
        <v>569</v>
      </c>
      <c r="D1446" s="2" t="str">
        <f t="shared" si="21"/>
        <v>Error?</v>
      </c>
    </row>
    <row r="1447" spans="1:4" x14ac:dyDescent="0.2">
      <c r="A1447" s="5">
        <v>1386</v>
      </c>
      <c r="B1447" s="1832">
        <f>'Expenditures 15-22'!D280</f>
        <v>3782</v>
      </c>
      <c r="D1447" s="2" t="str">
        <f t="shared" si="21"/>
        <v>Error?</v>
      </c>
    </row>
    <row r="1448" spans="1:4" x14ac:dyDescent="0.2">
      <c r="A1448" s="5">
        <v>1387</v>
      </c>
      <c r="B1448" s="1832">
        <f>'Expenditures 15-22'!D295</f>
        <v>2153192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5122</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28595</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8874</v>
      </c>
      <c r="C1471" s="2" t="s">
        <v>569</v>
      </c>
      <c r="D1471" s="2" t="str">
        <f t="shared" ref="D1471:D1534" si="22">IF(ISBLANK(B1471),"OK",IF(A1471-B1471=0,"OK","Error?"))</f>
        <v>Error?</v>
      </c>
    </row>
    <row r="1472" spans="1:4" x14ac:dyDescent="0.2">
      <c r="A1472" s="5">
        <v>1411</v>
      </c>
      <c r="B1472" s="1832">
        <f>'Expenditures 15-22'!K223</f>
        <v>59150</v>
      </c>
      <c r="C1472" s="2" t="s">
        <v>569</v>
      </c>
      <c r="D1472" s="2" t="str">
        <f t="shared" si="22"/>
        <v>Error?</v>
      </c>
    </row>
    <row r="1473" spans="1:4" x14ac:dyDescent="0.2">
      <c r="A1473" s="5">
        <v>1412</v>
      </c>
      <c r="B1473" s="1832">
        <f>'Expenditures 15-22'!K224</f>
        <v>1689</v>
      </c>
      <c r="C1473" s="2" t="s">
        <v>569</v>
      </c>
      <c r="D1473" s="2" t="str">
        <f t="shared" si="22"/>
        <v>Error?</v>
      </c>
    </row>
    <row r="1474" spans="1:4" x14ac:dyDescent="0.2">
      <c r="A1474" s="5">
        <v>1413</v>
      </c>
      <c r="B1474" s="1832">
        <f>'Expenditures 15-22'!K229</f>
        <v>907647</v>
      </c>
      <c r="C1474" s="2" t="s">
        <v>569</v>
      </c>
      <c r="D1474" s="2" t="str">
        <f t="shared" si="22"/>
        <v>Error?</v>
      </c>
    </row>
    <row r="1475" spans="1:4" x14ac:dyDescent="0.2">
      <c r="A1475" s="5">
        <v>1414</v>
      </c>
      <c r="B1475" s="1832">
        <f>'Expenditures 15-22'!K232</f>
        <v>43654</v>
      </c>
      <c r="C1475" s="2" t="s">
        <v>569</v>
      </c>
      <c r="D1475" s="2" t="str">
        <f t="shared" si="22"/>
        <v>Error?</v>
      </c>
    </row>
    <row r="1476" spans="1:4" x14ac:dyDescent="0.2">
      <c r="A1476" s="5">
        <v>1415</v>
      </c>
      <c r="B1476" s="1832">
        <f>'Expenditures 15-22'!K233</f>
        <v>61747</v>
      </c>
      <c r="C1476" s="2" t="s">
        <v>569</v>
      </c>
      <c r="D1476" s="2" t="str">
        <f t="shared" si="22"/>
        <v>Error?</v>
      </c>
    </row>
    <row r="1477" spans="1:4" x14ac:dyDescent="0.2">
      <c r="A1477" s="5">
        <v>1416</v>
      </c>
      <c r="B1477" s="1832">
        <f>'Expenditures 15-22'!K234</f>
        <v>95974</v>
      </c>
      <c r="C1477" s="2" t="s">
        <v>569</v>
      </c>
      <c r="D1477" s="2" t="str">
        <f t="shared" si="22"/>
        <v>Error?</v>
      </c>
    </row>
    <row r="1478" spans="1:4" x14ac:dyDescent="0.2">
      <c r="A1478" s="5">
        <v>1417</v>
      </c>
      <c r="B1478" s="1832">
        <f>'Expenditures 15-22'!K235</f>
        <v>10520</v>
      </c>
      <c r="C1478" s="2" t="s">
        <v>569</v>
      </c>
      <c r="D1478" s="2" t="str">
        <f t="shared" si="22"/>
        <v>Error?</v>
      </c>
    </row>
    <row r="1479" spans="1:4" x14ac:dyDescent="0.2">
      <c r="A1479" s="5">
        <v>1418</v>
      </c>
      <c r="B1479" s="1832">
        <f>'Expenditures 15-22'!K236</f>
        <v>10656</v>
      </c>
      <c r="C1479" s="2" t="s">
        <v>569</v>
      </c>
      <c r="D1479" s="2" t="str">
        <f t="shared" si="22"/>
        <v>Error?</v>
      </c>
    </row>
    <row r="1480" spans="1:4" x14ac:dyDescent="0.2">
      <c r="A1480" s="5">
        <v>1419</v>
      </c>
      <c r="B1480" s="1832">
        <f>'Expenditures 15-22'!K237</f>
        <v>9508</v>
      </c>
      <c r="C1480" s="2" t="s">
        <v>569</v>
      </c>
      <c r="D1480" s="2" t="str">
        <f t="shared" si="22"/>
        <v>Error?</v>
      </c>
    </row>
    <row r="1481" spans="1:4" x14ac:dyDescent="0.2">
      <c r="A1481" s="5">
        <v>1420</v>
      </c>
      <c r="B1481" s="1832">
        <f>'Expenditures 15-22'!K238</f>
        <v>232059</v>
      </c>
      <c r="C1481" s="2" t="s">
        <v>569</v>
      </c>
      <c r="D1481" s="2" t="str">
        <f t="shared" si="22"/>
        <v>Error?</v>
      </c>
    </row>
    <row r="1482" spans="1:4" x14ac:dyDescent="0.2">
      <c r="A1482" s="5">
        <v>1421</v>
      </c>
      <c r="B1482" s="1832">
        <f>'Expenditures 15-22'!K240</f>
        <v>6469</v>
      </c>
      <c r="C1482" s="2" t="s">
        <v>569</v>
      </c>
      <c r="D1482" s="2" t="str">
        <f t="shared" si="22"/>
        <v>Error?</v>
      </c>
    </row>
    <row r="1483" spans="1:4" x14ac:dyDescent="0.2">
      <c r="A1483" s="5">
        <v>1422</v>
      </c>
      <c r="B1483" s="1832">
        <f>'Expenditures 15-22'!K241</f>
        <v>31776</v>
      </c>
      <c r="C1483" s="2" t="s">
        <v>569</v>
      </c>
      <c r="D1483" s="2" t="str">
        <f t="shared" si="22"/>
        <v>Error?</v>
      </c>
    </row>
    <row r="1484" spans="1:4" x14ac:dyDescent="0.2">
      <c r="A1484" s="5">
        <v>1423</v>
      </c>
      <c r="B1484" s="1832">
        <f>'Expenditures 15-22'!K242</f>
        <v>270</v>
      </c>
      <c r="C1484" s="2" t="s">
        <v>569</v>
      </c>
      <c r="D1484" s="2" t="str">
        <f t="shared" si="22"/>
        <v>Error?</v>
      </c>
    </row>
    <row r="1485" spans="1:4" x14ac:dyDescent="0.2">
      <c r="A1485" s="5">
        <v>1424</v>
      </c>
      <c r="B1485" s="1832">
        <f>'Expenditures 15-22'!K243</f>
        <v>38515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12609</v>
      </c>
      <c r="C1487" s="2" t="s">
        <v>569</v>
      </c>
      <c r="D1487" s="2" t="str">
        <f t="shared" si="22"/>
        <v>Error?</v>
      </c>
    </row>
    <row r="1488" spans="1:4" x14ac:dyDescent="0.2">
      <c r="A1488" s="5">
        <v>1427</v>
      </c>
      <c r="B1488" s="1832">
        <f>'Expenditures 15-22'!K257</f>
        <v>12921</v>
      </c>
      <c r="C1488" s="2" t="s">
        <v>569</v>
      </c>
      <c r="D1488" s="2" t="str">
        <f t="shared" si="22"/>
        <v>Error?</v>
      </c>
    </row>
    <row r="1489" spans="1:4" x14ac:dyDescent="0.2">
      <c r="A1489" s="5">
        <v>1428</v>
      </c>
      <c r="B1489" s="1832">
        <f>'Expenditures 15-22'!K259</f>
        <v>163878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163878</v>
      </c>
      <c r="C1491" s="2" t="s">
        <v>569</v>
      </c>
      <c r="D1491" s="2" t="str">
        <f t="shared" si="22"/>
        <v>Error?</v>
      </c>
    </row>
    <row r="1492" spans="1:4" x14ac:dyDescent="0.2">
      <c r="A1492" s="5">
        <v>1431</v>
      </c>
      <c r="B1492" s="1832">
        <f>'Expenditures 15-22'!K263</f>
        <v>7727</v>
      </c>
      <c r="C1492" s="2" t="s">
        <v>569</v>
      </c>
      <c r="D1492" s="2" t="str">
        <f t="shared" si="22"/>
        <v>Error?</v>
      </c>
    </row>
    <row r="1493" spans="1:4" x14ac:dyDescent="0.2">
      <c r="A1493" s="5">
        <v>1432</v>
      </c>
      <c r="B1493" s="1832">
        <f>'Expenditures 15-22'!K264</f>
        <v>48538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430356</v>
      </c>
      <c r="C1495" s="2" t="s">
        <v>569</v>
      </c>
      <c r="D1495" s="2" t="str">
        <f t="shared" si="22"/>
        <v>Error?</v>
      </c>
    </row>
    <row r="1496" spans="1:4" x14ac:dyDescent="0.2">
      <c r="A1496" s="5">
        <v>1435</v>
      </c>
      <c r="B1496" s="1832">
        <f>'Expenditures 15-22'!K267</f>
        <v>382</v>
      </c>
      <c r="C1496" s="2" t="s">
        <v>569</v>
      </c>
      <c r="D1496" s="2" t="str">
        <f t="shared" si="22"/>
        <v>Error?</v>
      </c>
    </row>
    <row r="1497" spans="1:4" x14ac:dyDescent="0.2">
      <c r="A1497" s="5">
        <v>1436</v>
      </c>
      <c r="B1497" s="1832">
        <f>'Expenditures 15-22'!K268</f>
        <v>172779</v>
      </c>
      <c r="C1497" s="2" t="s">
        <v>569</v>
      </c>
      <c r="D1497" s="2" t="str">
        <f t="shared" si="22"/>
        <v>Error?</v>
      </c>
    </row>
    <row r="1498" spans="1:4" x14ac:dyDescent="0.2">
      <c r="A1498" s="5">
        <v>1437</v>
      </c>
      <c r="B1498" s="1832">
        <f>'Expenditures 15-22'!K269</f>
        <v>9909</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669691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19566</v>
      </c>
      <c r="C1503" s="2" t="s">
        <v>569</v>
      </c>
      <c r="D1503" s="2" t="str">
        <f t="shared" si="22"/>
        <v>Error?</v>
      </c>
    </row>
    <row r="1504" spans="1:4" x14ac:dyDescent="0.2">
      <c r="A1504" s="5">
        <v>1443</v>
      </c>
      <c r="B1504" s="1832">
        <f>'Expenditures 15-22'!K275</f>
        <v>33884</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71249</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124699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1241763</v>
      </c>
      <c r="C1510" s="2" t="s">
        <v>569</v>
      </c>
      <c r="D1510" s="2" t="str">
        <f t="shared" si="22"/>
        <v>Error?</v>
      </c>
    </row>
    <row r="1511" spans="1:4" x14ac:dyDescent="0.2">
      <c r="A1511" s="5">
        <v>1450</v>
      </c>
      <c r="B1511" s="1832">
        <f>'Expenditures 15-22'!K280</f>
        <v>3782</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2153192</v>
      </c>
      <c r="C1517" s="2" t="s">
        <v>569</v>
      </c>
      <c r="D1517" s="2" t="str">
        <f t="shared" si="22"/>
        <v>Error?</v>
      </c>
    </row>
    <row r="1518" spans="1:4" x14ac:dyDescent="0.2">
      <c r="A1518" s="5">
        <v>1457</v>
      </c>
      <c r="B1518" s="1832">
        <f>'Expenditures 15-22'!K296</f>
        <v>229024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197243</v>
      </c>
      <c r="D1534" s="2" t="str">
        <f t="shared" si="22"/>
        <v>Error?</v>
      </c>
    </row>
    <row r="1535" spans="1:4" x14ac:dyDescent="0.2">
      <c r="A1535" s="5">
        <v>1474</v>
      </c>
      <c r="B1535" s="1832">
        <f>'Expenditures 15-22'!E303</f>
        <v>197243</v>
      </c>
      <c r="C1535" s="2" t="s">
        <v>569</v>
      </c>
      <c r="D1535" s="2" t="str">
        <f t="shared" ref="D1535:D1598" si="23">IF(ISBLANK(B1535),"OK",IF(A1535-B1535=0,"OK","Error?"))</f>
        <v>Error?</v>
      </c>
    </row>
    <row r="1536" spans="1:4" x14ac:dyDescent="0.2">
      <c r="A1536" s="5">
        <v>1475</v>
      </c>
      <c r="B1536" s="1832">
        <f>'Expenditures 15-22'!E312</f>
        <v>197243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4239035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4239035</v>
      </c>
      <c r="C1547" s="2" t="s">
        <v>569</v>
      </c>
      <c r="D1547" s="2" t="str">
        <f t="shared" si="23"/>
        <v>Error?</v>
      </c>
    </row>
    <row r="1548" spans="1:4" x14ac:dyDescent="0.2">
      <c r="A1548" s="5">
        <v>1487</v>
      </c>
      <c r="B1548" s="1832">
        <f>'Expenditures 15-22'!G312</f>
        <v>4239035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4239035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197243</v>
      </c>
      <c r="C1558" s="2" t="s">
        <v>569</v>
      </c>
      <c r="D1558" s="2" t="str">
        <f t="shared" si="23"/>
        <v>Error?</v>
      </c>
    </row>
    <row r="1559" spans="1:4" x14ac:dyDescent="0.2">
      <c r="A1559" s="5">
        <v>1498</v>
      </c>
      <c r="B1559" s="1832">
        <f>'Expenditures 15-22'!K303</f>
        <v>4436278</v>
      </c>
      <c r="C1559" s="2" t="s">
        <v>569</v>
      </c>
      <c r="D1559" s="2" t="str">
        <f t="shared" si="23"/>
        <v>Error?</v>
      </c>
    </row>
    <row r="1560" spans="1:4" x14ac:dyDescent="0.2">
      <c r="A1560" s="5">
        <v>1499</v>
      </c>
      <c r="B1560" s="1832">
        <f>'Expenditures 15-22'!K312</f>
        <v>4436278</v>
      </c>
      <c r="C1560" s="2" t="s">
        <v>569</v>
      </c>
      <c r="D1560" s="2" t="str">
        <f t="shared" si="23"/>
        <v>Error?</v>
      </c>
    </row>
    <row r="1561" spans="1:4" x14ac:dyDescent="0.2">
      <c r="A1561" s="5">
        <v>1500</v>
      </c>
      <c r="B1561" s="1832">
        <f>'Expenditures 15-22'!K313</f>
        <v>-1194593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25425966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25883233</v>
      </c>
      <c r="C1630" s="2" t="s">
        <v>569</v>
      </c>
      <c r="D1630" s="2" t="str">
        <f t="shared" si="24"/>
        <v>Error?</v>
      </c>
    </row>
    <row r="1631" spans="1:4" x14ac:dyDescent="0.2">
      <c r="A1631" s="5">
        <v>1570</v>
      </c>
      <c r="B1631" s="1832">
        <f>'Acct Summary 7-8'!D79</f>
        <v>6091207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6606236</v>
      </c>
      <c r="C1644" s="2" t="s">
        <v>569</v>
      </c>
      <c r="D1644" s="2" t="str">
        <f t="shared" si="24"/>
        <v>Error?</v>
      </c>
    </row>
    <row r="1645" spans="1:4" x14ac:dyDescent="0.2">
      <c r="A1645" s="5">
        <v>1584</v>
      </c>
      <c r="B1645" s="1832">
        <f>'Acct Summary 7-8'!E79</f>
        <v>1795608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1920510</v>
      </c>
      <c r="C1658" s="2" t="s">
        <v>569</v>
      </c>
      <c r="D1658" s="2" t="str">
        <f t="shared" si="24"/>
        <v>Error?</v>
      </c>
    </row>
    <row r="1659" spans="1:4" x14ac:dyDescent="0.2">
      <c r="A1659" s="5">
        <v>1598</v>
      </c>
      <c r="B1659" s="1832">
        <f>'Acct Summary 7-8'!F79</f>
        <v>2940734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3367832</v>
      </c>
      <c r="C1672" s="2" t="s">
        <v>569</v>
      </c>
      <c r="D1672" s="2" t="str">
        <f t="shared" si="25"/>
        <v>Error?</v>
      </c>
    </row>
    <row r="1673" spans="1:4" x14ac:dyDescent="0.2">
      <c r="A1673" s="5">
        <v>1612</v>
      </c>
      <c r="B1673" s="1832">
        <f>'Acct Summary 7-8'!G79</f>
        <v>1420943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1649967</v>
      </c>
      <c r="C1686" s="2" t="s">
        <v>569</v>
      </c>
      <c r="D1686" s="2" t="str">
        <f t="shared" si="25"/>
        <v>Error?</v>
      </c>
    </row>
    <row r="1687" spans="1:4" x14ac:dyDescent="0.2">
      <c r="A1687" s="5">
        <v>1626</v>
      </c>
      <c r="B1687" s="1832">
        <f>'Acct Summary 7-8'!H79</f>
        <v>1981200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17985609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18851933</v>
      </c>
      <c r="C1744" s="2" t="s">
        <v>569</v>
      </c>
      <c r="D1744" s="2" t="str">
        <f t="shared" si="26"/>
        <v>Error?</v>
      </c>
    </row>
    <row r="1745" spans="1:5" x14ac:dyDescent="0.2">
      <c r="A1745" s="5">
        <v>1684</v>
      </c>
      <c r="B1745" s="1832">
        <f>'Tax Sched 23'!B5</f>
        <v>4178529</v>
      </c>
      <c r="C1745" s="2" t="s">
        <v>569</v>
      </c>
      <c r="D1745" s="2" t="str">
        <f t="shared" si="26"/>
        <v>Error?</v>
      </c>
    </row>
    <row r="1746" spans="1:5" x14ac:dyDescent="0.2">
      <c r="A1746" s="5">
        <v>1685</v>
      </c>
      <c r="B1746" s="1832">
        <f>'Tax Sched 23'!B6</f>
        <v>3252725</v>
      </c>
      <c r="C1746" s="2" t="s">
        <v>569</v>
      </c>
      <c r="D1746" s="2" t="str">
        <f t="shared" si="26"/>
        <v>Error?</v>
      </c>
    </row>
    <row r="1747" spans="1:5" x14ac:dyDescent="0.2">
      <c r="A1747" s="5">
        <v>1686</v>
      </c>
      <c r="B1747" s="1832">
        <f>'Tax Sched 23'!B7</f>
        <v>1099371</v>
      </c>
      <c r="C1747" s="2" t="s">
        <v>569</v>
      </c>
      <c r="D1747" s="2" t="str">
        <f t="shared" si="26"/>
        <v>Error?</v>
      </c>
    </row>
    <row r="1748" spans="1:5" x14ac:dyDescent="0.2">
      <c r="A1748" s="5">
        <v>1687</v>
      </c>
      <c r="B1748" s="1832">
        <f>'Tax Sched 23'!B8</f>
        <v>1069782</v>
      </c>
      <c r="C1748" s="2" t="s">
        <v>569</v>
      </c>
      <c r="D1748" s="2" t="str">
        <f t="shared" si="26"/>
        <v>Error?</v>
      </c>
    </row>
    <row r="1749" spans="1:5" x14ac:dyDescent="0.2">
      <c r="A1749" s="5">
        <v>1688</v>
      </c>
      <c r="B1749" s="1832">
        <f>'Tax Sched 23'!B10</f>
        <v>278569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834631</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222855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31010582</v>
      </c>
      <c r="C1759" s="2" t="s">
        <v>569</v>
      </c>
      <c r="D1759" s="2" t="str">
        <f t="shared" si="26"/>
        <v>Error?</v>
      </c>
    </row>
    <row r="1760" spans="1:5" x14ac:dyDescent="0.2">
      <c r="A1760" s="5">
        <v>1699</v>
      </c>
      <c r="B1760" s="1832">
        <f>'Tax Sched 23'!D4</f>
        <v>14883807</v>
      </c>
      <c r="C1760" s="2" t="s">
        <v>569</v>
      </c>
      <c r="D1760" s="2" t="str">
        <f t="shared" si="26"/>
        <v>Error?</v>
      </c>
    </row>
    <row r="1761" spans="1:7" x14ac:dyDescent="0.2">
      <c r="A1761" s="5">
        <v>1700</v>
      </c>
      <c r="B1761" s="1832">
        <f>'Tax Sched 23'!D5</f>
        <v>3248500</v>
      </c>
      <c r="C1761" s="2" t="s">
        <v>569</v>
      </c>
      <c r="D1761" s="2" t="str">
        <f t="shared" si="26"/>
        <v>Error?</v>
      </c>
    </row>
    <row r="1762" spans="1:7" s="8" customFormat="1" x14ac:dyDescent="0.2">
      <c r="A1762" s="5">
        <v>1701</v>
      </c>
      <c r="B1762" s="1832">
        <f>'Tax Sched 23'!D6</f>
        <v>2522342</v>
      </c>
      <c r="C1762" s="2" t="s">
        <v>569</v>
      </c>
      <c r="D1762" s="2" t="str">
        <f t="shared" si="26"/>
        <v>Error?</v>
      </c>
      <c r="E1762" s="9"/>
      <c r="G1762"/>
    </row>
    <row r="1763" spans="1:7" x14ac:dyDescent="0.2">
      <c r="A1763" s="5">
        <v>1702</v>
      </c>
      <c r="B1763" s="1832">
        <f>'Tax Sched 23'!D7</f>
        <v>851363</v>
      </c>
      <c r="C1763" s="2" t="s">
        <v>569</v>
      </c>
      <c r="D1763" s="2" t="str">
        <f t="shared" si="26"/>
        <v>Error?</v>
      </c>
    </row>
    <row r="1764" spans="1:7" x14ac:dyDescent="0.2">
      <c r="A1764" s="5">
        <v>1703</v>
      </c>
      <c r="B1764" s="1832">
        <f>'Tax Sched 23'!D8</f>
        <v>828470</v>
      </c>
      <c r="C1764" s="2" t="s">
        <v>569</v>
      </c>
      <c r="D1764" s="2" t="str">
        <f t="shared" si="26"/>
        <v>Error?</v>
      </c>
    </row>
    <row r="1765" spans="1:7" x14ac:dyDescent="0.2">
      <c r="A1765" s="5">
        <v>1704</v>
      </c>
      <c r="B1765" s="1832">
        <f>'Tax Sched 23'!D10</f>
        <v>216567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647261</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173253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24327142</v>
      </c>
      <c r="C1775" s="2" t="s">
        <v>569</v>
      </c>
      <c r="D1775" s="2" t="str">
        <f t="shared" si="26"/>
        <v>Error?</v>
      </c>
    </row>
    <row r="1776" spans="1:7" x14ac:dyDescent="0.2">
      <c r="A1776" s="5">
        <v>1715</v>
      </c>
      <c r="B1776" s="1832">
        <f>'Tax Sched 23'!C4</f>
        <v>3968126</v>
      </c>
      <c r="D1776" s="2" t="str">
        <f t="shared" si="26"/>
        <v>Error?</v>
      </c>
    </row>
    <row r="1777" spans="1:4" x14ac:dyDescent="0.2">
      <c r="A1777" s="5">
        <v>1716</v>
      </c>
      <c r="B1777" s="1832">
        <f>'Tax Sched 23'!C5</f>
        <v>930029</v>
      </c>
      <c r="D1777" s="2" t="str">
        <f t="shared" si="26"/>
        <v>Error?</v>
      </c>
    </row>
    <row r="1778" spans="1:4" x14ac:dyDescent="0.2">
      <c r="A1778" s="5">
        <v>1717</v>
      </c>
      <c r="B1778" s="1832">
        <f>'Tax Sched 23'!C6</f>
        <v>730383</v>
      </c>
      <c r="D1778" s="2" t="str">
        <f t="shared" si="26"/>
        <v>Error?</v>
      </c>
    </row>
    <row r="1779" spans="1:4" x14ac:dyDescent="0.2">
      <c r="A1779" s="5">
        <v>1718</v>
      </c>
      <c r="B1779" s="1832">
        <f>'Tax Sched 23'!C7</f>
        <v>248008</v>
      </c>
      <c r="D1779" s="2" t="str">
        <f t="shared" si="26"/>
        <v>Error?</v>
      </c>
    </row>
    <row r="1780" spans="1:4" x14ac:dyDescent="0.2">
      <c r="A1780" s="5">
        <v>1719</v>
      </c>
      <c r="B1780" s="1832">
        <f>'Tax Sched 23'!C8</f>
        <v>241312</v>
      </c>
      <c r="D1780" s="2" t="str">
        <f t="shared" si="26"/>
        <v>Error?</v>
      </c>
    </row>
    <row r="1781" spans="1:4" x14ac:dyDescent="0.2">
      <c r="A1781" s="5">
        <v>1720</v>
      </c>
      <c r="B1781" s="1832">
        <f>'Tax Sched 23'!C10</f>
        <v>62002</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187370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49602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6683440</v>
      </c>
      <c r="C1791" s="2" t="s">
        <v>569</v>
      </c>
      <c r="D1791" s="2" t="str">
        <f t="shared" ref="D1791:D1854" si="27">IF(ISBLANK(B1791),"OK",IF(A1791-B1791=0,"OK","Error?"))</f>
        <v>Error?</v>
      </c>
    </row>
    <row r="1792" spans="1:4" x14ac:dyDescent="0.2">
      <c r="A1792" s="5">
        <v>1731</v>
      </c>
      <c r="B1792" s="1832">
        <f>'Tax Sched 23'!F4</f>
        <v>14004097</v>
      </c>
      <c r="C1792" s="2" t="s">
        <v>569</v>
      </c>
      <c r="D1792" s="2" t="str">
        <f t="shared" si="27"/>
        <v>Error?</v>
      </c>
    </row>
    <row r="1793" spans="1:4" x14ac:dyDescent="0.2">
      <c r="A1793" s="5">
        <v>1732</v>
      </c>
      <c r="B1793" s="1832">
        <f>'Tax Sched 23'!F5</f>
        <v>3282211</v>
      </c>
      <c r="C1793" s="2" t="s">
        <v>569</v>
      </c>
      <c r="D1793" s="2" t="str">
        <f t="shared" si="27"/>
        <v>Error?</v>
      </c>
    </row>
    <row r="1794" spans="1:4" x14ac:dyDescent="0.2">
      <c r="A1794" s="5">
        <v>1733</v>
      </c>
      <c r="B1794" s="1832">
        <f>'Tax Sched 23'!F6</f>
        <v>2577629</v>
      </c>
      <c r="C1794" s="2" t="s">
        <v>569</v>
      </c>
      <c r="D1794" s="2" t="str">
        <f t="shared" si="27"/>
        <v>Error?</v>
      </c>
    </row>
    <row r="1795" spans="1:4" x14ac:dyDescent="0.2">
      <c r="A1795" s="5">
        <v>1734</v>
      </c>
      <c r="B1795" s="1832">
        <f>'Tax Sched 23'!F7</f>
        <v>875256</v>
      </c>
      <c r="C1795" s="2" t="s">
        <v>569</v>
      </c>
      <c r="D1795" s="2" t="str">
        <f t="shared" si="27"/>
        <v>Error?</v>
      </c>
    </row>
    <row r="1796" spans="1:4" x14ac:dyDescent="0.2">
      <c r="A1796" s="5">
        <v>1735</v>
      </c>
      <c r="B1796" s="1832">
        <f>'Tax Sched 23'!F8</f>
        <v>851624</v>
      </c>
      <c r="C1796" s="2" t="s">
        <v>569</v>
      </c>
      <c r="D1796" s="2" t="str">
        <f t="shared" si="27"/>
        <v>Error?</v>
      </c>
    </row>
    <row r="1797" spans="1:4" x14ac:dyDescent="0.2">
      <c r="A1797" s="5">
        <v>1736</v>
      </c>
      <c r="B1797" s="1832">
        <f>'Tax Sched 23'!F10</f>
        <v>218814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661256</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175051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23586839</v>
      </c>
      <c r="C1807" s="2" t="s">
        <v>569</v>
      </c>
      <c r="D1807" s="2" t="str">
        <f t="shared" si="27"/>
        <v>Error?</v>
      </c>
    </row>
    <row r="1808" spans="1:4" x14ac:dyDescent="0.2">
      <c r="A1808" s="5">
        <v>1747</v>
      </c>
      <c r="B1808" s="1832">
        <f>'Tax Sched 23'!E4</f>
        <v>17972223</v>
      </c>
      <c r="D1808" s="2" t="str">
        <f t="shared" si="27"/>
        <v>Error?</v>
      </c>
    </row>
    <row r="1809" spans="1:4" x14ac:dyDescent="0.2">
      <c r="A1809" s="5">
        <v>1748</v>
      </c>
      <c r="B1809" s="1832">
        <f>'Tax Sched 23'!E5</f>
        <v>4212240</v>
      </c>
      <c r="D1809" s="2" t="str">
        <f t="shared" si="27"/>
        <v>Error?</v>
      </c>
    </row>
    <row r="1810" spans="1:4" x14ac:dyDescent="0.2">
      <c r="A1810" s="5">
        <v>1749</v>
      </c>
      <c r="B1810" s="1832">
        <f>'Tax Sched 23'!E6</f>
        <v>3308012</v>
      </c>
      <c r="D1810" s="2" t="str">
        <f t="shared" si="27"/>
        <v>Error?</v>
      </c>
    </row>
    <row r="1811" spans="1:4" x14ac:dyDescent="0.2">
      <c r="A1811" s="5">
        <v>1750</v>
      </c>
      <c r="B1811" s="1832">
        <f>'Tax Sched 23'!E7</f>
        <v>1123264</v>
      </c>
      <c r="D1811" s="2" t="str">
        <f t="shared" si="27"/>
        <v>Error?</v>
      </c>
    </row>
    <row r="1812" spans="1:4" x14ac:dyDescent="0.2">
      <c r="A1812" s="5">
        <v>1751</v>
      </c>
      <c r="B1812" s="1832">
        <f>'Tax Sched 23'!E8</f>
        <v>1092936</v>
      </c>
      <c r="D1812" s="2" t="str">
        <f t="shared" si="27"/>
        <v>Error?</v>
      </c>
    </row>
    <row r="1813" spans="1:4" x14ac:dyDescent="0.2">
      <c r="A1813" s="5">
        <v>1752</v>
      </c>
      <c r="B1813" s="1832">
        <f>'Tax Sched 23'!E10</f>
        <v>280816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848626</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224653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30270279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25620000</v>
      </c>
      <c r="C1939" s="2" t="s">
        <v>569</v>
      </c>
      <c r="D1939" s="2" t="str">
        <f t="shared" si="29"/>
        <v>Error?</v>
      </c>
    </row>
    <row r="1940" spans="1:5" x14ac:dyDescent="0.2">
      <c r="A1940" s="5">
        <v>1879</v>
      </c>
      <c r="B1940" s="1832">
        <f>'Short-Term Long-Term Debt 24'!F49</f>
        <v>14700000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222855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222855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222855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2439266</v>
      </c>
      <c r="D2008" s="2" t="str">
        <f t="shared" si="30"/>
        <v>Error?</v>
      </c>
    </row>
    <row r="2009" spans="1:4" x14ac:dyDescent="0.2">
      <c r="A2009" s="5">
        <v>1948</v>
      </c>
      <c r="B2009" s="1832">
        <f>'Cap Outlay Deprec 26'!C8</f>
        <v>79055573</v>
      </c>
      <c r="D2009" s="2" t="str">
        <f t="shared" si="30"/>
        <v>Error?</v>
      </c>
    </row>
    <row r="2010" spans="1:4" x14ac:dyDescent="0.2">
      <c r="A2010" s="5">
        <v>1949</v>
      </c>
      <c r="B2010" s="1832">
        <f>'Cap Outlay Deprec 26'!C10</f>
        <v>3452602</v>
      </c>
      <c r="D2010" s="2" t="str">
        <f t="shared" si="30"/>
        <v>Error?</v>
      </c>
    </row>
    <row r="2011" spans="1:4" x14ac:dyDescent="0.2">
      <c r="A2011" s="5">
        <v>1950</v>
      </c>
      <c r="B2011" s="1832">
        <f>'Cap Outlay Deprec 26'!C12</f>
        <v>3164769</v>
      </c>
      <c r="D2011" s="2" t="str">
        <f t="shared" si="30"/>
        <v>Error?</v>
      </c>
    </row>
    <row r="2012" spans="1:4" x14ac:dyDescent="0.2">
      <c r="A2012" s="5">
        <v>1951</v>
      </c>
      <c r="B2012" s="1832">
        <f>'Cap Outlay Deprec 26'!C13</f>
        <v>626609</v>
      </c>
      <c r="D2012" s="2" t="str">
        <f t="shared" si="30"/>
        <v>Error?</v>
      </c>
    </row>
    <row r="2013" spans="1:4" x14ac:dyDescent="0.2">
      <c r="A2013" s="5">
        <v>1952</v>
      </c>
      <c r="B2013" s="1832">
        <f>'Cap Outlay Deprec 26'!C16</f>
        <v>90059304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1682042</v>
      </c>
      <c r="D2015" s="2" t="str">
        <f t="shared" si="30"/>
        <v>Error?</v>
      </c>
    </row>
    <row r="2016" spans="1:4" x14ac:dyDescent="0.2">
      <c r="A2016" s="5">
        <v>1955</v>
      </c>
      <c r="B2016" s="1832">
        <f>'Cap Outlay Deprec 26'!D10</f>
        <v>1129333</v>
      </c>
      <c r="D2016" s="2" t="str">
        <f t="shared" si="30"/>
        <v>Error?</v>
      </c>
    </row>
    <row r="2017" spans="1:4" x14ac:dyDescent="0.2">
      <c r="A2017" s="5">
        <v>1956</v>
      </c>
      <c r="B2017" s="1832">
        <f>'Cap Outlay Deprec 26'!D12</f>
        <v>190777</v>
      </c>
      <c r="D2017" s="2" t="str">
        <f t="shared" si="30"/>
        <v>Error?</v>
      </c>
    </row>
    <row r="2018" spans="1:4" x14ac:dyDescent="0.2">
      <c r="A2018" s="5">
        <v>1957</v>
      </c>
      <c r="B2018" s="1832">
        <f>'Cap Outlay Deprec 26'!D13</f>
        <v>56425</v>
      </c>
      <c r="D2018" s="2" t="str">
        <f t="shared" si="30"/>
        <v>Error?</v>
      </c>
    </row>
    <row r="2019" spans="1:4" x14ac:dyDescent="0.2">
      <c r="A2019" s="5">
        <v>1958</v>
      </c>
      <c r="B2019" s="1832">
        <f>'Cap Outlay Deprec 26'!D16</f>
        <v>5511189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915878</v>
      </c>
      <c r="C2025" s="2" t="s">
        <v>569</v>
      </c>
      <c r="D2025" s="2" t="str">
        <f t="shared" si="30"/>
        <v>Error?</v>
      </c>
    </row>
    <row r="2026" spans="1:4" x14ac:dyDescent="0.2">
      <c r="A2026" s="5">
        <v>1965</v>
      </c>
      <c r="B2026" s="1832">
        <f>'Cap Outlay Deprec 26'!F5</f>
        <v>2439266</v>
      </c>
      <c r="C2026" s="2" t="s">
        <v>569</v>
      </c>
      <c r="D2026" s="2" t="str">
        <f t="shared" si="30"/>
        <v>Error?</v>
      </c>
    </row>
    <row r="2027" spans="1:4" x14ac:dyDescent="0.2">
      <c r="A2027" s="5">
        <v>1966</v>
      </c>
      <c r="B2027" s="1832">
        <f>'Cap Outlay Deprec 26'!F8</f>
        <v>80737615</v>
      </c>
      <c r="C2027" s="2" t="s">
        <v>569</v>
      </c>
      <c r="D2027" s="2" t="str">
        <f t="shared" si="30"/>
        <v>Error?</v>
      </c>
    </row>
    <row r="2028" spans="1:4" x14ac:dyDescent="0.2">
      <c r="A2028" s="5">
        <v>1967</v>
      </c>
      <c r="B2028" s="1832">
        <f>'Cap Outlay Deprec 26'!F10</f>
        <v>4581935</v>
      </c>
      <c r="C2028" s="2" t="s">
        <v>569</v>
      </c>
      <c r="D2028" s="2" t="str">
        <f t="shared" si="30"/>
        <v>Error?</v>
      </c>
    </row>
    <row r="2029" spans="1:4" x14ac:dyDescent="0.2">
      <c r="A2029" s="5">
        <v>1968</v>
      </c>
      <c r="B2029" s="1832">
        <f>'Cap Outlay Deprec 26'!F12</f>
        <v>3355546</v>
      </c>
      <c r="C2029" s="2" t="s">
        <v>569</v>
      </c>
      <c r="D2029" s="2" t="str">
        <f t="shared" si="30"/>
        <v>Error?</v>
      </c>
    </row>
    <row r="2030" spans="1:4" x14ac:dyDescent="0.2">
      <c r="A2030" s="5">
        <v>1969</v>
      </c>
      <c r="B2030" s="1832">
        <f>'Cap Outlay Deprec 26'!F13</f>
        <v>683034</v>
      </c>
      <c r="C2030" s="2" t="s">
        <v>569</v>
      </c>
      <c r="D2030" s="2" t="str">
        <f t="shared" si="30"/>
        <v>Error?</v>
      </c>
    </row>
    <row r="2031" spans="1:4" x14ac:dyDescent="0.2">
      <c r="A2031" s="5">
        <v>1970</v>
      </c>
      <c r="B2031" s="1832">
        <f>'Cap Outlay Deprec 26'!F16</f>
        <v>94654615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31248788</v>
      </c>
      <c r="D2033" s="2" t="str">
        <f t="shared" si="30"/>
        <v>Error?</v>
      </c>
    </row>
    <row r="2034" spans="1:4" x14ac:dyDescent="0.2">
      <c r="A2034" s="5">
        <v>1973</v>
      </c>
      <c r="B2034" s="1832">
        <f>'Cap Outlay Deprec 26'!H10</f>
        <v>2369596</v>
      </c>
      <c r="D2034" s="2" t="str">
        <f t="shared" si="30"/>
        <v>Error?</v>
      </c>
    </row>
    <row r="2035" spans="1:4" x14ac:dyDescent="0.2">
      <c r="A2035" s="5">
        <v>1974</v>
      </c>
      <c r="B2035" s="1832">
        <f>'Cap Outlay Deprec 26'!H12</f>
        <v>2320316</v>
      </c>
      <c r="D2035" s="2" t="str">
        <f t="shared" si="30"/>
        <v>Error?</v>
      </c>
    </row>
    <row r="2036" spans="1:4" x14ac:dyDescent="0.2">
      <c r="A2036" s="5">
        <v>1975</v>
      </c>
      <c r="B2036" s="1832">
        <f>'Cap Outlay Deprec 26'!H13</f>
        <v>582193</v>
      </c>
      <c r="D2036" s="2" t="str">
        <f t="shared" si="30"/>
        <v>Error?</v>
      </c>
    </row>
    <row r="2037" spans="1:4" x14ac:dyDescent="0.2">
      <c r="A2037" s="5">
        <v>1976</v>
      </c>
      <c r="B2037" s="1832">
        <f>'Cap Outlay Deprec 26'!H16</f>
        <v>36919030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1407508</v>
      </c>
      <c r="D2039" s="2" t="str">
        <f t="shared" si="30"/>
        <v>Error?</v>
      </c>
    </row>
    <row r="2040" spans="1:4" x14ac:dyDescent="0.2">
      <c r="A2040" s="5">
        <v>1979</v>
      </c>
      <c r="B2040" s="1832">
        <f>'Cap Outlay Deprec 26'!I10</f>
        <v>182140</v>
      </c>
      <c r="D2040" s="2" t="str">
        <f t="shared" si="30"/>
        <v>Error?</v>
      </c>
    </row>
    <row r="2041" spans="1:4" x14ac:dyDescent="0.2">
      <c r="A2041" s="5">
        <v>1980</v>
      </c>
      <c r="B2041" s="1832">
        <f>'Cap Outlay Deprec 26'!I12</f>
        <v>138843</v>
      </c>
      <c r="D2041" s="2" t="str">
        <f t="shared" si="30"/>
        <v>Error?</v>
      </c>
    </row>
    <row r="2042" spans="1:4" x14ac:dyDescent="0.2">
      <c r="A2042" s="5">
        <v>1981</v>
      </c>
      <c r="B2042" s="1832">
        <f>'Cap Outlay Deprec 26'!I13</f>
        <v>45639</v>
      </c>
      <c r="D2042" s="2" t="str">
        <f t="shared" si="30"/>
        <v>Error?</v>
      </c>
    </row>
    <row r="2043" spans="1:4" x14ac:dyDescent="0.2">
      <c r="A2043" s="5">
        <v>1982</v>
      </c>
      <c r="B2043" s="1832">
        <f>'Cap Outlay Deprec 26'!I16</f>
        <v>1777365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32656296</v>
      </c>
      <c r="C2051" s="2" t="s">
        <v>569</v>
      </c>
      <c r="D2051" s="2" t="str">
        <f t="shared" si="31"/>
        <v>Error?</v>
      </c>
    </row>
    <row r="2052" spans="1:4" x14ac:dyDescent="0.2">
      <c r="A2052" s="5">
        <v>1991</v>
      </c>
      <c r="B2052" s="1832">
        <f>'Cap Outlay Deprec 26'!K10</f>
        <v>2551736</v>
      </c>
      <c r="C2052" s="2" t="s">
        <v>569</v>
      </c>
      <c r="D2052" s="2" t="str">
        <f t="shared" si="31"/>
        <v>Error?</v>
      </c>
    </row>
    <row r="2053" spans="1:4" x14ac:dyDescent="0.2">
      <c r="A2053" s="5">
        <v>1992</v>
      </c>
      <c r="B2053" s="1832">
        <f>'Cap Outlay Deprec 26'!K12</f>
        <v>2459159</v>
      </c>
      <c r="C2053" s="2" t="s">
        <v>569</v>
      </c>
      <c r="D2053" s="2" t="str">
        <f t="shared" si="31"/>
        <v>Error?</v>
      </c>
    </row>
    <row r="2054" spans="1:4" x14ac:dyDescent="0.2">
      <c r="A2054" s="5">
        <v>1993</v>
      </c>
      <c r="B2054" s="1832">
        <f>'Cap Outlay Deprec 26'!K13</f>
        <v>627832</v>
      </c>
      <c r="C2054" s="2" t="s">
        <v>569</v>
      </c>
      <c r="D2054" s="2" t="str">
        <f t="shared" si="31"/>
        <v>Error?</v>
      </c>
    </row>
    <row r="2055" spans="1:4" x14ac:dyDescent="0.2">
      <c r="A2055" s="5">
        <v>1994</v>
      </c>
      <c r="B2055" s="1832">
        <f>'Cap Outlay Deprec 26'!K16</f>
        <v>38696395</v>
      </c>
      <c r="C2055" s="2" t="s">
        <v>569</v>
      </c>
      <c r="D2055" s="2" t="str">
        <f t="shared" si="31"/>
        <v>Error?</v>
      </c>
    </row>
    <row r="2056" spans="1:4" x14ac:dyDescent="0.2">
      <c r="A2056" s="5">
        <v>1995</v>
      </c>
      <c r="B2056" s="1832">
        <f>'Cap Outlay Deprec 26'!L5</f>
        <v>2439266</v>
      </c>
      <c r="C2056" s="2" t="s">
        <v>569</v>
      </c>
      <c r="D2056" s="2" t="str">
        <f t="shared" si="31"/>
        <v>Error?</v>
      </c>
    </row>
    <row r="2057" spans="1:4" x14ac:dyDescent="0.2">
      <c r="A2057" s="5">
        <v>1996</v>
      </c>
      <c r="B2057" s="1832">
        <f>'Cap Outlay Deprec 26'!L8</f>
        <v>48081319</v>
      </c>
      <c r="C2057" s="2" t="s">
        <v>569</v>
      </c>
      <c r="D2057" s="2" t="str">
        <f t="shared" si="31"/>
        <v>Error?</v>
      </c>
    </row>
    <row r="2058" spans="1:4" x14ac:dyDescent="0.2">
      <c r="A2058" s="5">
        <v>1997</v>
      </c>
      <c r="B2058" s="1832">
        <f>'Cap Outlay Deprec 26'!L10</f>
        <v>2030199</v>
      </c>
      <c r="C2058" s="2" t="s">
        <v>569</v>
      </c>
      <c r="D2058" s="2" t="str">
        <f t="shared" si="31"/>
        <v>Error?</v>
      </c>
    </row>
    <row r="2059" spans="1:4" x14ac:dyDescent="0.2">
      <c r="A2059" s="5">
        <v>1998</v>
      </c>
      <c r="B2059" s="1832">
        <f>'Cap Outlay Deprec 26'!L12</f>
        <v>896387</v>
      </c>
      <c r="C2059" s="2" t="s">
        <v>569</v>
      </c>
      <c r="D2059" s="2" t="str">
        <f t="shared" si="31"/>
        <v>Error?</v>
      </c>
    </row>
    <row r="2060" spans="1:4" x14ac:dyDescent="0.2">
      <c r="A2060" s="5">
        <v>1999</v>
      </c>
      <c r="B2060" s="1832">
        <f>'Cap Outlay Deprec 26'!L13</f>
        <v>55202</v>
      </c>
      <c r="C2060" s="2" t="s">
        <v>569</v>
      </c>
      <c r="D2060" s="2" t="str">
        <f t="shared" si="31"/>
        <v>Error?</v>
      </c>
    </row>
    <row r="2061" spans="1:4" x14ac:dyDescent="0.2">
      <c r="A2061" s="5">
        <v>2000</v>
      </c>
      <c r="B2061" s="1832">
        <f>'Cap Outlay Deprec 26'!L16</f>
        <v>55958220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611465</v>
      </c>
      <c r="C2088" s="2" t="s">
        <v>569</v>
      </c>
      <c r="D2088" s="2" t="str">
        <f t="shared" si="31"/>
        <v>Error?</v>
      </c>
    </row>
    <row r="2089" spans="1:4" x14ac:dyDescent="0.2">
      <c r="A2089" s="5">
        <v>2028</v>
      </c>
      <c r="B2089" s="1832">
        <f>'Expenditures 15-22'!K92</f>
        <v>2135851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318673</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t="e">
        <f>'Assets-Liab 5-6'!#REF!</f>
        <v>#REF!</v>
      </c>
      <c r="D2535" s="2" t="e">
        <f t="shared" si="38"/>
        <v>#REF!</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25738071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29664299</v>
      </c>
      <c r="C2553" s="2" t="s">
        <v>569</v>
      </c>
      <c r="D2553" s="2" t="str">
        <f t="shared" si="38"/>
        <v>Error?</v>
      </c>
    </row>
    <row r="2554" spans="1:4" x14ac:dyDescent="0.2">
      <c r="A2554" s="5">
        <v>2493</v>
      </c>
      <c r="B2554" s="1832">
        <f>'Acct Summary 7-8'!C7</f>
        <v>12027028</v>
      </c>
      <c r="C2554" s="2" t="s">
        <v>569</v>
      </c>
      <c r="D2554" s="2" t="str">
        <f t="shared" si="38"/>
        <v>Error?</v>
      </c>
    </row>
    <row r="2555" spans="1:4" x14ac:dyDescent="0.2">
      <c r="A2555" s="5">
        <v>2494</v>
      </c>
      <c r="B2555" s="1832">
        <f>'Acct Summary 7-8'!C8</f>
        <v>67429398</v>
      </c>
      <c r="C2555" s="2" t="s">
        <v>569</v>
      </c>
      <c r="D2555" s="2" t="str">
        <f t="shared" si="38"/>
        <v>Error?</v>
      </c>
    </row>
    <row r="2556" spans="1:4" x14ac:dyDescent="0.2">
      <c r="A2556" s="5">
        <v>2495</v>
      </c>
      <c r="B2556" s="1832">
        <f>'Acct Summary 7-8'!C12</f>
        <v>43716458</v>
      </c>
      <c r="C2556" s="2" t="s">
        <v>569</v>
      </c>
      <c r="D2556" s="2" t="str">
        <f t="shared" si="38"/>
        <v>Error?</v>
      </c>
    </row>
    <row r="2557" spans="1:4" x14ac:dyDescent="0.2">
      <c r="A2557" s="5">
        <v>2496</v>
      </c>
      <c r="B2557" s="1832">
        <f>'Acct Summary 7-8'!C13</f>
        <v>16915073</v>
      </c>
      <c r="C2557" s="2" t="s">
        <v>569</v>
      </c>
      <c r="D2557" s="2" t="str">
        <f t="shared" si="38"/>
        <v>Error?</v>
      </c>
    </row>
    <row r="2558" spans="1:4" x14ac:dyDescent="0.2">
      <c r="A2558" s="5">
        <v>2497</v>
      </c>
      <c r="B2558" s="1832">
        <f>'Acct Summary 7-8'!C14</f>
        <v>3593284</v>
      </c>
      <c r="C2558" s="2" t="s">
        <v>569</v>
      </c>
      <c r="D2558" s="2" t="str">
        <f t="shared" si="38"/>
        <v>Error?</v>
      </c>
    </row>
    <row r="2559" spans="1:4" x14ac:dyDescent="0.2">
      <c r="A2559" s="5">
        <v>2498</v>
      </c>
      <c r="B2559" s="1832">
        <f>'Acct Summary 7-8'!C15</f>
        <v>2747316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66972131</v>
      </c>
      <c r="C2561" s="2" t="s">
        <v>569</v>
      </c>
      <c r="D2561" s="2" t="str">
        <f t="shared" si="39"/>
        <v>Error?</v>
      </c>
    </row>
    <row r="2562" spans="1:4" x14ac:dyDescent="0.2">
      <c r="A2562" s="5">
        <v>2501</v>
      </c>
      <c r="B2562" s="1832">
        <f>'Acct Summary 7-8'!C20</f>
        <v>457267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4273610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1475000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5748610</v>
      </c>
      <c r="C2568" s="2" t="s">
        <v>569</v>
      </c>
      <c r="D2568" s="2" t="str">
        <f t="shared" si="39"/>
        <v>Error?</v>
      </c>
    </row>
    <row r="2569" spans="1:4" x14ac:dyDescent="0.2">
      <c r="A2569" s="5">
        <v>2508</v>
      </c>
      <c r="B2569" s="1832">
        <f>'Acct Summary 7-8'!D13</f>
        <v>5233581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5233581</v>
      </c>
      <c r="C2573" s="2" t="s">
        <v>569</v>
      </c>
      <c r="D2573" s="2" t="str">
        <f t="shared" si="39"/>
        <v>Error?</v>
      </c>
    </row>
    <row r="2574" spans="1:4" x14ac:dyDescent="0.2">
      <c r="A2574" s="5">
        <v>2513</v>
      </c>
      <c r="B2574" s="1832">
        <f>'Acct Summary 7-8'!D20</f>
        <v>515029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1135560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736908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1872468</v>
      </c>
      <c r="C2595" s="2" t="s">
        <v>569</v>
      </c>
      <c r="D2595" s="2" t="str">
        <f t="shared" si="39"/>
        <v>Error?</v>
      </c>
    </row>
    <row r="2596" spans="1:4" x14ac:dyDescent="0.2">
      <c r="A2596" s="5">
        <v>2535</v>
      </c>
      <c r="B2596" s="1832">
        <f>'Acct Summary 7-8'!F13</f>
        <v>1445370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1445370</v>
      </c>
      <c r="C2600" s="2" t="s">
        <v>569</v>
      </c>
      <c r="D2600" s="2" t="str">
        <f t="shared" si="39"/>
        <v>Error?</v>
      </c>
    </row>
    <row r="2601" spans="1:4" x14ac:dyDescent="0.2">
      <c r="A2601" s="5">
        <v>2540</v>
      </c>
      <c r="B2601" s="1832">
        <f>'Acct Summary 7-8'!F20</f>
        <v>427098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2382216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2382216</v>
      </c>
      <c r="C2606" s="2" t="s">
        <v>569</v>
      </c>
      <c r="D2606" s="2" t="str">
        <f t="shared" si="39"/>
        <v>Error?</v>
      </c>
    </row>
    <row r="2607" spans="1:4" x14ac:dyDescent="0.2">
      <c r="A2607" s="5">
        <v>2546</v>
      </c>
      <c r="B2607" s="1832">
        <f>'Acct Summary 7-8'!G12</f>
        <v>907647</v>
      </c>
      <c r="C2607" s="2" t="s">
        <v>569</v>
      </c>
      <c r="D2607" s="2" t="str">
        <f t="shared" si="39"/>
        <v>Error?</v>
      </c>
    </row>
    <row r="2608" spans="1:4" x14ac:dyDescent="0.2">
      <c r="A2608" s="5">
        <v>2547</v>
      </c>
      <c r="B2608" s="1832">
        <f>'Acct Summary 7-8'!G13</f>
        <v>1241763</v>
      </c>
      <c r="C2608" s="2" t="s">
        <v>569</v>
      </c>
      <c r="D2608" s="2" t="str">
        <f t="shared" si="39"/>
        <v>Error?</v>
      </c>
    </row>
    <row r="2609" spans="1:4" x14ac:dyDescent="0.2">
      <c r="A2609" s="5">
        <v>2548</v>
      </c>
      <c r="B2609" s="1832">
        <f>'Acct Summary 7-8'!G14</f>
        <v>3782</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2153192</v>
      </c>
      <c r="C2612" s="2" t="s">
        <v>569</v>
      </c>
      <c r="D2612" s="2" t="str">
        <f t="shared" si="39"/>
        <v>Error?</v>
      </c>
    </row>
    <row r="2613" spans="1:4" x14ac:dyDescent="0.2">
      <c r="A2613" s="5">
        <v>2552</v>
      </c>
      <c r="B2613" s="1832">
        <f>'Acct Summary 7-8'!G20</f>
        <v>229024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3277345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3277345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3152443</v>
      </c>
      <c r="C2634" s="2" t="s">
        <v>569</v>
      </c>
      <c r="D2634" s="2" t="str">
        <f t="shared" si="40"/>
        <v>Error?</v>
      </c>
    </row>
    <row r="2635" spans="1:4" x14ac:dyDescent="0.2">
      <c r="A2635" s="5">
        <v>2574</v>
      </c>
      <c r="B2635" s="1832">
        <f>'Acct Summary 7-8'!E17</f>
        <v>3152443</v>
      </c>
      <c r="C2635" s="2" t="s">
        <v>569</v>
      </c>
      <c r="D2635" s="2" t="str">
        <f t="shared" si="40"/>
        <v>Error?</v>
      </c>
    </row>
    <row r="2636" spans="1:4" x14ac:dyDescent="0.2">
      <c r="A2636" s="5">
        <v>2575</v>
      </c>
      <c r="B2636" s="1832">
        <f>'Acct Summary 7-8'!E20</f>
        <v>124902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3191685</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3241685</v>
      </c>
      <c r="C2658" s="2" t="s">
        <v>569</v>
      </c>
      <c r="D2658" s="2" t="str">
        <f t="shared" si="40"/>
        <v>Error?</v>
      </c>
    </row>
    <row r="2659" spans="1:4" x14ac:dyDescent="0.2">
      <c r="A2659" s="5">
        <v>2598</v>
      </c>
      <c r="B2659" s="1832">
        <f>'Acct Summary 7-8'!H13</f>
        <v>4436278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4436278</v>
      </c>
      <c r="C2661" s="2" t="s">
        <v>569</v>
      </c>
      <c r="D2661" s="2" t="str">
        <f t="shared" si="40"/>
        <v>Error?</v>
      </c>
    </row>
    <row r="2662" spans="1:4" x14ac:dyDescent="0.2">
      <c r="A2662" s="5">
        <v>2601</v>
      </c>
      <c r="B2662" s="1832">
        <f>'Acct Summary 7-8'!H20</f>
        <v>-1194593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126112</v>
      </c>
      <c r="D2718" s="2" t="str">
        <f t="shared" si="41"/>
        <v>Error?</v>
      </c>
    </row>
    <row r="2719" spans="1:4" x14ac:dyDescent="0.2">
      <c r="A2719" s="5">
        <v>2658</v>
      </c>
      <c r="B2719" s="1832">
        <f>'Expenditures 15-22'!D51</f>
        <v>38198</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164310</v>
      </c>
      <c r="C2724" s="2" t="s">
        <v>569</v>
      </c>
      <c r="D2724" s="2" t="str">
        <f t="shared" si="41"/>
        <v>Error?</v>
      </c>
    </row>
    <row r="2725" spans="1:4" x14ac:dyDescent="0.2">
      <c r="A2725" s="5">
        <v>2664</v>
      </c>
      <c r="B2725" s="1832">
        <f>'Expenditures 15-22'!D247</f>
        <v>312</v>
      </c>
      <c r="D2725" s="2" t="str">
        <f t="shared" si="41"/>
        <v>Error?</v>
      </c>
    </row>
    <row r="2726" spans="1:4" x14ac:dyDescent="0.2">
      <c r="A2726" s="5">
        <v>2665</v>
      </c>
      <c r="B2726" s="1832">
        <f>'Expenditures 15-22'!K247</f>
        <v>312</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611465</v>
      </c>
      <c r="C2789" s="2" t="s">
        <v>569</v>
      </c>
      <c r="D2789" s="2" t="str">
        <f t="shared" si="42"/>
        <v>Error?</v>
      </c>
    </row>
    <row r="2790" spans="1:4" x14ac:dyDescent="0.2">
      <c r="A2790" s="5">
        <v>2729</v>
      </c>
      <c r="B2790" s="1832">
        <f>'Expenditures 15-22'!E102</f>
        <v>611465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2452612</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328851</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4676261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5005112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707647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266849</v>
      </c>
      <c r="D2908" s="2" t="str">
        <f t="shared" si="44"/>
        <v>Error?</v>
      </c>
    </row>
    <row r="2909" spans="1:4" x14ac:dyDescent="0.2">
      <c r="A2909" s="10">
        <v>2848</v>
      </c>
      <c r="B2909" s="1832"/>
      <c r="D2909" s="2" t="str">
        <f t="shared" si="44"/>
        <v>OK</v>
      </c>
    </row>
    <row r="2910" spans="1:4" x14ac:dyDescent="0.2">
      <c r="A2910" s="5">
        <v>2849</v>
      </c>
      <c r="B2910" s="1832">
        <f>'Assets-Liab 5-6'!I34</f>
        <v>266849</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4738263</v>
      </c>
      <c r="D2912" s="2" t="str">
        <f t="shared" si="44"/>
        <v>Error?</v>
      </c>
    </row>
    <row r="2913" spans="1:4" x14ac:dyDescent="0.2">
      <c r="A2913" s="5">
        <v>2852</v>
      </c>
      <c r="B2913" s="1832">
        <f>'Assets-Liab 5-6'!I41</f>
        <v>5005112</v>
      </c>
      <c r="C2913" s="2" t="s">
        <v>569</v>
      </c>
      <c r="D2913" s="2" t="str">
        <f t="shared" si="44"/>
        <v>Error?</v>
      </c>
    </row>
    <row r="2914" spans="1:4" x14ac:dyDescent="0.2">
      <c r="A2914" s="5">
        <v>2853</v>
      </c>
      <c r="B2914" s="1832">
        <f>'Assets-Liab 5-6'!L33</f>
        <v>707647</v>
      </c>
      <c r="D2914" s="2" t="str">
        <f t="shared" si="44"/>
        <v>Error?</v>
      </c>
    </row>
    <row r="2915" spans="1:4" x14ac:dyDescent="0.2">
      <c r="A2915" s="10">
        <v>2854</v>
      </c>
      <c r="B2915" s="1832"/>
      <c r="D2915" s="2" t="str">
        <f t="shared" si="44"/>
        <v>OK</v>
      </c>
    </row>
    <row r="2916" spans="1:4" x14ac:dyDescent="0.2">
      <c r="A2916" s="5">
        <v>2855</v>
      </c>
      <c r="B2916" s="1832">
        <f>'Assets-Liab 5-6'!L34</f>
        <v>707647</v>
      </c>
      <c r="C2916" s="2" t="s">
        <v>569</v>
      </c>
      <c r="D2916" s="2" t="str">
        <f t="shared" si="44"/>
        <v>Error?</v>
      </c>
    </row>
    <row r="2917" spans="1:4" x14ac:dyDescent="0.2">
      <c r="A2917" s="5">
        <v>2856</v>
      </c>
      <c r="B2917" s="1832">
        <f>'Assets-Liab 5-6'!L41</f>
        <v>707647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602900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8565</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602900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8565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584467</v>
      </c>
      <c r="D3055" s="2" t="str">
        <f t="shared" si="46"/>
        <v>Error?</v>
      </c>
    </row>
    <row r="3056" spans="1:4" x14ac:dyDescent="0.2">
      <c r="A3056" s="5">
        <v>2995</v>
      </c>
      <c r="B3056" s="1832">
        <f>'Expenditures 15-22'!D10</f>
        <v>187920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891270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1731735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1353</v>
      </c>
      <c r="D3064" s="2" t="str">
        <f t="shared" si="46"/>
        <v>Error?</v>
      </c>
    </row>
    <row r="3065" spans="1:4" x14ac:dyDescent="0.2">
      <c r="A3065" s="5">
        <v>3004</v>
      </c>
      <c r="B3065" s="1832">
        <f>'Expenditures 15-22'!K219</f>
        <v>1353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278812</v>
      </c>
      <c r="C3225" s="2" t="s">
        <v>569</v>
      </c>
      <c r="D3225" s="2" t="str">
        <f t="shared" si="49"/>
        <v>Error?</v>
      </c>
    </row>
    <row r="3226" spans="1:4" x14ac:dyDescent="0.2">
      <c r="A3226" s="5">
        <v>3165</v>
      </c>
      <c r="B3226" s="1832">
        <f>'Acct Summary 7-8'!I8</f>
        <v>278812</v>
      </c>
      <c r="C3226" s="2" t="s">
        <v>569</v>
      </c>
      <c r="D3226" s="2" t="str">
        <f t="shared" si="49"/>
        <v>Error?</v>
      </c>
    </row>
    <row r="3227" spans="1:4" x14ac:dyDescent="0.2">
      <c r="A3227" s="5">
        <v>3166</v>
      </c>
      <c r="B3227" s="1832">
        <f>'Acct Summary 7-8'!I20</f>
        <v>278812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457267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515029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427098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229024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124902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17199002</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17199002</v>
      </c>
      <c r="C3299" s="2" t="s">
        <v>569</v>
      </c>
      <c r="D3299" s="2" t="str">
        <f t="shared" si="50"/>
        <v>Error?</v>
      </c>
    </row>
    <row r="3300" spans="1:4" x14ac:dyDescent="0.2">
      <c r="A3300" s="5">
        <v>3239</v>
      </c>
      <c r="B3300" s="1832">
        <f>'Acct Summary 7-8'!H78</f>
        <v>16004409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278812</v>
      </c>
      <c r="C3320" s="2" t="s">
        <v>569</v>
      </c>
      <c r="D3320" s="2" t="str">
        <f t="shared" si="50"/>
        <v>Error?</v>
      </c>
    </row>
    <row r="3321" spans="1:4" x14ac:dyDescent="0.2">
      <c r="A3321" s="5">
        <v>3260</v>
      </c>
      <c r="B3321" s="1832">
        <f>'Acct Summary 7-8'!I79</f>
        <v>4459451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4738263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7270919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1679869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12422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9572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8972782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346946</v>
      </c>
      <c r="D3387" s="2" t="str">
        <f t="shared" si="51"/>
        <v>Error?</v>
      </c>
    </row>
    <row r="3388" spans="1:4" x14ac:dyDescent="0.2">
      <c r="A3388" s="5">
        <v>3327</v>
      </c>
      <c r="B3388" s="1832">
        <f>'Expenditures 15-22'!D217</f>
        <v>416355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346946</v>
      </c>
      <c r="C3390" s="2" t="s">
        <v>569</v>
      </c>
      <c r="D3390" s="2" t="str">
        <f t="shared" si="51"/>
        <v>Error?</v>
      </c>
    </row>
    <row r="3391" spans="1:4" x14ac:dyDescent="0.2">
      <c r="A3391" s="5">
        <v>3330</v>
      </c>
      <c r="B3391" s="1832">
        <f>'Expenditures 15-22'!K217</f>
        <v>416355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198234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5869317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1214048</v>
      </c>
      <c r="D3417" s="2" t="str">
        <f t="shared" si="52"/>
        <v>Error?</v>
      </c>
    </row>
    <row r="3418" spans="1:4" x14ac:dyDescent="0.2">
      <c r="A3418" s="10">
        <v>3357</v>
      </c>
      <c r="B3418" s="1832"/>
      <c r="D3418" s="2" t="str">
        <f t="shared" si="52"/>
        <v>OK</v>
      </c>
    </row>
    <row r="3419" spans="1:4" x14ac:dyDescent="0.2">
      <c r="A3419" s="5">
        <v>3358</v>
      </c>
      <c r="B3419" s="1832">
        <f>'Assets-Liab 5-6'!F4</f>
        <v>2944522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1420087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1315638</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707647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1222187</v>
      </c>
      <c r="C3446" s="2" t="s">
        <v>569</v>
      </c>
      <c r="D3446" s="2" t="str">
        <f t="shared" si="52"/>
        <v>Error?</v>
      </c>
    </row>
    <row r="3447" spans="1:4" x14ac:dyDescent="0.2">
      <c r="A3447" s="5">
        <v>3386</v>
      </c>
      <c r="B3447" s="1832">
        <f>'Tax Sched 23'!D16</f>
        <v>955579</v>
      </c>
      <c r="C3447" s="2" t="s">
        <v>569</v>
      </c>
      <c r="D3447" s="2" t="str">
        <f t="shared" si="52"/>
        <v>Error?</v>
      </c>
    </row>
    <row r="3448" spans="1:4" x14ac:dyDescent="0.2">
      <c r="A3448" s="5">
        <v>3387</v>
      </c>
      <c r="B3448" s="1832">
        <f>'Tax Sched 23'!C16</f>
        <v>266608</v>
      </c>
      <c r="D3448" s="2" t="str">
        <f t="shared" si="52"/>
        <v>Error?</v>
      </c>
    </row>
    <row r="3449" spans="1:4" x14ac:dyDescent="0.2">
      <c r="A3449" s="5">
        <v>3388</v>
      </c>
      <c r="B3449" s="1832">
        <f>'Tax Sched 23'!F16</f>
        <v>940901</v>
      </c>
      <c r="C3449" s="2" t="s">
        <v>569</v>
      </c>
      <c r="D3449" s="2" t="str">
        <f t="shared" si="52"/>
        <v>Error?</v>
      </c>
    </row>
    <row r="3450" spans="1:4" x14ac:dyDescent="0.2">
      <c r="A3450" s="5">
        <v>3389</v>
      </c>
      <c r="B3450" s="1832">
        <f>'Tax Sched 23'!E16</f>
        <v>1207509</v>
      </c>
      <c r="D3450" s="2" t="str">
        <f t="shared" si="52"/>
        <v>Error?</v>
      </c>
    </row>
    <row r="3451" spans="1:4" x14ac:dyDescent="0.2">
      <c r="A3451" s="5">
        <v>3390</v>
      </c>
      <c r="B3451" s="1832">
        <f>'Cap Outlay Deprec 26'!C15</f>
        <v>915878</v>
      </c>
      <c r="D3451" s="2" t="str">
        <f t="shared" si="52"/>
        <v>Error?</v>
      </c>
    </row>
    <row r="3452" spans="1:4" x14ac:dyDescent="0.2">
      <c r="A3452" s="5">
        <v>3391</v>
      </c>
      <c r="B3452" s="1832">
        <f>'Cap Outlay Deprec 26'!D15</f>
        <v>2452612</v>
      </c>
      <c r="D3452" s="2" t="str">
        <f t="shared" si="52"/>
        <v>Error?</v>
      </c>
    </row>
    <row r="3453" spans="1:4" x14ac:dyDescent="0.2">
      <c r="A3453" s="5">
        <v>3392</v>
      </c>
      <c r="B3453" s="1832">
        <f>'Cap Outlay Deprec 26'!E15</f>
        <v>915878</v>
      </c>
      <c r="D3453" s="2" t="str">
        <f t="shared" si="52"/>
        <v>Error?</v>
      </c>
    </row>
    <row r="3454" spans="1:4" x14ac:dyDescent="0.2">
      <c r="A3454" s="5">
        <v>3393</v>
      </c>
      <c r="B3454" s="1832">
        <f>'Cap Outlay Deprec 26'!F15</f>
        <v>2452612</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2452612</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179101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179101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179101</v>
      </c>
      <c r="D3567" s="2" t="str">
        <f t="shared" si="54"/>
        <v>Error?</v>
      </c>
    </row>
    <row r="3568" spans="1:4" x14ac:dyDescent="0.2">
      <c r="A3568" s="5">
        <v>3507</v>
      </c>
      <c r="B3568" s="1832">
        <f>'Assets-Liab 5-6'!K41</f>
        <v>179101</v>
      </c>
      <c r="C3568" s="2" t="s">
        <v>569</v>
      </c>
      <c r="D3568" s="2" t="str">
        <f t="shared" si="54"/>
        <v>Error?</v>
      </c>
    </row>
    <row r="3569" spans="1:4" x14ac:dyDescent="0.2">
      <c r="A3569" s="5">
        <v>3508</v>
      </c>
      <c r="B3569" s="1832">
        <f>'Acct Summary 7-8'!K4</f>
        <v>2098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2098</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2098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2098</v>
      </c>
      <c r="C3588" s="2" t="s">
        <v>569</v>
      </c>
      <c r="D3588" s="2" t="str">
        <f t="shared" si="55"/>
        <v>Error?</v>
      </c>
    </row>
    <row r="3589" spans="1:4" x14ac:dyDescent="0.2">
      <c r="A3589" s="5">
        <v>3528</v>
      </c>
      <c r="B3589" s="1832">
        <f>'Acct Summary 7-8'!K79</f>
        <v>177003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179101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2098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31827193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99256591</v>
      </c>
      <c r="C4122" s="2" t="s">
        <v>569</v>
      </c>
      <c r="D4122" s="2" t="str">
        <f t="shared" si="63"/>
        <v>Error?</v>
      </c>
    </row>
    <row r="4123" spans="1:4" x14ac:dyDescent="0.2">
      <c r="A4123" s="5">
        <v>4062</v>
      </c>
      <c r="B4123" s="1832">
        <f>'Acct Summary 7-8'!D10</f>
        <v>5748610</v>
      </c>
      <c r="C4123" s="2" t="s">
        <v>569</v>
      </c>
      <c r="D4123" s="2" t="str">
        <f t="shared" si="63"/>
        <v>Error?</v>
      </c>
    </row>
    <row r="4124" spans="1:4" x14ac:dyDescent="0.2">
      <c r="A4124" s="5">
        <v>4063</v>
      </c>
      <c r="B4124" s="1832">
        <f>'Acct Summary 7-8'!E10</f>
        <v>3277345</v>
      </c>
      <c r="C4124" s="2" t="s">
        <v>569</v>
      </c>
      <c r="D4124" s="2" t="str">
        <f t="shared" si="63"/>
        <v>Error?</v>
      </c>
    </row>
    <row r="4125" spans="1:4" x14ac:dyDescent="0.2">
      <c r="A4125" s="5">
        <v>4064</v>
      </c>
      <c r="B4125" s="1832">
        <f>'Acct Summary 7-8'!F10</f>
        <v>1872468</v>
      </c>
      <c r="C4125" s="2" t="s">
        <v>569</v>
      </c>
      <c r="D4125" s="2" t="str">
        <f t="shared" si="63"/>
        <v>Error?</v>
      </c>
    </row>
    <row r="4126" spans="1:4" x14ac:dyDescent="0.2">
      <c r="A4126" s="5">
        <v>4065</v>
      </c>
      <c r="B4126" s="1832">
        <f>'Acct Summary 7-8'!G10</f>
        <v>2382216</v>
      </c>
      <c r="C4126" s="2" t="s">
        <v>569</v>
      </c>
      <c r="D4126" s="2" t="str">
        <f t="shared" si="63"/>
        <v>Error?</v>
      </c>
    </row>
    <row r="4127" spans="1:4" x14ac:dyDescent="0.2">
      <c r="A4127" s="5">
        <v>4066</v>
      </c>
      <c r="B4127" s="1832">
        <f>'Acct Summary 7-8'!H10</f>
        <v>3241685</v>
      </c>
      <c r="C4127" s="2" t="s">
        <v>569</v>
      </c>
      <c r="D4127" s="2" t="str">
        <f t="shared" si="63"/>
        <v>Error?</v>
      </c>
    </row>
    <row r="4128" spans="1:4" x14ac:dyDescent="0.2">
      <c r="A4128" s="5">
        <v>4067</v>
      </c>
      <c r="B4128" s="1832">
        <f>'Acct Summary 7-8'!I10</f>
        <v>278812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2098</v>
      </c>
      <c r="C4130" s="2" t="s">
        <v>569</v>
      </c>
      <c r="D4130" s="2" t="str">
        <f t="shared" si="63"/>
        <v>Error?</v>
      </c>
    </row>
    <row r="4131" spans="1:4" x14ac:dyDescent="0.2">
      <c r="A4131" s="5">
        <v>4070</v>
      </c>
      <c r="B4131" s="1832">
        <f>'Acct Summary 7-8'!C18</f>
        <v>31827193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98799324</v>
      </c>
      <c r="C4136" s="2" t="s">
        <v>569</v>
      </c>
      <c r="D4136" s="2" t="str">
        <f t="shared" si="63"/>
        <v>Error?</v>
      </c>
    </row>
    <row r="4137" spans="1:4" x14ac:dyDescent="0.2">
      <c r="A4137" s="5">
        <v>4076</v>
      </c>
      <c r="B4137" s="1832">
        <f>'Acct Summary 7-8'!D19</f>
        <v>5233581</v>
      </c>
      <c r="C4137" s="2" t="s">
        <v>569</v>
      </c>
      <c r="D4137" s="2" t="str">
        <f t="shared" si="63"/>
        <v>Error?</v>
      </c>
    </row>
    <row r="4138" spans="1:4" x14ac:dyDescent="0.2">
      <c r="A4138" s="5">
        <v>4077</v>
      </c>
      <c r="B4138" s="1832">
        <f>'Acct Summary 7-8'!E19</f>
        <v>3152443</v>
      </c>
      <c r="C4138" s="2" t="s">
        <v>569</v>
      </c>
      <c r="D4138" s="2" t="str">
        <f t="shared" si="63"/>
        <v>Error?</v>
      </c>
    </row>
    <row r="4139" spans="1:4" x14ac:dyDescent="0.2">
      <c r="A4139" s="5">
        <v>4078</v>
      </c>
      <c r="B4139" s="1832">
        <f>'Acct Summary 7-8'!F19</f>
        <v>1445370</v>
      </c>
      <c r="C4139" s="2" t="s">
        <v>569</v>
      </c>
      <c r="D4139" s="2" t="str">
        <f t="shared" si="63"/>
        <v>Error?</v>
      </c>
    </row>
    <row r="4140" spans="1:4" x14ac:dyDescent="0.2">
      <c r="A4140" s="5">
        <v>4079</v>
      </c>
      <c r="B4140" s="1832">
        <f>'Acct Summary 7-8'!G19</f>
        <v>2153192</v>
      </c>
      <c r="C4140" s="2" t="s">
        <v>569</v>
      </c>
      <c r="D4140" s="2" t="str">
        <f t="shared" si="63"/>
        <v>Error?</v>
      </c>
    </row>
    <row r="4141" spans="1:4" x14ac:dyDescent="0.2">
      <c r="A4141" s="5">
        <v>4080</v>
      </c>
      <c r="B4141" s="1832">
        <f>'Acct Summary 7-8'!H19</f>
        <v>4436278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38150000</v>
      </c>
      <c r="C4171" s="2" t="s">
        <v>569</v>
      </c>
      <c r="D4171" s="2" t="str">
        <f t="shared" si="64"/>
        <v>Error?</v>
      </c>
    </row>
    <row r="4172" spans="1:4" x14ac:dyDescent="0.2">
      <c r="A4172" s="5">
        <v>4111</v>
      </c>
      <c r="B4172" s="1832">
        <f>'Short-Term Long-Term Debt 24'!J49</f>
        <v>36229490</v>
      </c>
      <c r="C4172" s="2" t="s">
        <v>569</v>
      </c>
      <c r="D4172" s="2" t="str">
        <f t="shared" si="64"/>
        <v>Error?</v>
      </c>
    </row>
    <row r="4173" spans="1:4" x14ac:dyDescent="0.2">
      <c r="A4173" s="5">
        <v>4112</v>
      </c>
      <c r="B4173" s="1832">
        <f>'Short-Term Long-Term Debt 24'!H49</f>
        <v>2170000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3200</v>
      </c>
      <c r="C4265" s="2" t="s">
        <v>569</v>
      </c>
      <c r="D4265" s="2" t="str">
        <f t="shared" si="65"/>
        <v>Error?</v>
      </c>
      <c r="E4265" s="125"/>
    </row>
    <row r="4266" spans="1:5" x14ac:dyDescent="0.2">
      <c r="A4266" s="12">
        <v>4205</v>
      </c>
      <c r="B4266" s="1832">
        <f>('FP Info 3'!F10)*100000</f>
        <v>750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4150</v>
      </c>
      <c r="C4268" s="2" t="s">
        <v>569</v>
      </c>
      <c r="D4268" s="2" t="str">
        <f t="shared" si="65"/>
        <v>Error?</v>
      </c>
    </row>
    <row r="4269" spans="1:5" x14ac:dyDescent="0.2">
      <c r="A4269" s="12">
        <v>4208</v>
      </c>
      <c r="B4269" s="1832">
        <f>'FP Info 3'!J16</f>
        <v>40595564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91975</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190680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240693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334747</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454115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54586</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408600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41000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-8631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50000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30418</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561631980</v>
      </c>
      <c r="D4995" s="2" t="str">
        <f t="shared" si="77"/>
        <v>Error?</v>
      </c>
    </row>
    <row r="4996" spans="1:4" x14ac:dyDescent="0.2">
      <c r="A4996" s="12">
        <v>4935</v>
      </c>
      <c r="B4996" s="1832">
        <f>'FP Info 3'!H31</f>
        <v>77505213.24000001</v>
      </c>
      <c r="D4996" s="2" t="str">
        <f t="shared" si="77"/>
        <v>Error?</v>
      </c>
    </row>
    <row r="4997" spans="1:4" x14ac:dyDescent="0.2">
      <c r="A4997" s="12">
        <v>4936</v>
      </c>
      <c r="B4997" s="1832">
        <f>'FP Info 3'!H37</f>
        <v>38150000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18851933</v>
      </c>
      <c r="D5061" s="2" t="str">
        <f t="shared" si="78"/>
        <v>Error?</v>
      </c>
    </row>
    <row r="5062" spans="1:4" x14ac:dyDescent="0.2">
      <c r="A5062" s="10">
        <v>5001</v>
      </c>
      <c r="B5062" s="1832"/>
      <c r="D5062" s="2" t="str">
        <f t="shared" si="78"/>
        <v>OK</v>
      </c>
    </row>
    <row r="5063" spans="1:4" x14ac:dyDescent="0.2">
      <c r="A5063" s="5">
        <v>5002</v>
      </c>
      <c r="B5063" s="1832">
        <f>'Revenues 9-14'!C7</f>
        <v>222855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19074788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4953148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4953148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303795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303795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868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1446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54761</v>
      </c>
      <c r="C5096" s="2" t="s">
        <v>569</v>
      </c>
      <c r="D5096" s="2" t="str">
        <f t="shared" si="78"/>
        <v>Error?</v>
      </c>
    </row>
    <row r="5097" spans="1:4" x14ac:dyDescent="0.2">
      <c r="A5097" s="5">
        <v>5036</v>
      </c>
      <c r="B5097" s="1832">
        <f>'Revenues 9-14'!C77</f>
        <v>137561</v>
      </c>
      <c r="D5097" s="2" t="str">
        <f t="shared" si="78"/>
        <v>Error?</v>
      </c>
    </row>
    <row r="5098" spans="1:4" x14ac:dyDescent="0.2">
      <c r="A5098" s="5">
        <v>5037</v>
      </c>
      <c r="B5098" s="1832">
        <f>'Revenues 9-14'!C78</f>
        <v>22313</v>
      </c>
      <c r="D5098" s="2" t="str">
        <f t="shared" si="78"/>
        <v>Error?</v>
      </c>
    </row>
    <row r="5099" spans="1:4" x14ac:dyDescent="0.2">
      <c r="A5099" s="5">
        <v>5038</v>
      </c>
      <c r="B5099" s="1832">
        <f>'Revenues 9-14'!C79</f>
        <v>2445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162319</v>
      </c>
      <c r="C5102" s="2" t="s">
        <v>569</v>
      </c>
      <c r="D5102" s="2" t="str">
        <f t="shared" si="78"/>
        <v>Error?</v>
      </c>
    </row>
    <row r="5103" spans="1:4" x14ac:dyDescent="0.2">
      <c r="A5103" s="5">
        <v>5042</v>
      </c>
      <c r="B5103" s="1832">
        <f>'Revenues 9-14'!C84</f>
        <v>92411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92411</v>
      </c>
      <c r="C5112" s="2" t="s">
        <v>569</v>
      </c>
      <c r="D5112" s="2" t="str">
        <f t="shared" si="78"/>
        <v>Error?</v>
      </c>
    </row>
    <row r="5113" spans="1:4" x14ac:dyDescent="0.2">
      <c r="A5113" s="5">
        <v>5052</v>
      </c>
      <c r="B5113" s="1832">
        <f>'Revenues 9-14'!C95</f>
        <v>178085</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877764</v>
      </c>
      <c r="D5119" s="2" t="str">
        <f t="shared" ref="D5119:D5182" si="79">IF(ISBLANK(B5119),"OK",IF(A5119-B5119=0,"OK","Error?"))</f>
        <v>Error?</v>
      </c>
    </row>
    <row r="5120" spans="1:4" x14ac:dyDescent="0.2">
      <c r="A5120" s="5">
        <v>5059</v>
      </c>
      <c r="B5120" s="1832">
        <f>'Revenues 9-14'!C108</f>
        <v>1096849</v>
      </c>
      <c r="C5120" s="2" t="s">
        <v>569</v>
      </c>
      <c r="D5120" s="2" t="str">
        <f t="shared" si="79"/>
        <v>Error?</v>
      </c>
    </row>
    <row r="5121" spans="1:4" x14ac:dyDescent="0.2">
      <c r="A5121" s="5">
        <v>5060</v>
      </c>
      <c r="B5121" s="1832">
        <f>'Revenues 9-14'!C109</f>
        <v>25738071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28959438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28959438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59704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59704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62116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62116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47304</v>
      </c>
      <c r="D5167" s="2" t="str">
        <f t="shared" si="79"/>
        <v>Error?</v>
      </c>
    </row>
    <row r="5168" spans="1:4" x14ac:dyDescent="0.2">
      <c r="A5168" s="5">
        <v>5107</v>
      </c>
      <c r="B5168" s="1832">
        <f>'Revenues 9-14'!C148</f>
        <v>53404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490964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704861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29664299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2727960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2727960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2052400</v>
      </c>
      <c r="D5239" s="2" t="str">
        <f t="shared" si="80"/>
        <v>Error?</v>
      </c>
    </row>
    <row r="5240" spans="1:4" x14ac:dyDescent="0.2">
      <c r="A5240" s="5">
        <v>5179</v>
      </c>
      <c r="B5240" s="1832">
        <f>'Revenues 9-14'!C192</f>
        <v>1524</v>
      </c>
      <c r="D5240" s="2" t="str">
        <f t="shared" si="80"/>
        <v>Error?</v>
      </c>
    </row>
    <row r="5241" spans="1:4" x14ac:dyDescent="0.2">
      <c r="A5241" s="5">
        <v>5180</v>
      </c>
      <c r="B5241" s="1832">
        <f>'Revenues 9-14'!C193</f>
        <v>621371</v>
      </c>
      <c r="D5241" s="2" t="str">
        <f t="shared" si="80"/>
        <v>Error?</v>
      </c>
    </row>
    <row r="5242" spans="1:4" x14ac:dyDescent="0.2">
      <c r="A5242" s="5">
        <v>5181</v>
      </c>
      <c r="B5242" s="1832">
        <f>'Revenues 9-14'!C194</f>
        <v>464163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3194250</v>
      </c>
      <c r="C5246" s="2" t="s">
        <v>569</v>
      </c>
      <c r="D5246" s="2" t="str">
        <f t="shared" si="80"/>
        <v>Error?</v>
      </c>
    </row>
    <row r="5247" spans="1:4" x14ac:dyDescent="0.2">
      <c r="A5247" s="5">
        <v>5186</v>
      </c>
      <c r="B5247" s="1832">
        <f>'Revenues 9-14'!C200</f>
        <v>2885032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119368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2977007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54491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1665734</v>
      </c>
      <c r="D5278" s="2" t="str">
        <f t="shared" si="81"/>
        <v>Error?</v>
      </c>
    </row>
    <row r="5279" spans="1:4" x14ac:dyDescent="0.2">
      <c r="A5279" s="5">
        <v>5218</v>
      </c>
      <c r="B5279" s="1832">
        <f>'Revenues 9-14'!C214</f>
        <v>19028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1739253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9466</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9299068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12027028</v>
      </c>
      <c r="C5326" s="2" t="s">
        <v>569</v>
      </c>
      <c r="D5326" s="2" t="str">
        <f t="shared" si="82"/>
        <v>Error?</v>
      </c>
    </row>
    <row r="5327" spans="1:5" x14ac:dyDescent="0.2">
      <c r="A5327" s="5">
        <v>5266</v>
      </c>
      <c r="B5327" s="1832">
        <f>'Revenues 9-14'!C268</f>
        <v>67429398</v>
      </c>
      <c r="C5327" s="2" t="s">
        <v>569</v>
      </c>
      <c r="D5327" s="2" t="str">
        <f t="shared" si="82"/>
        <v>Error?</v>
      </c>
    </row>
    <row r="5328" spans="1:5" x14ac:dyDescent="0.2">
      <c r="A5328" s="5">
        <v>5267</v>
      </c>
      <c r="B5328" s="1832">
        <f>'Revenues 9-14'!D5</f>
        <v>4178529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4178529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69118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69118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330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25633</v>
      </c>
      <c r="D5354" s="2" t="str">
        <f t="shared" si="82"/>
        <v>Error?</v>
      </c>
    </row>
    <row r="5355" spans="1:4" x14ac:dyDescent="0.2">
      <c r="A5355" s="5">
        <v>5294</v>
      </c>
      <c r="B5355" s="1832">
        <f>'Revenues 9-14'!D108</f>
        <v>25963</v>
      </c>
      <c r="C5355" s="2" t="s">
        <v>569</v>
      </c>
      <c r="D5355" s="2" t="str">
        <f t="shared" si="82"/>
        <v>Error?</v>
      </c>
    </row>
    <row r="5356" spans="1:4" x14ac:dyDescent="0.2">
      <c r="A5356" s="5">
        <v>5295</v>
      </c>
      <c r="B5356" s="1832">
        <f>'Revenues 9-14'!D109</f>
        <v>4273610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1475000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1475000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1475000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5748610</v>
      </c>
      <c r="C5508" s="2" t="s">
        <v>569</v>
      </c>
      <c r="D5508" s="2" t="str">
        <f t="shared" si="85"/>
        <v>Error?</v>
      </c>
    </row>
    <row r="5509" spans="1:4" x14ac:dyDescent="0.2">
      <c r="A5509" s="5">
        <v>5448</v>
      </c>
      <c r="B5509" s="1832">
        <f>'Revenues 9-14'!E5</f>
        <v>3252725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3252725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24620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24620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3277345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3277345</v>
      </c>
      <c r="C5552" s="2" t="s">
        <v>569</v>
      </c>
      <c r="D5552" s="2" t="str">
        <f t="shared" si="85"/>
        <v>Error?</v>
      </c>
    </row>
    <row r="5553" spans="1:4" x14ac:dyDescent="0.2">
      <c r="A5553" s="5">
        <v>5492</v>
      </c>
      <c r="B5553" s="1832">
        <f>'Revenues 9-14'!F5</f>
        <v>1099371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1099371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36189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36189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1135560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736908</v>
      </c>
      <c r="D5617" s="2" t="str">
        <f t="shared" si="86"/>
        <v>Error?</v>
      </c>
    </row>
    <row r="5618" spans="1:5" x14ac:dyDescent="0.2">
      <c r="A5618" s="5">
        <v>5557</v>
      </c>
      <c r="B5618" s="1832">
        <f>'Revenues 9-14'!F155</f>
        <v>736908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736908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736908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1872468</v>
      </c>
      <c r="C5720" s="2" t="s">
        <v>569</v>
      </c>
      <c r="D5720" s="2" t="str">
        <f t="shared" si="88"/>
        <v>Error?</v>
      </c>
    </row>
    <row r="5721" spans="1:4" x14ac:dyDescent="0.2">
      <c r="A5721" s="5">
        <v>5660</v>
      </c>
      <c r="B5721" s="1832">
        <f>'Revenues 9-14'!G5</f>
        <v>1069782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1222187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2291969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75000</v>
      </c>
      <c r="C5730" s="2" t="s">
        <v>569</v>
      </c>
      <c r="D5730" s="2" t="str">
        <f t="shared" si="88"/>
        <v>Error?</v>
      </c>
    </row>
    <row r="5731" spans="1:4" x14ac:dyDescent="0.2">
      <c r="A5731" s="5">
        <v>5670</v>
      </c>
      <c r="B5731" s="1832">
        <f>'Revenues 9-14'!G65</f>
        <v>15247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15247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2382216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34135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34135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3157550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3241685</v>
      </c>
      <c r="C5915" s="2" t="s">
        <v>569</v>
      </c>
      <c r="D5915" s="2" t="str">
        <f t="shared" si="91"/>
        <v>Error?</v>
      </c>
    </row>
    <row r="5916" spans="1:4" x14ac:dyDescent="0.2">
      <c r="A5916" s="5">
        <v>5855</v>
      </c>
      <c r="B5916" s="1832">
        <f>'Revenues 9-14'!I5</f>
        <v>278569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278569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243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243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278812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2098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2098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2098</v>
      </c>
      <c r="C6023" s="2" t="s">
        <v>569</v>
      </c>
      <c r="D6023" s="2" t="str">
        <f t="shared" si="93"/>
        <v>Error?</v>
      </c>
    </row>
    <row r="6024" spans="1:5" x14ac:dyDescent="0.2">
      <c r="A6024" s="5">
        <v>5963</v>
      </c>
      <c r="B6024" s="1832">
        <f>'Revenues 9-14'!G109</f>
        <v>2382216</v>
      </c>
      <c r="C6024" s="2" t="s">
        <v>569</v>
      </c>
      <c r="D6024" s="2" t="str">
        <f t="shared" si="93"/>
        <v>Error?</v>
      </c>
    </row>
    <row r="6025" spans="1:5" x14ac:dyDescent="0.2">
      <c r="A6025" s="5">
        <v>5964</v>
      </c>
      <c r="B6025" s="1832">
        <f>'Revenues 9-14'!H109</f>
        <v>3191685</v>
      </c>
      <c r="C6025" s="2" t="s">
        <v>569</v>
      </c>
      <c r="D6025" s="2" t="str">
        <f t="shared" si="93"/>
        <v>Error?</v>
      </c>
    </row>
    <row r="6026" spans="1:5" x14ac:dyDescent="0.2">
      <c r="A6026" s="5">
        <v>5965</v>
      </c>
      <c r="B6026" s="1832">
        <f>'Revenues 9-14'!I109</f>
        <v>278812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2098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52447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247118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5610.9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6288</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1955</v>
      </c>
      <c r="D6085" s="2" t="str">
        <f t="shared" si="94"/>
        <v>Error?</v>
      </c>
      <c r="E6085" s="2" t="s">
        <v>189</v>
      </c>
    </row>
    <row r="6086" spans="1:5" x14ac:dyDescent="0.2">
      <c r="A6086">
        <v>6025</v>
      </c>
      <c r="B6086" s="1832">
        <f>'Assets-Liab 5-6'!H7</f>
        <v>50000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4067891</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5810</v>
      </c>
      <c r="D6099" s="2" t="str">
        <f t="shared" si="94"/>
        <v>Error?</v>
      </c>
      <c r="E6099" s="2" t="s">
        <v>189</v>
      </c>
    </row>
    <row r="6100" spans="1:5" x14ac:dyDescent="0.2">
      <c r="A6100">
        <v>6039</v>
      </c>
      <c r="B6100" s="1832">
        <f>'Assets-Liab 5-6'!D9</f>
        <v>13545</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842203</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737799</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56297</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1479670</v>
      </c>
      <c r="D6124" s="2" t="str">
        <f t="shared" si="94"/>
        <v>Error?</v>
      </c>
      <c r="E6124" s="2" t="s">
        <v>189</v>
      </c>
    </row>
    <row r="6125" spans="1:5" x14ac:dyDescent="0.2">
      <c r="A6125">
        <v>6064</v>
      </c>
      <c r="B6125" s="1832">
        <f>'Assets-Liab 5-6'!C25</f>
        <v>58243</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183168</v>
      </c>
      <c r="D6142" s="2" t="str">
        <f t="shared" si="94"/>
        <v>Error?</v>
      </c>
      <c r="E6142" s="2" t="s">
        <v>189</v>
      </c>
    </row>
    <row r="6143" spans="1:5" x14ac:dyDescent="0.2">
      <c r="A6143">
        <v>6082</v>
      </c>
      <c r="B6143" s="1832">
        <f>'Assets-Liab 5-6'!D27</f>
        <v>174469</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845121</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46602</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3145350</v>
      </c>
      <c r="D6169" s="2" t="str">
        <f t="shared" si="95"/>
        <v>Error?</v>
      </c>
      <c r="E6169" s="2" t="s">
        <v>189</v>
      </c>
    </row>
    <row r="6170" spans="1:5" x14ac:dyDescent="0.2">
      <c r="A6170">
        <v>6109</v>
      </c>
      <c r="B6170" s="1832">
        <f>'Assets-Liab 5-6'!D30</f>
        <v>4628</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268995</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806418</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853020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626650</v>
      </c>
      <c r="D6215" s="2" t="str">
        <f t="shared" si="96"/>
        <v>Error?</v>
      </c>
      <c r="E6215" s="2" t="s">
        <v>189</v>
      </c>
    </row>
    <row r="6216" spans="1:5" x14ac:dyDescent="0.2">
      <c r="A6216">
        <v>6155</v>
      </c>
      <c r="B6216" s="1832">
        <f>'Assets-Liab 5-6'!J41</f>
        <v>1479670</v>
      </c>
      <c r="D6216" s="2" t="str">
        <f t="shared" si="96"/>
        <v>Error?</v>
      </c>
      <c r="E6216" s="2" t="s">
        <v>189</v>
      </c>
    </row>
    <row r="6217" spans="1:5" x14ac:dyDescent="0.2">
      <c r="A6217">
        <v>6156</v>
      </c>
      <c r="B6217" s="1832">
        <f>'Assets-Liab 5-6'!J4</f>
        <v>429585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993788</v>
      </c>
      <c r="D6219" s="2" t="str">
        <f t="shared" si="96"/>
        <v>Error?</v>
      </c>
      <c r="E6219" s="2" t="s">
        <v>189</v>
      </c>
    </row>
    <row r="6220" spans="1:5" x14ac:dyDescent="0.2">
      <c r="A6220">
        <v>6159</v>
      </c>
      <c r="B6220" s="1832">
        <f>'Acct Summary 7-8'!J4</f>
        <v>843684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843684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843684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983434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983434</v>
      </c>
      <c r="D6229" s="2" t="str">
        <f t="shared" si="96"/>
        <v>Error?</v>
      </c>
      <c r="E6229" s="2" t="s">
        <v>189</v>
      </c>
    </row>
    <row r="6230" spans="1:5" x14ac:dyDescent="0.2">
      <c r="A6230">
        <v>6169</v>
      </c>
      <c r="B6230" s="1832">
        <f>'Acct Summary 7-8'!J20</f>
        <v>-139750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-139750</v>
      </c>
      <c r="D6263" s="2" t="str">
        <f t="shared" si="96"/>
        <v>Error?</v>
      </c>
      <c r="E6263" s="2" t="s">
        <v>189</v>
      </c>
    </row>
    <row r="6264" spans="1:5" x14ac:dyDescent="0.2">
      <c r="A6264">
        <v>6203</v>
      </c>
      <c r="B6264" s="1832">
        <f>'Acct Summary 7-8'!J79</f>
        <v>766400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626650</v>
      </c>
      <c r="D6266" s="2" t="str">
        <f t="shared" si="96"/>
        <v>Error?</v>
      </c>
      <c r="E6266" s="2" t="s">
        <v>189</v>
      </c>
    </row>
    <row r="6267" spans="1:5" x14ac:dyDescent="0.2">
      <c r="A6267">
        <v>6206</v>
      </c>
      <c r="B6267" s="1832">
        <f>'Acct Summary 7-8'!C82</f>
        <v>457267</v>
      </c>
      <c r="D6267" s="2" t="str">
        <f t="shared" si="96"/>
        <v>Error?</v>
      </c>
      <c r="E6267" s="2" t="s">
        <v>189</v>
      </c>
    </row>
    <row r="6268" spans="1:5" x14ac:dyDescent="0.2">
      <c r="A6268">
        <v>6207</v>
      </c>
      <c r="B6268" s="1832">
        <f>'Acct Summary 7-8'!D82</f>
        <v>515029</v>
      </c>
      <c r="D6268" s="2" t="str">
        <f t="shared" si="96"/>
        <v>Error?</v>
      </c>
      <c r="E6268" s="2" t="s">
        <v>189</v>
      </c>
    </row>
    <row r="6269" spans="1:5" x14ac:dyDescent="0.2">
      <c r="A6269">
        <v>6208</v>
      </c>
      <c r="B6269" s="1832">
        <f>'Acct Summary 7-8'!E82</f>
        <v>124902</v>
      </c>
      <c r="D6269" s="2" t="str">
        <f t="shared" si="96"/>
        <v>Error?</v>
      </c>
      <c r="E6269" s="2" t="s">
        <v>189</v>
      </c>
    </row>
    <row r="6270" spans="1:5" x14ac:dyDescent="0.2">
      <c r="A6270">
        <v>6209</v>
      </c>
      <c r="B6270" s="1832">
        <f>'Acct Summary 7-8'!F82</f>
        <v>427098</v>
      </c>
      <c r="D6270" s="2" t="str">
        <f t="shared" si="96"/>
        <v>Error?</v>
      </c>
      <c r="E6270" s="2" t="s">
        <v>189</v>
      </c>
    </row>
    <row r="6271" spans="1:5" x14ac:dyDescent="0.2">
      <c r="A6271">
        <v>6210</v>
      </c>
      <c r="B6271" s="1832">
        <f>'Acct Summary 7-8'!G82</f>
        <v>229024</v>
      </c>
      <c r="D6271" s="2" t="str">
        <f t="shared" ref="D6271:D6334" si="97">IF(ISBLANK(B6271),"OK",IF(A6271-B6271=0,"OK","Error?"))</f>
        <v>Error?</v>
      </c>
      <c r="E6271" s="2" t="s">
        <v>189</v>
      </c>
    </row>
    <row r="6272" spans="1:5" x14ac:dyDescent="0.2">
      <c r="A6272">
        <v>6211</v>
      </c>
      <c r="B6272" s="1832">
        <f>'Acct Summary 7-8'!H82</f>
        <v>16004409</v>
      </c>
      <c r="D6272" s="2" t="str">
        <f t="shared" si="97"/>
        <v>Error?</v>
      </c>
      <c r="E6272" s="2" t="s">
        <v>189</v>
      </c>
    </row>
    <row r="6273" spans="1:5" x14ac:dyDescent="0.2">
      <c r="A6273">
        <v>6212</v>
      </c>
      <c r="B6273" s="1832">
        <f>'Acct Summary 7-8'!I82</f>
        <v>278812</v>
      </c>
      <c r="D6273" s="2" t="str">
        <f t="shared" si="97"/>
        <v>Error?</v>
      </c>
      <c r="E6273" s="2" t="s">
        <v>189</v>
      </c>
    </row>
    <row r="6274" spans="1:5" x14ac:dyDescent="0.2">
      <c r="A6274">
        <v>6213</v>
      </c>
      <c r="B6274" s="1832">
        <f>'Acct Summary 7-8'!J82</f>
        <v>-139750</v>
      </c>
      <c r="D6274" s="2" t="str">
        <f t="shared" si="97"/>
        <v>Error?</v>
      </c>
      <c r="E6274" s="2" t="s">
        <v>189</v>
      </c>
    </row>
    <row r="6275" spans="1:5" x14ac:dyDescent="0.2">
      <c r="A6275">
        <v>6214</v>
      </c>
      <c r="B6275" s="1832">
        <f>'Acct Summary 7-8'!K82</f>
        <v>2098</v>
      </c>
      <c r="D6275" s="2" t="str">
        <f t="shared" si="97"/>
        <v>Error?</v>
      </c>
      <c r="E6275" s="2" t="s">
        <v>189</v>
      </c>
    </row>
    <row r="6276" spans="1:5" x14ac:dyDescent="0.2">
      <c r="A6276">
        <v>6215</v>
      </c>
      <c r="B6276" s="1832">
        <f>'Acct Summary 7-8'!C83</f>
        <v>1.7666533388622667E-2</v>
      </c>
      <c r="D6276" s="2" t="str">
        <f t="shared" si="97"/>
        <v>Error?</v>
      </c>
      <c r="E6276" s="2" t="s">
        <v>189</v>
      </c>
    </row>
    <row r="6277" spans="1:5" x14ac:dyDescent="0.2">
      <c r="A6277">
        <v>6216</v>
      </c>
      <c r="B6277" s="1832">
        <f>'Acct Summary 7-8'!D83</f>
        <v>7.796103560332994E-2</v>
      </c>
      <c r="D6277" s="2" t="str">
        <f t="shared" si="97"/>
        <v>Error?</v>
      </c>
      <c r="E6277" s="2" t="s">
        <v>189</v>
      </c>
    </row>
    <row r="6278" spans="1:5" x14ac:dyDescent="0.2">
      <c r="A6278">
        <v>6217</v>
      </c>
      <c r="B6278" s="1832">
        <f>'Acct Summary 7-8'!E83</f>
        <v>6.5035849852382963E-2</v>
      </c>
      <c r="D6278" s="2" t="str">
        <f t="shared" si="97"/>
        <v>Error?</v>
      </c>
      <c r="E6278" s="2" t="s">
        <v>189</v>
      </c>
    </row>
    <row r="6279" spans="1:5" x14ac:dyDescent="0.2">
      <c r="A6279">
        <v>6218</v>
      </c>
      <c r="B6279" s="1832">
        <f>'Acct Summary 7-8'!F83</f>
        <v>0.12681689585466258</v>
      </c>
      <c r="D6279" s="2" t="str">
        <f t="shared" si="97"/>
        <v>Error?</v>
      </c>
      <c r="E6279" s="2" t="s">
        <v>189</v>
      </c>
    </row>
    <row r="6280" spans="1:5" x14ac:dyDescent="0.2">
      <c r="A6280">
        <v>6219</v>
      </c>
      <c r="B6280" s="1832">
        <f>'Acct Summary 7-8'!G83</f>
        <v>0.13880520034643118</v>
      </c>
      <c r="D6280" s="2" t="str">
        <f t="shared" si="97"/>
        <v>Error?</v>
      </c>
      <c r="E6280" s="2" t="s">
        <v>189</v>
      </c>
    </row>
    <row r="6281" spans="1:5" x14ac:dyDescent="0.2">
      <c r="A6281">
        <v>6220</v>
      </c>
      <c r="B6281" s="1832">
        <f>'Acct Summary 7-8'!H83</f>
        <v>0.88984526462239899</v>
      </c>
      <c r="D6281" s="2" t="str">
        <f t="shared" si="97"/>
        <v>Error?</v>
      </c>
      <c r="E6281" s="2" t="s">
        <v>189</v>
      </c>
    </row>
    <row r="6282" spans="1:5" x14ac:dyDescent="0.2">
      <c r="A6282">
        <v>6221</v>
      </c>
      <c r="B6282" s="1832">
        <f>'Acct Summary 7-8'!I83</f>
        <v>5.8842660274450787E-2</v>
      </c>
      <c r="D6282" s="2" t="str">
        <f t="shared" si="97"/>
        <v>Error?</v>
      </c>
      <c r="E6282" s="2" t="s">
        <v>189</v>
      </c>
    </row>
    <row r="6283" spans="1:5" x14ac:dyDescent="0.2">
      <c r="A6283">
        <v>6222</v>
      </c>
      <c r="B6283" s="1832">
        <f>'Acct Summary 7-8'!J83</f>
        <v>-0.2230112502992101</v>
      </c>
      <c r="D6283" s="2" t="str">
        <f t="shared" si="97"/>
        <v>Error?</v>
      </c>
      <c r="E6283" s="2" t="s">
        <v>189</v>
      </c>
    </row>
    <row r="6284" spans="1:5" x14ac:dyDescent="0.2">
      <c r="A6284">
        <v>6223</v>
      </c>
      <c r="B6284" s="1832">
        <f>'Acct Summary 7-8'!K83</f>
        <v>1.1714060781346838E-2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834631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834631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9053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9053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843684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287285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30660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3040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349096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948687</v>
      </c>
      <c r="D6853" s="2" t="str">
        <f t="shared" si="106"/>
        <v>Error?</v>
      </c>
    </row>
    <row r="6854" spans="1:4" x14ac:dyDescent="0.2">
      <c r="A6854">
        <v>6793</v>
      </c>
      <c r="B6854" s="1832">
        <f>'Expenditures 15-22'!I10</f>
        <v>68078</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7115</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2506</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111399</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12756</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12756</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4927</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4927</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24336</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24336</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7794</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65675</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73469</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115488</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2104401</v>
      </c>
      <c r="D6983" s="2" t="str">
        <f t="shared" si="108"/>
        <v>Error?</v>
      </c>
    </row>
    <row r="6984" spans="1:4" x14ac:dyDescent="0.2">
      <c r="A6984">
        <v>6923</v>
      </c>
      <c r="B6984" s="1832">
        <f>'Expenditures 15-22'!K86</f>
        <v>2104401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31450</v>
      </c>
      <c r="D6987" s="2" t="str">
        <f t="shared" si="108"/>
        <v>Error?</v>
      </c>
    </row>
    <row r="6988" spans="1:4" x14ac:dyDescent="0.2">
      <c r="A6988">
        <v>6927</v>
      </c>
      <c r="B6988" s="1832">
        <f>'Expenditures 15-22'!K88</f>
        <v>31450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2135851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226887</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7503</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7503</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7503</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983434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7503</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843684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39563</v>
      </c>
      <c r="D7075" s="2" t="str">
        <f t="shared" si="109"/>
        <v>Error?</v>
      </c>
    </row>
    <row r="7076" spans="1:4" x14ac:dyDescent="0.2">
      <c r="A7076">
        <v>7015</v>
      </c>
      <c r="B7076" s="1832">
        <f>'Expenditures 15-22'!K218</f>
        <v>39563</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535928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535928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62169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62169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285209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285209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7850</v>
      </c>
      <c r="D7174" s="2" t="str">
        <f t="shared" si="111"/>
        <v>Error?</v>
      </c>
    </row>
    <row r="7175" spans="1:4" x14ac:dyDescent="0.2">
      <c r="A7175">
        <v>7114</v>
      </c>
      <c r="B7175" s="1832">
        <f>'Expenditures 15-22'!F325</f>
        <v>12030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19880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80248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80248</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971404</v>
      </c>
      <c r="D7201" s="2" t="str">
        <f t="shared" si="111"/>
        <v>Error?</v>
      </c>
    </row>
    <row r="7202" spans="1:4" x14ac:dyDescent="0.2">
      <c r="A7202">
        <v>7141</v>
      </c>
      <c r="B7202" s="1832">
        <f>'Expenditures 15-22'!F330</f>
        <v>12030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983434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971404</v>
      </c>
      <c r="D7218" s="2" t="str">
        <f t="shared" si="111"/>
        <v>Error?</v>
      </c>
    </row>
    <row r="7219" spans="1:4" x14ac:dyDescent="0.2">
      <c r="A7219">
        <v>7158</v>
      </c>
      <c r="B7219" s="1832">
        <f>'Expenditures 15-22'!F342</f>
        <v>12030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983434</v>
      </c>
      <c r="D7224" s="2" t="str">
        <f t="shared" si="111"/>
        <v>Error?</v>
      </c>
    </row>
    <row r="7225" spans="1:4" x14ac:dyDescent="0.2">
      <c r="A7225">
        <v>7164</v>
      </c>
      <c r="B7225" s="1832">
        <f>'Expenditures 15-22'!K343</f>
        <v>-139750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52008</v>
      </c>
      <c r="D7246" s="2" t="str">
        <f t="shared" si="112"/>
        <v>Error?</v>
      </c>
    </row>
    <row r="7247" spans="1:4" x14ac:dyDescent="0.2">
      <c r="A7247">
        <f t="shared" si="113"/>
        <v>7186</v>
      </c>
      <c r="B7247" s="1832">
        <f>'Expenditures 15-22'!E7</f>
        <v>3437</v>
      </c>
      <c r="D7247" s="2" t="str">
        <f t="shared" si="112"/>
        <v>Error?</v>
      </c>
    </row>
    <row r="7248" spans="1:4" x14ac:dyDescent="0.2">
      <c r="A7248">
        <f t="shared" si="113"/>
        <v>7187</v>
      </c>
      <c r="B7248" s="1832">
        <f>'Expenditures 15-22'!F7</f>
        <v>3326</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602147</v>
      </c>
      <c r="D7251" s="2" t="str">
        <f t="shared" si="112"/>
        <v>Error?</v>
      </c>
    </row>
    <row r="7252" spans="1:4" x14ac:dyDescent="0.2">
      <c r="A7252">
        <f t="shared" si="113"/>
        <v>7191</v>
      </c>
      <c r="B7252" s="1832">
        <f>'Expenditures 15-22'!D9</f>
        <v>145231</v>
      </c>
      <c r="D7252" s="2" t="str">
        <f t="shared" si="112"/>
        <v>Error?</v>
      </c>
    </row>
    <row r="7253" spans="1:4" x14ac:dyDescent="0.2">
      <c r="A7253">
        <f t="shared" si="113"/>
        <v>7192</v>
      </c>
      <c r="B7253" s="1832">
        <f>'Expenditures 15-22'!E9</f>
        <v>201309</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404607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404607</v>
      </c>
      <c r="D7618" s="2" t="str">
        <f t="shared" si="124"/>
        <v>Error?</v>
      </c>
      <c r="E7618" s="2" t="s">
        <v>19</v>
      </c>
    </row>
    <row r="7619" spans="1:5" x14ac:dyDescent="0.2">
      <c r="A7619">
        <f t="shared" si="123"/>
        <v>7558</v>
      </c>
      <c r="B7619" s="1832">
        <f>'Cap Outlay Deprec 26'!H14</f>
        <v>398137</v>
      </c>
      <c r="D7619" s="2" t="str">
        <f t="shared" si="124"/>
        <v>Error?</v>
      </c>
      <c r="E7619" s="2" t="s">
        <v>19</v>
      </c>
    </row>
    <row r="7620" spans="1:5" x14ac:dyDescent="0.2">
      <c r="A7620">
        <f t="shared" si="123"/>
        <v>7559</v>
      </c>
      <c r="B7620" s="1832">
        <f>'Cap Outlay Deprec 26'!I14</f>
        <v>3235</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401372</v>
      </c>
      <c r="D7622" s="2" t="str">
        <f t="shared" si="124"/>
        <v>Error?</v>
      </c>
      <c r="E7622" s="2" t="s">
        <v>19</v>
      </c>
    </row>
    <row r="7623" spans="1:5" x14ac:dyDescent="0.2">
      <c r="A7623">
        <f t="shared" si="123"/>
        <v>7562</v>
      </c>
      <c r="B7623" s="1832">
        <f>'Cap Outlay Deprec 26'!L14</f>
        <v>3235</v>
      </c>
      <c r="D7623" s="2" t="str">
        <f t="shared" si="124"/>
        <v>Error?</v>
      </c>
      <c r="E7623" s="2" t="s">
        <v>19</v>
      </c>
    </row>
    <row r="7624" spans="1:5" x14ac:dyDescent="0.2">
      <c r="A7624">
        <f t="shared" si="123"/>
        <v>7563</v>
      </c>
      <c r="B7624" s="1832">
        <f>'Cap Outlay Deprec 26'!F17</f>
        <v>234390</v>
      </c>
      <c r="D7624" s="2" t="str">
        <f t="shared" si="124"/>
        <v>Error?</v>
      </c>
      <c r="E7624" s="2" t="s">
        <v>19</v>
      </c>
    </row>
    <row r="7625" spans="1:5" x14ac:dyDescent="0.2">
      <c r="A7625">
        <f t="shared" si="123"/>
        <v>7564</v>
      </c>
      <c r="B7625" s="1832">
        <f>'Cap Outlay Deprec 26'!I17</f>
        <v>23439</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1800804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54792</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1981200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34135</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3157550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50000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17199002</v>
      </c>
      <c r="D7717" s="2" t="str">
        <f t="shared" si="126"/>
        <v>Error?</v>
      </c>
      <c r="E7717" s="2" t="s">
        <v>822</v>
      </c>
    </row>
    <row r="7718" spans="1:6" x14ac:dyDescent="0.2">
      <c r="A7718">
        <v>7657</v>
      </c>
      <c r="B7718" s="1832">
        <f>'Rest Tax Levies-Tort Im 25'!J12</f>
        <v>20440687</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222855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4436278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4436278</v>
      </c>
      <c r="D7730" s="2" t="str">
        <f t="shared" si="126"/>
        <v>Error?</v>
      </c>
      <c r="E7730" s="2" t="s">
        <v>822</v>
      </c>
    </row>
    <row r="7731" spans="1:6" x14ac:dyDescent="0.2">
      <c r="A7731">
        <v>7670</v>
      </c>
      <c r="B7731" s="1832">
        <f>'Revenues 9-14'!H103</f>
        <v>3157550</v>
      </c>
      <c r="D7731" s="2" t="str">
        <f t="shared" si="126"/>
        <v>Error?</v>
      </c>
      <c r="E7731" s="2" t="s">
        <v>822</v>
      </c>
    </row>
    <row r="7732" spans="1:6" x14ac:dyDescent="0.2">
      <c r="A7732">
        <v>7671</v>
      </c>
      <c r="B7732" s="1832">
        <f>'Rest Tax Levies-Tort Im 25'!J24</f>
        <v>17985609</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17985609</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736908</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736908</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42430000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-3836878.66</v>
      </c>
      <c r="D7820" s="2" t="str">
        <f t="shared" si="128"/>
        <v>Error?</v>
      </c>
    </row>
    <row r="7821" spans="1:5" x14ac:dyDescent="0.2">
      <c r="A7821">
        <v>7760</v>
      </c>
      <c r="B7821" s="1832">
        <f>'ICR Computation 30'!G40</f>
        <v>-3836878.66</v>
      </c>
      <c r="D7821" s="2" t="str">
        <f t="shared" si="128"/>
        <v>Error?</v>
      </c>
    </row>
    <row r="7822" spans="1:5" x14ac:dyDescent="0.2">
      <c r="A7822" s="1">
        <v>7761</v>
      </c>
      <c r="B7822" s="1832">
        <f>'PCTC-OEPP 27-28'!F14</f>
        <v>79940151</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346056</v>
      </c>
      <c r="D7826" s="2" t="str">
        <f t="shared" si="129"/>
        <v>Error?</v>
      </c>
      <c r="E7826" s="4" t="s">
        <v>1995</v>
      </c>
    </row>
    <row r="7827" spans="1:5" x14ac:dyDescent="0.2">
      <c r="A7827">
        <v>7766</v>
      </c>
      <c r="B7827" s="1832">
        <f>'PCTC-OEPP 27-28'!F35</f>
        <v>948687</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87199</v>
      </c>
      <c r="D7830" s="2" t="str">
        <f t="shared" si="129"/>
        <v>Error?</v>
      </c>
      <c r="E7830" s="4" t="s">
        <v>1995</v>
      </c>
    </row>
    <row r="7831" spans="1:5" x14ac:dyDescent="0.2">
      <c r="A7831">
        <v>7770</v>
      </c>
      <c r="B7831" s="1832">
        <f>'PCTC-OEPP 27-28'!F52</f>
        <v>3514579</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10594234</v>
      </c>
      <c r="D7834" s="2" t="str">
        <f t="shared" si="129"/>
        <v>Error?</v>
      </c>
      <c r="E7834" s="4" t="s">
        <v>1995</v>
      </c>
    </row>
    <row r="7835" spans="1:5" x14ac:dyDescent="0.2">
      <c r="A7835">
        <v>7774</v>
      </c>
      <c r="B7835" s="1832">
        <f>'PCTC-OEPP 27-28'!F78</f>
        <v>69345917</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12359.143274697464</v>
      </c>
      <c r="D7837" s="2" t="str">
        <f t="shared" si="129"/>
        <v>Error?</v>
      </c>
      <c r="E7837" s="4" t="s">
        <v>1995</v>
      </c>
    </row>
    <row r="7838" spans="1:5" x14ac:dyDescent="0.2">
      <c r="A7838">
        <v>7777</v>
      </c>
      <c r="B7838" s="1832">
        <f>'PCTC-OEPP 27-28'!F96</f>
        <v>162319</v>
      </c>
      <c r="D7838" s="2" t="str">
        <f t="shared" si="129"/>
        <v>Error?</v>
      </c>
      <c r="E7838" s="4" t="s">
        <v>1995</v>
      </c>
    </row>
    <row r="7839" spans="1:5" x14ac:dyDescent="0.2">
      <c r="A7839">
        <v>7778</v>
      </c>
      <c r="B7839" s="1832">
        <f>'PCTC-OEPP 27-28'!F102</f>
        <v>178415</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41000</v>
      </c>
      <c r="D7841" s="2" t="str">
        <f t="shared" si="129"/>
        <v>Error?</v>
      </c>
      <c r="E7841" s="4" t="s">
        <v>1995</v>
      </c>
    </row>
    <row r="7842" spans="1:5" x14ac:dyDescent="0.2">
      <c r="A7842">
        <v>7781</v>
      </c>
      <c r="B7842" s="1832">
        <f>'PCTC-OEPP 27-28'!F106</f>
        <v>59704</v>
      </c>
      <c r="D7842" s="2" t="str">
        <f t="shared" si="129"/>
        <v>Error?</v>
      </c>
      <c r="E7842" s="4" t="s">
        <v>1995</v>
      </c>
    </row>
    <row r="7843" spans="1:5" x14ac:dyDescent="0.2">
      <c r="A7843">
        <v>7782</v>
      </c>
      <c r="B7843" s="1832">
        <f>'PCTC-OEPP 27-28'!F107</f>
        <v>62116</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53404</v>
      </c>
      <c r="D7846" s="2" t="str">
        <f t="shared" si="129"/>
        <v>Error?</v>
      </c>
      <c r="E7846" s="4" t="s">
        <v>1995</v>
      </c>
    </row>
    <row r="7847" spans="1:5" x14ac:dyDescent="0.2">
      <c r="A7847">
        <v>7786</v>
      </c>
      <c r="B7847" s="1832">
        <f>'PCTC-OEPP 27-28'!F112</f>
        <v>736908</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-8631</v>
      </c>
      <c r="D7855" s="2" t="str">
        <f t="shared" si="129"/>
        <v>Error?</v>
      </c>
      <c r="E7855" s="4" t="s">
        <v>1995</v>
      </c>
    </row>
    <row r="7856" spans="1:5" x14ac:dyDescent="0.2">
      <c r="A7856">
        <v>7795</v>
      </c>
      <c r="B7856" s="1832">
        <f>'PCTC-OEPP 27-28'!F124</f>
        <v>2727960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3194250</v>
      </c>
      <c r="D7858" s="2" t="str">
        <f t="shared" si="129"/>
        <v>Error?</v>
      </c>
      <c r="E7858" s="4" t="s">
        <v>1995</v>
      </c>
    </row>
    <row r="7859" spans="1:5" x14ac:dyDescent="0.2">
      <c r="A7859">
        <v>7798</v>
      </c>
      <c r="B7859" s="1832">
        <f>'PCTC-OEPP 27-28'!F127</f>
        <v>2977007</v>
      </c>
      <c r="D7859" s="2" t="str">
        <f t="shared" si="129"/>
        <v>Error?</v>
      </c>
      <c r="E7859" s="4" t="s">
        <v>1995</v>
      </c>
    </row>
    <row r="7860" spans="1:5" x14ac:dyDescent="0.2">
      <c r="A7860">
        <v>7799</v>
      </c>
      <c r="B7860" s="1832">
        <f>'PCTC-OEPP 27-28'!F128</f>
        <v>454115</v>
      </c>
      <c r="D7860" s="2" t="str">
        <f t="shared" si="129"/>
        <v>Error?</v>
      </c>
      <c r="E7860" s="4" t="s">
        <v>1995</v>
      </c>
    </row>
    <row r="7861" spans="1:5" x14ac:dyDescent="0.2">
      <c r="A7861">
        <v>7800</v>
      </c>
      <c r="B7861" s="1832">
        <f>'PCTC-OEPP 27-28'!F129</f>
        <v>1665734</v>
      </c>
      <c r="D7861" s="2" t="str">
        <f t="shared" si="129"/>
        <v>Error?</v>
      </c>
      <c r="E7861" s="4" t="s">
        <v>1995</v>
      </c>
    </row>
    <row r="7862" spans="1:5" x14ac:dyDescent="0.2">
      <c r="A7862">
        <v>7801</v>
      </c>
      <c r="B7862" s="1832">
        <f>'PCTC-OEPP 27-28'!F130</f>
        <v>19028</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9466</v>
      </c>
      <c r="D7868" s="2" t="str">
        <f t="shared" si="129"/>
        <v>Error?</v>
      </c>
      <c r="E7868" s="4" t="s">
        <v>1995</v>
      </c>
    </row>
    <row r="7869" spans="1:5" x14ac:dyDescent="0.2">
      <c r="A7869">
        <v>7808</v>
      </c>
      <c r="B7869" s="1832">
        <f>'PCTC-OEPP 27-28'!F162</f>
        <v>54586</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408600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190680</v>
      </c>
      <c r="D7874" s="2" t="str">
        <f t="shared" si="129"/>
        <v>Error?</v>
      </c>
      <c r="E7874" s="4" t="s">
        <v>1995</v>
      </c>
    </row>
    <row r="7875" spans="1:5" x14ac:dyDescent="0.2">
      <c r="A7875">
        <v>7814</v>
      </c>
      <c r="B7875" s="1832">
        <f>'PCTC-OEPP 27-28'!F170</f>
        <v>240693</v>
      </c>
      <c r="D7875" s="2" t="str">
        <f t="shared" si="129"/>
        <v>Error?</v>
      </c>
      <c r="E7875" s="4" t="s">
        <v>1995</v>
      </c>
    </row>
    <row r="7876" spans="1:5" x14ac:dyDescent="0.2">
      <c r="A7876">
        <v>7815</v>
      </c>
      <c r="B7876" s="1832">
        <f>'PCTC-OEPP 27-28'!F171</f>
        <v>30418</v>
      </c>
      <c r="D7876" s="2" t="str">
        <f t="shared" si="129"/>
        <v>Error?</v>
      </c>
      <c r="E7876" s="4" t="s">
        <v>1995</v>
      </c>
    </row>
    <row r="7877" spans="1:5" x14ac:dyDescent="0.2">
      <c r="A7877">
        <v>7816</v>
      </c>
      <c r="B7877" s="1832">
        <f>'PCTC-OEPP 27-28'!F175</f>
        <v>10724288</v>
      </c>
      <c r="D7877" s="2" t="str">
        <f t="shared" si="129"/>
        <v>Error?</v>
      </c>
      <c r="E7877" s="4" t="s">
        <v>1995</v>
      </c>
    </row>
    <row r="7878" spans="1:5" x14ac:dyDescent="0.2">
      <c r="A7878">
        <v>7817</v>
      </c>
      <c r="B7878" s="1832">
        <f>'PCTC-OEPP 27-28'!F176</f>
        <v>58621629</v>
      </c>
      <c r="D7878" s="2" t="str">
        <f t="shared" si="129"/>
        <v>Error?</v>
      </c>
      <c r="E7878" s="4" t="s">
        <v>1995</v>
      </c>
    </row>
    <row r="7879" spans="1:5" x14ac:dyDescent="0.2">
      <c r="A7879">
        <v>7818</v>
      </c>
      <c r="B7879" s="1832">
        <f>'PCTC-OEPP 27-28'!F178</f>
        <v>60422433</v>
      </c>
      <c r="D7879" s="2" t="str">
        <f t="shared" si="129"/>
        <v>Error?</v>
      </c>
      <c r="E7879" s="4" t="s">
        <v>1995</v>
      </c>
    </row>
    <row r="7880" spans="1:5" x14ac:dyDescent="0.2">
      <c r="A7880">
        <v>7819</v>
      </c>
      <c r="B7880" s="1832">
        <f>'PCTC-OEPP 27-28'!F180</f>
        <v>10768.759557290276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5" zoomScale="110" zoomScaleNormal="110" workbookViewId="0">
      <selection activeCell="I13" sqref="I13:L1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1" t="s">
        <v>1181</v>
      </c>
      <c r="B2" s="2521"/>
      <c r="C2" s="2521"/>
      <c r="D2" s="2521"/>
      <c r="E2" s="2521"/>
      <c r="F2" s="2521"/>
      <c r="G2" s="2521"/>
      <c r="H2" s="2521"/>
      <c r="I2" s="2521"/>
      <c r="J2" s="2521"/>
      <c r="K2" s="2521"/>
      <c r="L2" s="2521"/>
    </row>
    <row r="3" spans="1:29" ht="13.5" customHeight="1" x14ac:dyDescent="0.2">
      <c r="A3" s="2553" t="s">
        <v>1180</v>
      </c>
      <c r="B3" s="2553"/>
      <c r="C3" s="2553"/>
      <c r="D3" s="2553"/>
      <c r="E3" s="2553"/>
      <c r="F3" s="2553"/>
      <c r="G3" s="2553"/>
      <c r="H3" s="2553"/>
      <c r="I3" s="2553"/>
      <c r="J3" s="2553"/>
      <c r="K3" s="2553"/>
      <c r="L3" s="2553"/>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4" t="str">
        <f>COVER!A17</f>
        <v xml:space="preserve">  Rock Island SD 41</v>
      </c>
      <c r="B7" s="2545"/>
      <c r="C7" s="2545"/>
      <c r="D7" s="2546"/>
      <c r="E7" s="2547">
        <f>COVER!A13</f>
        <v>49081041025</v>
      </c>
      <c r="F7" s="2548"/>
      <c r="G7" s="2554">
        <f>COVER!T23</f>
        <v>66.004396999999997</v>
      </c>
      <c r="H7" s="2555"/>
      <c r="I7" s="2555"/>
      <c r="J7" s="2555"/>
      <c r="K7" s="2555"/>
      <c r="L7" s="255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7"/>
      <c r="B9" s="2558"/>
      <c r="C9" s="2558"/>
      <c r="D9" s="2558"/>
      <c r="E9" s="2558"/>
      <c r="F9" s="2559"/>
      <c r="G9" s="2527" t="str">
        <f>COVER!T13</f>
        <v>Bohnsack &amp; Frommelt LLP</v>
      </c>
      <c r="H9" s="2560"/>
      <c r="I9" s="2560"/>
      <c r="J9" s="2560"/>
      <c r="K9" s="2560"/>
      <c r="L9" s="2561"/>
    </row>
    <row r="10" spans="1:29" ht="13.5" customHeight="1" x14ac:dyDescent="0.2">
      <c r="A10" s="2533" t="str">
        <f>COVER!A38</f>
        <v>Dr. Reginald Lawrence</v>
      </c>
      <c r="B10" s="2534"/>
      <c r="C10" s="2534"/>
      <c r="D10" s="2534"/>
      <c r="E10" s="2534"/>
      <c r="F10" s="2535"/>
      <c r="G10" s="2527" t="str">
        <f>COVER!T17</f>
        <v>1500 River Drive, Suite 200</v>
      </c>
      <c r="H10" s="2528"/>
      <c r="I10" s="2528"/>
      <c r="J10" s="2528"/>
      <c r="K10" s="2528"/>
      <c r="L10" s="2529"/>
    </row>
    <row r="11" spans="1:29" ht="13.5" customHeight="1" x14ac:dyDescent="0.2">
      <c r="A11" s="963" t="s">
        <v>1502</v>
      </c>
      <c r="B11" s="964"/>
      <c r="C11" s="965"/>
      <c r="D11" s="970"/>
      <c r="E11" s="965"/>
      <c r="F11" s="969"/>
      <c r="G11" s="2527" t="str">
        <f>COVER!T19</f>
        <v>Moline</v>
      </c>
      <c r="H11" s="2528"/>
      <c r="I11" s="2528"/>
      <c r="J11" s="2528"/>
      <c r="K11" s="2528"/>
      <c r="L11" s="2529"/>
    </row>
    <row r="12" spans="1:29" ht="13.5" customHeight="1" x14ac:dyDescent="0.2">
      <c r="A12" s="2536" t="s">
        <v>1501</v>
      </c>
      <c r="B12" s="2537"/>
      <c r="C12" s="2537"/>
      <c r="D12" s="2537"/>
      <c r="E12" s="2537"/>
      <c r="F12" s="2538"/>
      <c r="G12" s="2530"/>
      <c r="H12" s="2531"/>
      <c r="I12" s="2531"/>
      <c r="J12" s="2531"/>
      <c r="K12" s="2531"/>
      <c r="L12" s="2532"/>
    </row>
    <row r="13" spans="1:29" ht="13.5" customHeight="1" x14ac:dyDescent="0.2">
      <c r="A13" s="2527"/>
      <c r="B13" s="2528"/>
      <c r="C13" s="2528"/>
      <c r="D13" s="2528"/>
      <c r="E13" s="2528"/>
      <c r="F13" s="2529"/>
      <c r="G13" s="2522" t="s">
        <v>1503</v>
      </c>
      <c r="H13" s="2523"/>
      <c r="I13" s="2539" t="str">
        <f>COVER!T25</f>
        <v>Sarah@bohnsackfrommelt.com</v>
      </c>
      <c r="J13" s="2540"/>
      <c r="K13" s="2540"/>
      <c r="L13" s="2541"/>
    </row>
    <row r="14" spans="1:29" ht="13.5" customHeight="1" x14ac:dyDescent="0.2">
      <c r="A14" s="2527" t="str">
        <f>COVER!A19</f>
        <v>2101 Sixth Avenue</v>
      </c>
      <c r="B14" s="2528"/>
      <c r="C14" s="2528"/>
      <c r="D14" s="2528"/>
      <c r="E14" s="2528"/>
      <c r="F14" s="2529"/>
      <c r="G14" s="974" t="s">
        <v>1175</v>
      </c>
      <c r="H14" s="972"/>
      <c r="I14" s="972"/>
      <c r="J14" s="972"/>
      <c r="K14" s="972"/>
      <c r="L14" s="973"/>
    </row>
    <row r="15" spans="1:29" ht="13.5" customHeight="1" x14ac:dyDescent="0.2">
      <c r="A15" s="2527" t="str">
        <f>COVER!A21</f>
        <v>Rock Island</v>
      </c>
      <c r="B15" s="2528"/>
      <c r="C15" s="2528"/>
      <c r="D15" s="2528"/>
      <c r="E15" s="2528"/>
      <c r="F15" s="2529"/>
      <c r="G15" s="2524" t="str">
        <f>COVER!T15</f>
        <v>Sarah Bohnsack</v>
      </c>
      <c r="H15" s="2525"/>
      <c r="I15" s="2525"/>
      <c r="J15" s="2525"/>
      <c r="K15" s="2525"/>
      <c r="L15" s="2526"/>
    </row>
    <row r="16" spans="1:29" ht="12.2" customHeight="1" x14ac:dyDescent="0.2">
      <c r="A16" s="2550">
        <f>COVER!A25</f>
        <v>61201</v>
      </c>
      <c r="B16" s="2551"/>
      <c r="C16" s="2551"/>
      <c r="D16" s="2551"/>
      <c r="E16" s="2551"/>
      <c r="F16" s="2552"/>
      <c r="G16" s="2562"/>
      <c r="H16" s="2563"/>
      <c r="I16" s="2563"/>
      <c r="J16" s="2563"/>
      <c r="K16" s="2563"/>
      <c r="L16" s="2564"/>
    </row>
    <row r="17" spans="1:13" ht="12.2" customHeight="1" x14ac:dyDescent="0.2">
      <c r="A17" s="2565"/>
      <c r="B17" s="2551"/>
      <c r="C17" s="2551"/>
      <c r="D17" s="2551"/>
      <c r="E17" s="2551"/>
      <c r="F17" s="2552"/>
      <c r="G17" s="974" t="s">
        <v>1174</v>
      </c>
      <c r="H17" s="972"/>
      <c r="I17" s="972"/>
      <c r="J17" s="972"/>
      <c r="K17" s="976" t="s">
        <v>1173</v>
      </c>
      <c r="L17" s="969"/>
      <c r="M17" s="962"/>
    </row>
    <row r="18" spans="1:13" ht="12.2" customHeight="1" x14ac:dyDescent="0.2">
      <c r="A18" s="2533"/>
      <c r="B18" s="2534"/>
      <c r="C18" s="2534"/>
      <c r="D18" s="2534"/>
      <c r="E18" s="2534"/>
      <c r="F18" s="2535"/>
      <c r="G18" s="2544" t="str">
        <f>COVER!T21</f>
        <v>563.343.9595</v>
      </c>
      <c r="H18" s="2545"/>
      <c r="I18" s="2545"/>
      <c r="J18" s="2545"/>
      <c r="K18" s="2544">
        <f>COVER!X21</f>
        <v>0</v>
      </c>
      <c r="L18" s="254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Rock Island SD 41</v>
      </c>
      <c r="B1" s="2567"/>
      <c r="C1" s="2567"/>
      <c r="D1" s="2567"/>
    </row>
    <row r="2" spans="1:11" s="991" customFormat="1" ht="12.75" x14ac:dyDescent="0.2">
      <c r="A2" s="2568">
        <f>'Single Audit Cover'!E7</f>
        <v>49081041025</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Rock Island SD 41</v>
      </c>
      <c r="B1" s="2571"/>
      <c r="C1" s="2571"/>
      <c r="D1" s="2571"/>
      <c r="E1" s="2571"/>
    </row>
    <row r="2" spans="1:5" x14ac:dyDescent="0.2">
      <c r="A2" s="2572">
        <f>'Single Audit Cover'!E7</f>
        <v>49081041025</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12027028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247118</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-240693</v>
      </c>
    </row>
    <row r="19" spans="1:4" ht="13.5" thickBot="1" x14ac:dyDescent="0.25">
      <c r="A19" s="1041" t="s">
        <v>1224</v>
      </c>
      <c r="D19" s="1042">
        <f>SUM(D10:D17)</f>
        <v>12033453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12033453</v>
      </c>
    </row>
    <row r="33" spans="1:4" x14ac:dyDescent="0.2">
      <c r="D33" s="1045"/>
    </row>
    <row r="34" spans="1:4" x14ac:dyDescent="0.2">
      <c r="A34" s="295" t="s">
        <v>1221</v>
      </c>
    </row>
    <row r="35" spans="1:4" x14ac:dyDescent="0.2">
      <c r="A35" s="295" t="s">
        <v>1220</v>
      </c>
      <c r="B35" s="1034" t="s">
        <v>1219</v>
      </c>
      <c r="D35" s="1046">
        <f>' SEFA (4)'!F20</f>
        <v>12033453</v>
      </c>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12033453</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topLeftCell="A19" zoomScaleNormal="100" workbookViewId="0">
      <selection activeCell="H26" sqref="H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Rock Island SD 41</v>
      </c>
      <c r="C1" s="2575"/>
      <c r="D1" s="2575"/>
      <c r="E1" s="2575"/>
      <c r="F1" s="2575"/>
      <c r="G1" s="2575"/>
      <c r="H1" s="2575"/>
      <c r="I1" s="2575"/>
      <c r="J1" s="2575"/>
      <c r="K1" s="2575"/>
      <c r="L1" s="2575"/>
      <c r="M1" s="2575"/>
    </row>
    <row r="2" spans="2:14" ht="15" x14ac:dyDescent="0.2">
      <c r="B2" s="2576">
        <f>'Single Audit Cover'!E7</f>
        <v>49081041025</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2065</v>
      </c>
      <c r="C11" s="1821"/>
      <c r="D11" s="1822"/>
      <c r="E11" s="1823"/>
      <c r="F11" s="1823"/>
      <c r="G11" s="1823"/>
      <c r="H11" s="1823"/>
      <c r="I11" s="1823"/>
      <c r="J11" s="1823"/>
      <c r="K11" s="1823"/>
      <c r="L11" s="1823"/>
      <c r="M11" s="1823"/>
    </row>
    <row r="12" spans="2:14" ht="20.100000000000001" customHeight="1" x14ac:dyDescent="0.2">
      <c r="B12" s="1113" t="s">
        <v>2071</v>
      </c>
      <c r="C12" s="1824"/>
      <c r="D12" s="1825"/>
      <c r="E12" s="1826"/>
      <c r="F12" s="1826"/>
      <c r="G12" s="1826"/>
      <c r="H12" s="1826"/>
      <c r="I12" s="1826"/>
      <c r="J12" s="1826"/>
      <c r="K12" s="1826"/>
      <c r="L12" s="1823"/>
      <c r="M12" s="1826"/>
    </row>
    <row r="13" spans="2:14" ht="20.100000000000001" customHeight="1" x14ac:dyDescent="0.2">
      <c r="B13" s="1113" t="s">
        <v>1050</v>
      </c>
      <c r="C13" s="1824">
        <v>10.553000000000001</v>
      </c>
      <c r="D13" s="1825" t="s">
        <v>2074</v>
      </c>
      <c r="E13" s="1826">
        <v>0</v>
      </c>
      <c r="F13" s="1826">
        <v>423309</v>
      </c>
      <c r="G13" s="1826">
        <f>E13</f>
        <v>0</v>
      </c>
      <c r="H13" s="1826">
        <v>0</v>
      </c>
      <c r="I13" s="1826">
        <f>F13</f>
        <v>423309</v>
      </c>
      <c r="J13" s="1826">
        <v>0</v>
      </c>
      <c r="K13" s="1826">
        <v>0</v>
      </c>
      <c r="L13" s="1823">
        <f t="shared" ref="L13:L25" si="0">+G13+I13+K13</f>
        <v>423309</v>
      </c>
      <c r="M13" s="1826" t="s">
        <v>2085</v>
      </c>
    </row>
    <row r="14" spans="2:14" ht="20.100000000000001" customHeight="1" x14ac:dyDescent="0.2">
      <c r="B14" s="1113" t="s">
        <v>1050</v>
      </c>
      <c r="C14" s="1824">
        <v>10.553000000000001</v>
      </c>
      <c r="D14" s="1825" t="s">
        <v>2075</v>
      </c>
      <c r="E14" s="1826">
        <v>638244</v>
      </c>
      <c r="F14" s="1826">
        <v>198062</v>
      </c>
      <c r="G14" s="1826">
        <f t="shared" ref="G14:G22" si="1">E14</f>
        <v>638244</v>
      </c>
      <c r="H14" s="1826">
        <v>0</v>
      </c>
      <c r="I14" s="1826">
        <f t="shared" ref="I14:I22" si="2">F14</f>
        <v>198062</v>
      </c>
      <c r="J14" s="1826">
        <v>0</v>
      </c>
      <c r="K14" s="1826">
        <v>0</v>
      </c>
      <c r="L14" s="1823">
        <f t="shared" si="0"/>
        <v>836306</v>
      </c>
      <c r="M14" s="1826" t="s">
        <v>2085</v>
      </c>
    </row>
    <row r="15" spans="2:14" ht="20.100000000000001" customHeight="1" x14ac:dyDescent="0.2">
      <c r="B15" s="1113" t="s">
        <v>1049</v>
      </c>
      <c r="C15" s="1824">
        <v>10.555</v>
      </c>
      <c r="D15" s="1825" t="s">
        <v>2076</v>
      </c>
      <c r="E15" s="1826">
        <v>0</v>
      </c>
      <c r="F15" s="1826">
        <v>1387607</v>
      </c>
      <c r="G15" s="1826">
        <f t="shared" si="1"/>
        <v>0</v>
      </c>
      <c r="H15" s="1826">
        <v>0</v>
      </c>
      <c r="I15" s="1826">
        <f t="shared" si="2"/>
        <v>1387607</v>
      </c>
      <c r="J15" s="1826">
        <v>0</v>
      </c>
      <c r="K15" s="1826">
        <v>0</v>
      </c>
      <c r="L15" s="1823">
        <f t="shared" si="0"/>
        <v>1387607</v>
      </c>
      <c r="M15" s="1826" t="s">
        <v>2085</v>
      </c>
    </row>
    <row r="16" spans="2:14" ht="20.100000000000001" customHeight="1" x14ac:dyDescent="0.2">
      <c r="B16" s="1113" t="s">
        <v>1049</v>
      </c>
      <c r="C16" s="1824">
        <v>10.555</v>
      </c>
      <c r="D16" s="1825" t="s">
        <v>2077</v>
      </c>
      <c r="E16" s="1826">
        <v>2084199</v>
      </c>
      <c r="F16" s="1826">
        <v>664794</v>
      </c>
      <c r="G16" s="1826">
        <f t="shared" si="1"/>
        <v>2084199</v>
      </c>
      <c r="H16" s="1826">
        <v>0</v>
      </c>
      <c r="I16" s="1826">
        <f t="shared" si="2"/>
        <v>664794</v>
      </c>
      <c r="J16" s="1826">
        <v>0</v>
      </c>
      <c r="K16" s="1826">
        <v>0</v>
      </c>
      <c r="L16" s="1823">
        <f t="shared" si="0"/>
        <v>2748993</v>
      </c>
      <c r="M16" s="1826" t="s">
        <v>2085</v>
      </c>
    </row>
    <row r="17" spans="2:14" ht="20.100000000000001" customHeight="1" x14ac:dyDescent="0.2">
      <c r="B17" s="1113" t="s">
        <v>2067</v>
      </c>
      <c r="C17" s="1824">
        <v>10.555</v>
      </c>
      <c r="D17" s="1825" t="s">
        <v>2078</v>
      </c>
      <c r="E17" s="1826">
        <v>0</v>
      </c>
      <c r="F17" s="1826">
        <v>190379</v>
      </c>
      <c r="G17" s="1826">
        <f t="shared" si="1"/>
        <v>0</v>
      </c>
      <c r="H17" s="1826">
        <v>0</v>
      </c>
      <c r="I17" s="1826">
        <f t="shared" si="2"/>
        <v>190379</v>
      </c>
      <c r="J17" s="1826">
        <v>0</v>
      </c>
      <c r="K17" s="1826">
        <v>0</v>
      </c>
      <c r="L17" s="1823">
        <f t="shared" si="0"/>
        <v>190379</v>
      </c>
      <c r="M17" s="1826" t="s">
        <v>2085</v>
      </c>
    </row>
    <row r="18" spans="2:14" ht="20.100000000000001" customHeight="1" x14ac:dyDescent="0.2">
      <c r="B18" s="1113" t="s">
        <v>2068</v>
      </c>
      <c r="C18" s="1824">
        <v>10.555</v>
      </c>
      <c r="D18" s="1825" t="s">
        <v>2078</v>
      </c>
      <c r="E18" s="1826">
        <v>0</v>
      </c>
      <c r="F18" s="1826">
        <v>56739</v>
      </c>
      <c r="G18" s="1826">
        <f t="shared" si="1"/>
        <v>0</v>
      </c>
      <c r="H18" s="1826">
        <v>0</v>
      </c>
      <c r="I18" s="1826">
        <f t="shared" si="2"/>
        <v>56739</v>
      </c>
      <c r="J18" s="1826">
        <v>0</v>
      </c>
      <c r="K18" s="1826">
        <v>0</v>
      </c>
      <c r="L18" s="1823">
        <f t="shared" si="0"/>
        <v>56739</v>
      </c>
      <c r="M18" s="1826" t="s">
        <v>2085</v>
      </c>
    </row>
    <row r="19" spans="2:14" ht="20.100000000000001" customHeight="1" x14ac:dyDescent="0.2">
      <c r="B19" s="1113" t="s">
        <v>1038</v>
      </c>
      <c r="C19" s="1824">
        <v>10.555999999999999</v>
      </c>
      <c r="D19" s="1825" t="s">
        <v>2079</v>
      </c>
      <c r="E19" s="1826">
        <v>0</v>
      </c>
      <c r="F19" s="1826">
        <v>1055</v>
      </c>
      <c r="G19" s="1826">
        <f t="shared" si="1"/>
        <v>0</v>
      </c>
      <c r="H19" s="1826">
        <v>0</v>
      </c>
      <c r="I19" s="1826">
        <f t="shared" si="2"/>
        <v>1055</v>
      </c>
      <c r="J19" s="1826">
        <v>0</v>
      </c>
      <c r="K19" s="1826">
        <v>0</v>
      </c>
      <c r="L19" s="1823">
        <f t="shared" si="0"/>
        <v>1055</v>
      </c>
      <c r="M19" s="1826" t="s">
        <v>2085</v>
      </c>
    </row>
    <row r="20" spans="2:14" ht="20.100000000000001" customHeight="1" x14ac:dyDescent="0.2">
      <c r="B20" s="1113" t="s">
        <v>1038</v>
      </c>
      <c r="C20" s="1824">
        <v>10.555999999999999</v>
      </c>
      <c r="D20" s="1825" t="s">
        <v>2080</v>
      </c>
      <c r="E20" s="1826">
        <v>1482</v>
      </c>
      <c r="F20" s="1826">
        <v>469</v>
      </c>
      <c r="G20" s="1826">
        <f t="shared" si="1"/>
        <v>1482</v>
      </c>
      <c r="H20" s="1826">
        <v>0</v>
      </c>
      <c r="I20" s="1826">
        <f t="shared" si="2"/>
        <v>469</v>
      </c>
      <c r="J20" s="1826">
        <v>0</v>
      </c>
      <c r="K20" s="1826">
        <v>0</v>
      </c>
      <c r="L20" s="1823">
        <f t="shared" si="0"/>
        <v>1951</v>
      </c>
      <c r="M20" s="1826" t="s">
        <v>2085</v>
      </c>
    </row>
    <row r="21" spans="2:14" ht="20.100000000000001" customHeight="1" x14ac:dyDescent="0.2">
      <c r="B21" s="1113" t="s">
        <v>1434</v>
      </c>
      <c r="C21" s="1824">
        <v>10.558999999999999</v>
      </c>
      <c r="D21" s="1825" t="s">
        <v>2081</v>
      </c>
      <c r="E21" s="1826">
        <v>0</v>
      </c>
      <c r="F21" s="1826">
        <v>461135</v>
      </c>
      <c r="G21" s="1826">
        <f t="shared" si="1"/>
        <v>0</v>
      </c>
      <c r="H21" s="1826">
        <v>0</v>
      </c>
      <c r="I21" s="1826">
        <f t="shared" si="2"/>
        <v>461135</v>
      </c>
      <c r="J21" s="1826">
        <v>0</v>
      </c>
      <c r="K21" s="1826">
        <v>0</v>
      </c>
      <c r="L21" s="1823">
        <f t="shared" si="0"/>
        <v>461135</v>
      </c>
      <c r="M21" s="1826" t="s">
        <v>2085</v>
      </c>
    </row>
    <row r="22" spans="2:14" ht="20.100000000000001" customHeight="1" x14ac:dyDescent="0.2">
      <c r="B22" s="1113" t="s">
        <v>1434</v>
      </c>
      <c r="C22" s="1824">
        <v>10.558999999999999</v>
      </c>
      <c r="D22" s="1825" t="s">
        <v>2082</v>
      </c>
      <c r="E22" s="1826">
        <v>24524</v>
      </c>
      <c r="F22" s="1826">
        <v>3028</v>
      </c>
      <c r="G22" s="1826">
        <f t="shared" si="1"/>
        <v>24524</v>
      </c>
      <c r="H22" s="1826">
        <v>0</v>
      </c>
      <c r="I22" s="1826">
        <f t="shared" si="2"/>
        <v>3028</v>
      </c>
      <c r="J22" s="1826">
        <v>0</v>
      </c>
      <c r="K22" s="1826">
        <v>0</v>
      </c>
      <c r="L22" s="1823">
        <f t="shared" si="0"/>
        <v>27552</v>
      </c>
      <c r="M22" s="1826" t="s">
        <v>2085</v>
      </c>
    </row>
    <row r="23" spans="2:14" ht="20.100000000000001" customHeight="1" x14ac:dyDescent="0.2">
      <c r="B23" s="1113" t="s">
        <v>2069</v>
      </c>
      <c r="C23" s="1824"/>
      <c r="D23" s="1825"/>
      <c r="E23" s="1826">
        <f>SUM(E13:E22)</f>
        <v>2748449</v>
      </c>
      <c r="F23" s="1826">
        <f t="shared" ref="F23:L23" si="3">SUM(F13:F22)</f>
        <v>3386577</v>
      </c>
      <c r="G23" s="1826">
        <f t="shared" si="3"/>
        <v>2748449</v>
      </c>
      <c r="H23" s="1826">
        <f t="shared" si="3"/>
        <v>0</v>
      </c>
      <c r="I23" s="1826">
        <f t="shared" si="3"/>
        <v>3386577</v>
      </c>
      <c r="J23" s="1826">
        <v>0</v>
      </c>
      <c r="K23" s="1826">
        <v>0</v>
      </c>
      <c r="L23" s="1826">
        <f t="shared" si="3"/>
        <v>6135026</v>
      </c>
      <c r="M23" s="1826"/>
    </row>
    <row r="24" spans="2:14" ht="20.100000000000001" customHeight="1" x14ac:dyDescent="0.2">
      <c r="B24" s="1113" t="s">
        <v>2070</v>
      </c>
      <c r="C24" s="1824">
        <v>10.582000000000001</v>
      </c>
      <c r="D24" s="1825" t="s">
        <v>2083</v>
      </c>
      <c r="E24" s="1826">
        <v>0</v>
      </c>
      <c r="F24" s="1826">
        <v>39203</v>
      </c>
      <c r="G24" s="1826">
        <f>E24</f>
        <v>0</v>
      </c>
      <c r="H24" s="1826">
        <v>0</v>
      </c>
      <c r="I24" s="1826">
        <v>42683</v>
      </c>
      <c r="J24" s="1826">
        <v>0</v>
      </c>
      <c r="K24" s="1826">
        <v>0</v>
      </c>
      <c r="L24" s="1823">
        <f t="shared" si="0"/>
        <v>42683</v>
      </c>
      <c r="M24" s="1826" t="s">
        <v>2085</v>
      </c>
    </row>
    <row r="25" spans="2:14" ht="20.100000000000001" customHeight="1" x14ac:dyDescent="0.2">
      <c r="B25" s="1113" t="s">
        <v>2070</v>
      </c>
      <c r="C25" s="1824">
        <v>10.582000000000001</v>
      </c>
      <c r="D25" s="1825" t="s">
        <v>2084</v>
      </c>
      <c r="E25" s="1826">
        <v>84287</v>
      </c>
      <c r="F25" s="1826">
        <v>15589</v>
      </c>
      <c r="G25" s="1826">
        <f>E25</f>
        <v>84287</v>
      </c>
      <c r="H25" s="1826">
        <v>0</v>
      </c>
      <c r="I25" s="1826">
        <f>F25</f>
        <v>15589</v>
      </c>
      <c r="J25" s="1826">
        <v>0</v>
      </c>
      <c r="K25" s="1826">
        <v>0</v>
      </c>
      <c r="L25" s="1823">
        <f t="shared" si="0"/>
        <v>99876</v>
      </c>
      <c r="M25" s="1826" t="s">
        <v>2085</v>
      </c>
    </row>
    <row r="26" spans="2:14" ht="20.100000000000001" customHeight="1" x14ac:dyDescent="0.2">
      <c r="B26" s="1113" t="s">
        <v>2072</v>
      </c>
      <c r="C26" s="1824"/>
      <c r="D26" s="1825"/>
      <c r="E26" s="1826">
        <f>E25+E24</f>
        <v>84287</v>
      </c>
      <c r="F26" s="1826">
        <f>F25+F24</f>
        <v>54792</v>
      </c>
      <c r="G26" s="1826">
        <f t="shared" ref="G26:L26" si="4">G25+G24</f>
        <v>84287</v>
      </c>
      <c r="H26" s="1826">
        <f t="shared" si="4"/>
        <v>0</v>
      </c>
      <c r="I26" s="1826">
        <f t="shared" si="4"/>
        <v>58272</v>
      </c>
      <c r="J26" s="1826">
        <f t="shared" si="4"/>
        <v>0</v>
      </c>
      <c r="K26" s="1826">
        <f t="shared" si="4"/>
        <v>0</v>
      </c>
      <c r="L26" s="1826">
        <f t="shared" si="4"/>
        <v>142559</v>
      </c>
      <c r="M26" s="1826"/>
    </row>
    <row r="27" spans="2:14" ht="20.100000000000001" customHeight="1" x14ac:dyDescent="0.2">
      <c r="B27" s="1113" t="s">
        <v>2073</v>
      </c>
      <c r="C27" s="1824"/>
      <c r="D27" s="1825"/>
      <c r="E27" s="1826">
        <f>E26+E23</f>
        <v>2832736</v>
      </c>
      <c r="F27" s="1826">
        <f t="shared" ref="F27:L27" si="5">F26+F23</f>
        <v>3441369</v>
      </c>
      <c r="G27" s="1826">
        <f t="shared" si="5"/>
        <v>2832736</v>
      </c>
      <c r="H27" s="1826">
        <f t="shared" si="5"/>
        <v>0</v>
      </c>
      <c r="I27" s="1826">
        <f t="shared" si="5"/>
        <v>3444849</v>
      </c>
      <c r="J27" s="1826">
        <f t="shared" si="5"/>
        <v>0</v>
      </c>
      <c r="K27" s="1826">
        <f t="shared" si="5"/>
        <v>0</v>
      </c>
      <c r="L27" s="1826">
        <f t="shared" si="5"/>
        <v>6277585</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D869A-F540-4684-BCA9-5956E8F9C7E4}">
  <sheetPr>
    <tabColor rgb="FF92D050"/>
  </sheetPr>
  <dimension ref="B1:N153"/>
  <sheetViews>
    <sheetView showGridLines="0" zoomScaleNormal="100" workbookViewId="0">
      <selection activeCell="A5" sqref="A5:XFD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Rock Island SD 41</v>
      </c>
      <c r="C1" s="2575"/>
      <c r="D1" s="2575"/>
      <c r="E1" s="2575"/>
      <c r="F1" s="2575"/>
      <c r="G1" s="2575"/>
      <c r="H1" s="2575"/>
      <c r="I1" s="2575"/>
      <c r="J1" s="2575"/>
      <c r="K1" s="2575"/>
      <c r="L1" s="2575"/>
      <c r="M1" s="2575"/>
    </row>
    <row r="2" spans="2:14" ht="15" x14ac:dyDescent="0.2">
      <c r="B2" s="2576">
        <f>'Single Audit Cover'!E7</f>
        <v>49081041025</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2086</v>
      </c>
      <c r="C11" s="1821"/>
      <c r="D11" s="1822"/>
      <c r="E11" s="1823"/>
      <c r="F11" s="1823"/>
      <c r="G11" s="1823"/>
      <c r="H11" s="1823"/>
      <c r="I11" s="1823"/>
      <c r="J11" s="1823"/>
      <c r="K11" s="1823"/>
      <c r="L11" s="1823"/>
      <c r="M11" s="1823"/>
    </row>
    <row r="12" spans="2:14" ht="20.100000000000001" customHeight="1" x14ac:dyDescent="0.2">
      <c r="B12" s="1113" t="s">
        <v>2066</v>
      </c>
      <c r="C12" s="1824"/>
      <c r="D12" s="1825"/>
      <c r="E12" s="1826"/>
      <c r="F12" s="1826"/>
      <c r="G12" s="1826"/>
      <c r="H12" s="1826"/>
      <c r="I12" s="1826"/>
      <c r="J12" s="1826"/>
      <c r="K12" s="1826"/>
      <c r="L12" s="1823"/>
      <c r="M12" s="1826"/>
    </row>
    <row r="13" spans="2:14" ht="20.100000000000001" customHeight="1" x14ac:dyDescent="0.2">
      <c r="B13" s="1113" t="s">
        <v>2087</v>
      </c>
      <c r="C13" s="1824" t="s">
        <v>2097</v>
      </c>
      <c r="D13" s="1825" t="s">
        <v>2100</v>
      </c>
      <c r="E13" s="2038">
        <v>0</v>
      </c>
      <c r="F13" s="2038">
        <v>2617393</v>
      </c>
      <c r="G13" s="2038">
        <v>0</v>
      </c>
      <c r="H13" s="2038">
        <v>0</v>
      </c>
      <c r="I13" s="2038">
        <v>2662573</v>
      </c>
      <c r="J13" s="2038">
        <v>0</v>
      </c>
      <c r="K13" s="2038">
        <v>0</v>
      </c>
      <c r="L13" s="2037">
        <f t="shared" ref="L13:L28" si="0">+G13+I13+K13</f>
        <v>2662573</v>
      </c>
      <c r="M13" s="2038">
        <v>4394824</v>
      </c>
    </row>
    <row r="14" spans="2:14" ht="20.100000000000001" customHeight="1" x14ac:dyDescent="0.2">
      <c r="B14" s="1113" t="s">
        <v>2087</v>
      </c>
      <c r="C14" s="1824" t="s">
        <v>2097</v>
      </c>
      <c r="D14" s="1825" t="s">
        <v>2101</v>
      </c>
      <c r="E14" s="2038">
        <v>2441903</v>
      </c>
      <c r="F14" s="2038">
        <v>267639</v>
      </c>
      <c r="G14" s="2038">
        <v>2655776</v>
      </c>
      <c r="H14" s="2038">
        <v>0</v>
      </c>
      <c r="I14" s="2038">
        <v>53766</v>
      </c>
      <c r="J14" s="2038">
        <v>0</v>
      </c>
      <c r="K14" s="2038">
        <v>0</v>
      </c>
      <c r="L14" s="2037">
        <f t="shared" si="0"/>
        <v>2709542</v>
      </c>
      <c r="M14" s="2038">
        <v>3981465</v>
      </c>
    </row>
    <row r="15" spans="2:14" ht="20.100000000000001" customHeight="1" x14ac:dyDescent="0.2">
      <c r="B15" s="1113" t="s">
        <v>2088</v>
      </c>
      <c r="C15" s="1824" t="s">
        <v>2097</v>
      </c>
      <c r="D15" s="1825" t="s">
        <v>2152</v>
      </c>
      <c r="E15" s="2038">
        <v>0</v>
      </c>
      <c r="F15" s="2038">
        <v>3314</v>
      </c>
      <c r="G15" s="2038">
        <v>0</v>
      </c>
      <c r="H15" s="2038">
        <v>0</v>
      </c>
      <c r="I15" s="2038">
        <f>F15</f>
        <v>3314</v>
      </c>
      <c r="J15" s="2038">
        <v>0</v>
      </c>
      <c r="K15" s="2038">
        <v>0</v>
      </c>
      <c r="L15" s="2037">
        <f t="shared" si="0"/>
        <v>3314</v>
      </c>
      <c r="M15" s="2038">
        <v>165000</v>
      </c>
    </row>
    <row r="16" spans="2:14" ht="20.100000000000001" customHeight="1" x14ac:dyDescent="0.2">
      <c r="B16" s="1113" t="s">
        <v>2088</v>
      </c>
      <c r="C16" s="1824" t="s">
        <v>2097</v>
      </c>
      <c r="D16" s="1825" t="s">
        <v>2102</v>
      </c>
      <c r="E16" s="2038">
        <v>24624</v>
      </c>
      <c r="F16" s="2038">
        <v>7783</v>
      </c>
      <c r="G16" s="2038">
        <v>32407</v>
      </c>
      <c r="H16" s="2038">
        <v>0</v>
      </c>
      <c r="I16" s="2038">
        <v>0</v>
      </c>
      <c r="J16" s="2038">
        <v>0</v>
      </c>
      <c r="K16" s="2038">
        <v>0</v>
      </c>
      <c r="L16" s="2037">
        <f t="shared" si="0"/>
        <v>32407</v>
      </c>
      <c r="M16" s="2038">
        <v>197712</v>
      </c>
    </row>
    <row r="17" spans="2:14" ht="20.100000000000001" customHeight="1" x14ac:dyDescent="0.2">
      <c r="B17" s="1113" t="s">
        <v>2089</v>
      </c>
      <c r="C17" s="1824"/>
      <c r="D17" s="1825"/>
      <c r="E17" s="2038">
        <f>SUM(E13:E16)</f>
        <v>2466527</v>
      </c>
      <c r="F17" s="2038">
        <f t="shared" ref="F17:K17" si="1">SUM(F13:F16)</f>
        <v>2896129</v>
      </c>
      <c r="G17" s="2038">
        <f t="shared" si="1"/>
        <v>2688183</v>
      </c>
      <c r="H17" s="2038">
        <f t="shared" si="1"/>
        <v>0</v>
      </c>
      <c r="I17" s="2038">
        <f t="shared" si="1"/>
        <v>2719653</v>
      </c>
      <c r="J17" s="2038">
        <f t="shared" si="1"/>
        <v>0</v>
      </c>
      <c r="K17" s="2038">
        <f t="shared" si="1"/>
        <v>0</v>
      </c>
      <c r="L17" s="2037">
        <f t="shared" si="0"/>
        <v>5407836</v>
      </c>
      <c r="M17" s="2038"/>
    </row>
    <row r="18" spans="2:14" ht="20.100000000000001" customHeight="1" x14ac:dyDescent="0.2">
      <c r="B18" s="1113"/>
      <c r="C18" s="1824"/>
      <c r="D18" s="1825"/>
      <c r="E18" s="2038"/>
      <c r="F18" s="2038"/>
      <c r="G18" s="2038"/>
      <c r="H18" s="2038"/>
      <c r="I18" s="2038"/>
      <c r="J18" s="2038"/>
      <c r="K18" s="2038"/>
      <c r="L18" s="2037"/>
      <c r="M18" s="2038"/>
    </row>
    <row r="19" spans="2:14" ht="20.100000000000001" customHeight="1" x14ac:dyDescent="0.2">
      <c r="B19" s="1113" t="s">
        <v>2090</v>
      </c>
      <c r="C19" s="1824" t="s">
        <v>2098</v>
      </c>
      <c r="D19" s="1825" t="s">
        <v>2103</v>
      </c>
      <c r="E19" s="2038">
        <v>7732</v>
      </c>
      <c r="F19" s="2038">
        <v>9466</v>
      </c>
      <c r="G19" s="2038">
        <v>7732</v>
      </c>
      <c r="H19" s="2038">
        <v>0</v>
      </c>
      <c r="I19" s="2038">
        <v>9466</v>
      </c>
      <c r="J19" s="2038">
        <v>0</v>
      </c>
      <c r="K19" s="2038">
        <v>0</v>
      </c>
      <c r="L19" s="2037">
        <f t="shared" si="0"/>
        <v>17198</v>
      </c>
      <c r="M19" s="2038">
        <v>23250</v>
      </c>
    </row>
    <row r="20" spans="2:14" ht="20.100000000000001" customHeight="1" x14ac:dyDescent="0.2">
      <c r="B20" s="1113" t="s">
        <v>2091</v>
      </c>
      <c r="C20" s="1824" t="s">
        <v>2098</v>
      </c>
      <c r="D20" s="1825" t="s">
        <v>2104</v>
      </c>
      <c r="E20" s="2038">
        <v>0</v>
      </c>
      <c r="F20" s="2038">
        <v>52603</v>
      </c>
      <c r="G20" s="2038">
        <v>0</v>
      </c>
      <c r="H20" s="2038">
        <v>0</v>
      </c>
      <c r="I20" s="2038">
        <v>52603</v>
      </c>
      <c r="J20" s="2038">
        <v>0</v>
      </c>
      <c r="K20" s="2038">
        <v>0</v>
      </c>
      <c r="L20" s="2037">
        <f t="shared" si="0"/>
        <v>52603</v>
      </c>
      <c r="M20" s="2038">
        <v>95572</v>
      </c>
    </row>
    <row r="21" spans="2:14" ht="20.100000000000001" customHeight="1" x14ac:dyDescent="0.2">
      <c r="B21" s="1113" t="s">
        <v>2091</v>
      </c>
      <c r="C21" s="1824" t="s">
        <v>2098</v>
      </c>
      <c r="D21" s="1825" t="s">
        <v>2105</v>
      </c>
      <c r="E21" s="2038">
        <v>60726</v>
      </c>
      <c r="F21" s="2038">
        <v>1982</v>
      </c>
      <c r="G21" s="2038">
        <v>60726</v>
      </c>
      <c r="H21" s="2038">
        <v>0</v>
      </c>
      <c r="I21" s="2038">
        <v>1982</v>
      </c>
      <c r="J21" s="2038">
        <v>0</v>
      </c>
      <c r="K21" s="2038">
        <v>0</v>
      </c>
      <c r="L21" s="2037">
        <f t="shared" si="0"/>
        <v>62708</v>
      </c>
      <c r="M21" s="2038">
        <v>89580</v>
      </c>
    </row>
    <row r="22" spans="2:14" ht="20.100000000000001" customHeight="1" x14ac:dyDescent="0.2">
      <c r="B22" s="1113" t="s">
        <v>2092</v>
      </c>
      <c r="C22" s="1824"/>
      <c r="D22" s="1825"/>
      <c r="E22" s="2038">
        <f>SUM(E19:E21)</f>
        <v>68458</v>
      </c>
      <c r="F22" s="2038">
        <f t="shared" ref="F22:K22" si="2">SUM(F19:F21)</f>
        <v>64051</v>
      </c>
      <c r="G22" s="2038">
        <f t="shared" si="2"/>
        <v>68458</v>
      </c>
      <c r="H22" s="2038">
        <f t="shared" si="2"/>
        <v>0</v>
      </c>
      <c r="I22" s="2038">
        <f t="shared" si="2"/>
        <v>64051</v>
      </c>
      <c r="J22" s="2038">
        <f t="shared" si="2"/>
        <v>0</v>
      </c>
      <c r="K22" s="2038">
        <f t="shared" si="2"/>
        <v>0</v>
      </c>
      <c r="L22" s="2037">
        <f t="shared" si="0"/>
        <v>132509</v>
      </c>
      <c r="M22" s="2038"/>
    </row>
    <row r="23" spans="2:14" ht="20.100000000000001" customHeight="1" x14ac:dyDescent="0.2">
      <c r="B23" s="1113"/>
      <c r="C23" s="1824"/>
      <c r="D23" s="1825"/>
      <c r="E23" s="2038"/>
      <c r="F23" s="2038"/>
      <c r="G23" s="2038"/>
      <c r="H23" s="2038"/>
      <c r="I23" s="2038"/>
      <c r="J23" s="2038"/>
      <c r="K23" s="2038"/>
      <c r="L23" s="2037"/>
      <c r="M23" s="2038"/>
    </row>
    <row r="24" spans="2:14" ht="20.100000000000001" customHeight="1" x14ac:dyDescent="0.2">
      <c r="B24" s="1113" t="s">
        <v>2093</v>
      </c>
      <c r="C24" s="1824" t="s">
        <v>2099</v>
      </c>
      <c r="D24" s="1825" t="s">
        <v>2106</v>
      </c>
      <c r="E24" s="2038">
        <v>0</v>
      </c>
      <c r="F24" s="2038">
        <v>321164</v>
      </c>
      <c r="G24" s="2038">
        <v>0</v>
      </c>
      <c r="H24" s="2038">
        <v>0</v>
      </c>
      <c r="I24" s="2038">
        <v>343659</v>
      </c>
      <c r="J24" s="2038">
        <v>0</v>
      </c>
      <c r="K24" s="2038">
        <v>0</v>
      </c>
      <c r="L24" s="2037">
        <f t="shared" si="0"/>
        <v>343659</v>
      </c>
      <c r="M24" s="2038">
        <v>538850</v>
      </c>
    </row>
    <row r="25" spans="2:14" ht="20.100000000000001" customHeight="1" x14ac:dyDescent="0.2">
      <c r="B25" s="1113" t="s">
        <v>2093</v>
      </c>
      <c r="C25" s="1824" t="s">
        <v>2099</v>
      </c>
      <c r="D25" s="1825" t="s">
        <v>2107</v>
      </c>
      <c r="E25" s="2038">
        <v>458515</v>
      </c>
      <c r="F25" s="2038">
        <v>87436</v>
      </c>
      <c r="G25" s="2038">
        <v>511304</v>
      </c>
      <c r="H25" s="2038">
        <v>0</v>
      </c>
      <c r="I25" s="2038">
        <v>34647</v>
      </c>
      <c r="J25" s="2038">
        <v>0</v>
      </c>
      <c r="K25" s="2038">
        <v>0</v>
      </c>
      <c r="L25" s="2037">
        <f t="shared" si="0"/>
        <v>545951</v>
      </c>
      <c r="M25" s="2038">
        <v>774039</v>
      </c>
    </row>
    <row r="26" spans="2:14" ht="20.100000000000001" customHeight="1" x14ac:dyDescent="0.2">
      <c r="B26" s="1113" t="s">
        <v>2094</v>
      </c>
      <c r="C26" s="1824"/>
      <c r="D26" s="1825"/>
      <c r="E26" s="2038">
        <f>E24+E25</f>
        <v>458515</v>
      </c>
      <c r="F26" s="2038">
        <f t="shared" ref="F26:K26" si="3">F24+F25</f>
        <v>408600</v>
      </c>
      <c r="G26" s="2038">
        <f t="shared" si="3"/>
        <v>511304</v>
      </c>
      <c r="H26" s="2038">
        <f t="shared" si="3"/>
        <v>0</v>
      </c>
      <c r="I26" s="2038">
        <f t="shared" si="3"/>
        <v>378306</v>
      </c>
      <c r="J26" s="2038">
        <f t="shared" si="3"/>
        <v>0</v>
      </c>
      <c r="K26" s="2038">
        <f t="shared" si="3"/>
        <v>0</v>
      </c>
      <c r="L26" s="2037">
        <f t="shared" si="0"/>
        <v>889610</v>
      </c>
      <c r="M26" s="2038"/>
    </row>
    <row r="27" spans="2:14" ht="20.100000000000001" customHeight="1" x14ac:dyDescent="0.2">
      <c r="B27" s="1113" t="s">
        <v>2095</v>
      </c>
      <c r="C27" s="1824"/>
      <c r="D27" s="1825"/>
      <c r="E27" s="2038"/>
      <c r="F27" s="2038"/>
      <c r="G27" s="2038"/>
      <c r="H27" s="2038"/>
      <c r="I27" s="2038"/>
      <c r="J27" s="2038"/>
      <c r="K27" s="2038"/>
      <c r="L27" s="2037"/>
      <c r="M27" s="2038"/>
    </row>
    <row r="28" spans="2:14" ht="20.100000000000001" customHeight="1" x14ac:dyDescent="0.2">
      <c r="B28" s="1113" t="s">
        <v>2096</v>
      </c>
      <c r="C28" s="1824">
        <v>84.027000000000001</v>
      </c>
      <c r="D28" s="1825" t="s">
        <v>2108</v>
      </c>
      <c r="E28" s="2038">
        <v>24106</v>
      </c>
      <c r="F28" s="2038">
        <v>19028</v>
      </c>
      <c r="G28" s="2038">
        <v>24106</v>
      </c>
      <c r="H28" s="2038">
        <v>0</v>
      </c>
      <c r="I28" s="2038">
        <v>19028</v>
      </c>
      <c r="J28" s="2038">
        <v>0</v>
      </c>
      <c r="K28" s="2038">
        <v>0</v>
      </c>
      <c r="L28" s="2037">
        <f t="shared" si="0"/>
        <v>43134</v>
      </c>
      <c r="M28" s="2038" t="s">
        <v>2085</v>
      </c>
      <c r="N28" s="1114"/>
    </row>
    <row r="29" spans="2:14" ht="12.75" customHeight="1" x14ac:dyDescent="0.2">
      <c r="B29" s="1115"/>
      <c r="C29" s="1116"/>
      <c r="D29" s="1117"/>
      <c r="E29" s="1118"/>
      <c r="F29" s="1118"/>
      <c r="G29" s="1118"/>
      <c r="H29" s="1118"/>
      <c r="I29" s="1118"/>
      <c r="J29" s="1118"/>
      <c r="K29" s="1118"/>
      <c r="L29" s="1118"/>
      <c r="M29" s="1118"/>
      <c r="N29" s="1114"/>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1711</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1809</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1235</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1712</v>
      </c>
      <c r="C38" s="1135"/>
      <c r="D38" s="1135"/>
      <c r="E38" s="1135"/>
      <c r="F38" s="1135"/>
      <c r="G38" s="1135"/>
      <c r="H38" s="1135"/>
      <c r="I38" s="1136"/>
      <c r="J38" s="1136"/>
      <c r="K38" s="1136"/>
      <c r="L38" s="1136"/>
      <c r="M38" s="1136"/>
    </row>
    <row r="39" spans="2:13" ht="11.25" customHeight="1" x14ac:dyDescent="0.2">
      <c r="B39" s="1137" t="s">
        <v>1567</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1713</v>
      </c>
      <c r="C41" s="1136"/>
      <c r="D41" s="1136"/>
      <c r="E41" s="1136"/>
      <c r="F41" s="1136"/>
      <c r="G41" s="1136"/>
      <c r="H41" s="1136"/>
      <c r="I41" s="1136"/>
      <c r="J41" s="1136"/>
      <c r="K41" s="1136"/>
      <c r="L41" s="1136"/>
      <c r="M41" s="1136"/>
    </row>
    <row r="42" spans="2:13" ht="11.25" customHeight="1" x14ac:dyDescent="0.2">
      <c r="B42" s="1076" t="s">
        <v>1568</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1714</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1715</v>
      </c>
      <c r="C46" s="1138"/>
      <c r="D46" s="1139"/>
      <c r="E46" s="1076"/>
      <c r="F46" s="1076"/>
      <c r="G46" s="1076"/>
      <c r="H46" s="1076"/>
      <c r="I46" s="1076"/>
      <c r="J46" s="1076"/>
      <c r="K46" s="1140"/>
      <c r="L46" s="1140"/>
      <c r="M46" s="1076"/>
    </row>
    <row r="47" spans="2:13" ht="11.25" customHeight="1" x14ac:dyDescent="0.2">
      <c r="B47" s="1076" t="s">
        <v>1569</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J21" sqref="J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1158</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7" t="s">
        <v>1616</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1312</v>
      </c>
      <c r="B70" s="2180"/>
      <c r="C70" s="2180"/>
      <c r="D70" s="2180"/>
      <c r="E70" s="2181"/>
      <c r="F70" s="2181"/>
      <c r="G70" s="2181"/>
      <c r="H70" s="2181"/>
      <c r="I70" s="218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1309</v>
      </c>
      <c r="B83" s="2182"/>
      <c r="C83" s="2182"/>
      <c r="D83" s="218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3" t="s">
        <v>1986</v>
      </c>
      <c r="B85" s="2193"/>
      <c r="C85" s="2193"/>
      <c r="D85" s="2194"/>
      <c r="E85" s="1544"/>
      <c r="F85" s="1544"/>
      <c r="G85" s="1544"/>
      <c r="H85" s="1544">
        <f>'Revenues 9-14'!F153</f>
        <v>736908</v>
      </c>
      <c r="I85" s="1900"/>
      <c r="J85" s="1727">
        <f>SUM(E85:I85)</f>
        <v>736908</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5" t="s">
        <v>1986</v>
      </c>
      <c r="B88" s="2196"/>
      <c r="C88" s="2196"/>
      <c r="D88" s="2197"/>
      <c r="E88" s="1544"/>
      <c r="F88" s="1544"/>
      <c r="G88" s="1544"/>
      <c r="H88" s="1544"/>
      <c r="I88" s="1900"/>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1"/>
      <c r="J90" s="1729">
        <f>SUM(J85:J89)</f>
        <v>736908</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2052</v>
      </c>
      <c r="D114" s="217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1319</v>
      </c>
      <c r="D117" s="2175"/>
      <c r="E117" s="2176"/>
      <c r="F117" s="2176"/>
      <c r="G117" s="2176"/>
      <c r="H117" s="217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DF80-88FA-4C3E-85CE-1CC69A405208}">
  <sheetPr>
    <tabColor rgb="FF92D050"/>
  </sheetPr>
  <dimension ref="B1:N155"/>
  <sheetViews>
    <sheetView showGridLines="0" topLeftCell="A19" zoomScaleNormal="100" workbookViewId="0">
      <selection activeCell="O22" sqref="O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Rock Island SD 41</v>
      </c>
      <c r="C1" s="2575"/>
      <c r="D1" s="2575"/>
      <c r="E1" s="2575"/>
      <c r="F1" s="2575"/>
      <c r="G1" s="2575"/>
      <c r="H1" s="2575"/>
      <c r="I1" s="2575"/>
      <c r="J1" s="2575"/>
      <c r="K1" s="2575"/>
      <c r="L1" s="2575"/>
      <c r="M1" s="2575"/>
    </row>
    <row r="2" spans="2:14" ht="15" x14ac:dyDescent="0.2">
      <c r="B2" s="2576">
        <f>'Single Audit Cover'!E7</f>
        <v>49081041025</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6"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2109</v>
      </c>
      <c r="C12" s="1824" t="s">
        <v>2117</v>
      </c>
      <c r="D12" s="1825" t="s">
        <v>2120</v>
      </c>
      <c r="E12" s="2038">
        <v>611768</v>
      </c>
      <c r="F12" s="2038">
        <v>80878</v>
      </c>
      <c r="G12" s="2038">
        <v>612968</v>
      </c>
      <c r="H12" s="2038">
        <v>0</v>
      </c>
      <c r="I12" s="2038">
        <v>80878</v>
      </c>
      <c r="J12" s="2038">
        <v>0</v>
      </c>
      <c r="K12" s="2038">
        <v>0</v>
      </c>
      <c r="L12" s="2037">
        <f t="shared" ref="L12:L29" si="0">+G12+I12+K12</f>
        <v>693846</v>
      </c>
      <c r="M12" s="2038">
        <v>778460</v>
      </c>
    </row>
    <row r="13" spans="2:14" ht="20.100000000000001" customHeight="1" x14ac:dyDescent="0.2">
      <c r="B13" s="1113" t="s">
        <v>2110</v>
      </c>
      <c r="C13" s="1824" t="s">
        <v>2118</v>
      </c>
      <c r="D13" s="1825" t="s">
        <v>2121</v>
      </c>
      <c r="E13" s="2038">
        <v>0</v>
      </c>
      <c r="F13" s="2038">
        <v>30418</v>
      </c>
      <c r="G13" s="2038">
        <v>0</v>
      </c>
      <c r="H13" s="2038">
        <v>0</v>
      </c>
      <c r="I13" s="2038">
        <v>30418</v>
      </c>
      <c r="J13" s="2038">
        <v>0</v>
      </c>
      <c r="K13" s="2038">
        <v>0</v>
      </c>
      <c r="L13" s="2037">
        <f t="shared" si="0"/>
        <v>30418</v>
      </c>
      <c r="M13" s="2038">
        <v>2603713</v>
      </c>
    </row>
    <row r="14" spans="2:14" ht="20.100000000000001" customHeight="1" x14ac:dyDescent="0.2">
      <c r="B14" s="1113" t="s">
        <v>2111</v>
      </c>
      <c r="C14" s="1824" t="s">
        <v>2119</v>
      </c>
      <c r="D14" s="1825" t="s">
        <v>2122</v>
      </c>
      <c r="E14" s="2038">
        <v>0</v>
      </c>
      <c r="F14" s="2038">
        <v>176807</v>
      </c>
      <c r="G14" s="2038">
        <v>0</v>
      </c>
      <c r="H14" s="2038">
        <v>0</v>
      </c>
      <c r="I14" s="2038">
        <v>176900</v>
      </c>
      <c r="J14" s="2038">
        <v>0</v>
      </c>
      <c r="K14" s="2038">
        <v>0</v>
      </c>
      <c r="L14" s="2037">
        <f t="shared" si="0"/>
        <v>176900</v>
      </c>
      <c r="M14" s="2038">
        <v>229500</v>
      </c>
    </row>
    <row r="15" spans="2:14" ht="20.100000000000001" customHeight="1" x14ac:dyDescent="0.2">
      <c r="B15" s="1113" t="s">
        <v>2111</v>
      </c>
      <c r="C15" s="1824" t="s">
        <v>2119</v>
      </c>
      <c r="D15" s="1825" t="s">
        <v>2123</v>
      </c>
      <c r="E15" s="2038">
        <v>173048</v>
      </c>
      <c r="F15" s="2038">
        <v>5490</v>
      </c>
      <c r="G15" s="2038">
        <v>174432</v>
      </c>
      <c r="H15" s="2038">
        <v>0</v>
      </c>
      <c r="I15" s="2038">
        <v>4106</v>
      </c>
      <c r="J15" s="2038">
        <v>0</v>
      </c>
      <c r="K15" s="2038">
        <v>0</v>
      </c>
      <c r="L15" s="2037">
        <f t="shared" si="0"/>
        <v>178538</v>
      </c>
      <c r="M15" s="2038">
        <v>229500</v>
      </c>
    </row>
    <row r="16" spans="2:14" ht="20.100000000000001" customHeight="1" x14ac:dyDescent="0.2">
      <c r="B16" s="1113" t="s">
        <v>2156</v>
      </c>
      <c r="C16" s="1824"/>
      <c r="D16" s="1825"/>
      <c r="E16" s="2038">
        <f>E15+E14</f>
        <v>173048</v>
      </c>
      <c r="F16" s="2038">
        <f t="shared" ref="F16:K16" si="1">F15+F14</f>
        <v>182297</v>
      </c>
      <c r="G16" s="2038">
        <f t="shared" si="1"/>
        <v>174432</v>
      </c>
      <c r="H16" s="2038">
        <f t="shared" si="1"/>
        <v>0</v>
      </c>
      <c r="I16" s="2038">
        <f t="shared" si="1"/>
        <v>181006</v>
      </c>
      <c r="J16" s="2038">
        <f t="shared" si="1"/>
        <v>0</v>
      </c>
      <c r="K16" s="2038">
        <f t="shared" si="1"/>
        <v>0</v>
      </c>
      <c r="L16" s="2037">
        <f t="shared" si="0"/>
        <v>355438</v>
      </c>
      <c r="M16" s="2038"/>
    </row>
    <row r="17" spans="2:14" ht="11.45" customHeight="1" x14ac:dyDescent="0.2">
      <c r="B17" s="1113"/>
      <c r="C17" s="1824"/>
      <c r="D17" s="1825"/>
      <c r="E17" s="2038"/>
      <c r="F17" s="2038"/>
      <c r="G17" s="2038"/>
      <c r="H17" s="2038"/>
      <c r="I17" s="2038"/>
      <c r="J17" s="2038"/>
      <c r="K17" s="2038"/>
      <c r="L17" s="2037">
        <f t="shared" si="0"/>
        <v>0</v>
      </c>
      <c r="M17" s="2038"/>
    </row>
    <row r="18" spans="2:14" ht="20.100000000000001" customHeight="1" x14ac:dyDescent="0.2">
      <c r="B18" s="1113" t="s">
        <v>2112</v>
      </c>
      <c r="C18" s="1824">
        <v>84.424000000000007</v>
      </c>
      <c r="D18" s="1825" t="s">
        <v>2124</v>
      </c>
      <c r="E18" s="2038">
        <v>0</v>
      </c>
      <c r="F18" s="2038">
        <v>101835</v>
      </c>
      <c r="G18" s="2038">
        <v>0</v>
      </c>
      <c r="H18" s="2038">
        <v>0</v>
      </c>
      <c r="I18" s="2038">
        <v>102932</v>
      </c>
      <c r="J18" s="2038">
        <v>0</v>
      </c>
      <c r="K18" s="2038">
        <v>0</v>
      </c>
      <c r="L18" s="2037">
        <f t="shared" si="0"/>
        <v>102932</v>
      </c>
      <c r="M18" s="2038">
        <v>337880</v>
      </c>
    </row>
    <row r="19" spans="2:14" ht="20.100000000000001" customHeight="1" x14ac:dyDescent="0.2">
      <c r="B19" s="1113" t="s">
        <v>2112</v>
      </c>
      <c r="C19" s="1824">
        <v>84.424000000000007</v>
      </c>
      <c r="D19" s="1825" t="s">
        <v>2153</v>
      </c>
      <c r="E19" s="2038">
        <v>74064</v>
      </c>
      <c r="F19" s="2038">
        <v>17533</v>
      </c>
      <c r="G19" s="2038">
        <v>91597</v>
      </c>
      <c r="H19" s="2038">
        <v>0</v>
      </c>
      <c r="I19" s="2038">
        <v>0</v>
      </c>
      <c r="J19" s="2038">
        <v>0</v>
      </c>
      <c r="K19" s="2038">
        <v>0</v>
      </c>
      <c r="L19" s="2037">
        <f t="shared" si="0"/>
        <v>91597</v>
      </c>
      <c r="M19" s="2038">
        <v>202586</v>
      </c>
    </row>
    <row r="20" spans="2:14" ht="20.100000000000001" customHeight="1" x14ac:dyDescent="0.2">
      <c r="B20" s="1113" t="s">
        <v>2157</v>
      </c>
      <c r="C20" s="1824"/>
      <c r="D20" s="1825"/>
      <c r="E20" s="2038">
        <f>E18+E19</f>
        <v>74064</v>
      </c>
      <c r="F20" s="2038">
        <f t="shared" ref="F20:L20" si="2">F18+F19</f>
        <v>119368</v>
      </c>
      <c r="G20" s="2038">
        <f t="shared" si="2"/>
        <v>91597</v>
      </c>
      <c r="H20" s="2038">
        <f t="shared" si="2"/>
        <v>0</v>
      </c>
      <c r="I20" s="2038">
        <f t="shared" si="2"/>
        <v>102932</v>
      </c>
      <c r="J20" s="2038">
        <f t="shared" si="2"/>
        <v>0</v>
      </c>
      <c r="K20" s="2038">
        <f t="shared" si="2"/>
        <v>0</v>
      </c>
      <c r="L20" s="2038">
        <f t="shared" si="2"/>
        <v>194529</v>
      </c>
      <c r="M20" s="2038"/>
    </row>
    <row r="21" spans="2:14" ht="20.100000000000001" customHeight="1" x14ac:dyDescent="0.2">
      <c r="B21" s="1113" t="s">
        <v>2113</v>
      </c>
      <c r="C21" s="1824"/>
      <c r="D21" s="1825"/>
      <c r="E21" s="2038"/>
      <c r="F21" s="2038"/>
      <c r="G21" s="2038"/>
      <c r="H21" s="2038"/>
      <c r="I21" s="2038"/>
      <c r="J21" s="2038"/>
      <c r="K21" s="2038"/>
      <c r="L21" s="2037">
        <f t="shared" si="0"/>
        <v>0</v>
      </c>
      <c r="M21" s="2038"/>
    </row>
    <row r="22" spans="2:14" ht="20.100000000000001" customHeight="1" x14ac:dyDescent="0.2">
      <c r="B22" s="1113" t="s">
        <v>2114</v>
      </c>
      <c r="C22" s="1824">
        <v>84.027000000000001</v>
      </c>
      <c r="D22" s="1825" t="s">
        <v>2125</v>
      </c>
      <c r="E22" s="2038">
        <v>0</v>
      </c>
      <c r="F22" s="2038">
        <v>1665734</v>
      </c>
      <c r="G22" s="2038">
        <v>0</v>
      </c>
      <c r="H22" s="2038">
        <v>0</v>
      </c>
      <c r="I22" s="2038">
        <f>F22</f>
        <v>1665734</v>
      </c>
      <c r="J22" s="2038">
        <v>0</v>
      </c>
      <c r="K22" s="2038">
        <v>0</v>
      </c>
      <c r="L22" s="2037">
        <f t="shared" si="0"/>
        <v>1665734</v>
      </c>
      <c r="M22" s="2038">
        <v>1674964</v>
      </c>
    </row>
    <row r="23" spans="2:14" ht="20.100000000000001" customHeight="1" x14ac:dyDescent="0.2">
      <c r="B23" s="1113" t="s">
        <v>2114</v>
      </c>
      <c r="C23" s="1824">
        <v>84.173000000000002</v>
      </c>
      <c r="D23" s="1825" t="s">
        <v>2125</v>
      </c>
      <c r="E23" s="2038">
        <v>0</v>
      </c>
      <c r="F23" s="2038">
        <v>54491</v>
      </c>
      <c r="G23" s="2038">
        <v>0</v>
      </c>
      <c r="H23" s="2038">
        <v>0</v>
      </c>
      <c r="I23" s="2038">
        <f>F23</f>
        <v>54491</v>
      </c>
      <c r="J23" s="2038">
        <v>0</v>
      </c>
      <c r="K23" s="2038">
        <v>0</v>
      </c>
      <c r="L23" s="2037">
        <f t="shared" si="0"/>
        <v>54491</v>
      </c>
      <c r="M23" s="2038">
        <v>54491</v>
      </c>
    </row>
    <row r="24" spans="2:14" ht="20.100000000000001" customHeight="1" x14ac:dyDescent="0.2">
      <c r="B24" s="1113" t="s">
        <v>2154</v>
      </c>
      <c r="C24" s="1824"/>
      <c r="D24" s="1825"/>
      <c r="E24" s="2038">
        <f>E22+E23</f>
        <v>0</v>
      </c>
      <c r="F24" s="2038">
        <f t="shared" ref="F24:L24" si="3">F22+F23</f>
        <v>1720225</v>
      </c>
      <c r="G24" s="2038">
        <f t="shared" si="3"/>
        <v>0</v>
      </c>
      <c r="H24" s="2038">
        <f t="shared" si="3"/>
        <v>0</v>
      </c>
      <c r="I24" s="2038">
        <f t="shared" si="3"/>
        <v>1720225</v>
      </c>
      <c r="J24" s="2038">
        <f t="shared" si="3"/>
        <v>0</v>
      </c>
      <c r="K24" s="2038">
        <f t="shared" si="3"/>
        <v>0</v>
      </c>
      <c r="L24" s="2038">
        <f t="shared" si="3"/>
        <v>1720225</v>
      </c>
      <c r="M24" s="2038"/>
    </row>
    <row r="25" spans="2:14" ht="20.100000000000001" customHeight="1" x14ac:dyDescent="0.2">
      <c r="B25" s="1113" t="s">
        <v>2115</v>
      </c>
      <c r="C25" s="1824"/>
      <c r="D25" s="1825"/>
      <c r="E25" s="2038"/>
      <c r="F25" s="2038"/>
      <c r="G25" s="2038"/>
      <c r="H25" s="2038"/>
      <c r="I25" s="2038"/>
      <c r="J25" s="2038"/>
      <c r="K25" s="2038"/>
      <c r="L25" s="2037"/>
      <c r="M25" s="2038"/>
    </row>
    <row r="26" spans="2:14" ht="20.100000000000001" customHeight="1" x14ac:dyDescent="0.2">
      <c r="B26" s="1113" t="s">
        <v>2111</v>
      </c>
      <c r="C26" s="1824" t="s">
        <v>2119</v>
      </c>
      <c r="D26" s="1825" t="s">
        <v>2126</v>
      </c>
      <c r="E26" s="2038">
        <v>0</v>
      </c>
      <c r="F26" s="2038">
        <v>94009</v>
      </c>
      <c r="G26" s="2038">
        <v>0</v>
      </c>
      <c r="H26" s="2038">
        <v>0</v>
      </c>
      <c r="I26" s="2038">
        <v>94009</v>
      </c>
      <c r="J26" s="2038">
        <v>0</v>
      </c>
      <c r="K26" s="2038">
        <v>0</v>
      </c>
      <c r="L26" s="2037">
        <f t="shared" si="0"/>
        <v>94009</v>
      </c>
      <c r="M26" s="2038">
        <v>94009</v>
      </c>
    </row>
    <row r="27" spans="2:14" ht="20.100000000000001" customHeight="1" x14ac:dyDescent="0.2">
      <c r="B27" s="1113" t="s">
        <v>2111</v>
      </c>
      <c r="C27" s="1824" t="s">
        <v>2119</v>
      </c>
      <c r="D27" s="1825" t="s">
        <v>2127</v>
      </c>
      <c r="E27" s="2038">
        <v>54155</v>
      </c>
      <c r="F27" s="2038">
        <v>58441</v>
      </c>
      <c r="G27" s="2038">
        <v>105198</v>
      </c>
      <c r="H27" s="2038">
        <v>0</v>
      </c>
      <c r="I27" s="2038">
        <v>7398</v>
      </c>
      <c r="J27" s="2038">
        <v>0</v>
      </c>
      <c r="K27" s="2038">
        <v>0</v>
      </c>
      <c r="L27" s="2037">
        <f t="shared" si="0"/>
        <v>112596</v>
      </c>
      <c r="M27" s="2038">
        <v>12596</v>
      </c>
    </row>
    <row r="28" spans="2:14" ht="20.100000000000001" customHeight="1" x14ac:dyDescent="0.2">
      <c r="B28" s="1113" t="s">
        <v>2156</v>
      </c>
      <c r="C28" s="1824"/>
      <c r="D28" s="1825"/>
      <c r="E28" s="2038">
        <f>E26+E27</f>
        <v>54155</v>
      </c>
      <c r="F28" s="2038">
        <f t="shared" ref="F28:L28" si="4">F26+F27</f>
        <v>152450</v>
      </c>
      <c r="G28" s="2038">
        <f t="shared" si="4"/>
        <v>105198</v>
      </c>
      <c r="H28" s="2038">
        <f t="shared" si="4"/>
        <v>0</v>
      </c>
      <c r="I28" s="2038">
        <f t="shared" si="4"/>
        <v>101407</v>
      </c>
      <c r="J28" s="2038">
        <f t="shared" si="4"/>
        <v>0</v>
      </c>
      <c r="K28" s="2038">
        <f t="shared" si="4"/>
        <v>0</v>
      </c>
      <c r="L28" s="2038">
        <f t="shared" si="4"/>
        <v>206605</v>
      </c>
      <c r="M28" s="2038"/>
    </row>
    <row r="29" spans="2:14" ht="12.6" customHeight="1" x14ac:dyDescent="0.2">
      <c r="B29" s="1113"/>
      <c r="C29" s="1824"/>
      <c r="D29" s="1825"/>
      <c r="E29" s="2038"/>
      <c r="F29" s="2038"/>
      <c r="G29" s="2038"/>
      <c r="H29" s="2038"/>
      <c r="I29" s="2038"/>
      <c r="J29" s="2038"/>
      <c r="K29" s="2038"/>
      <c r="L29" s="2037">
        <f t="shared" si="0"/>
        <v>0</v>
      </c>
      <c r="M29" s="2038"/>
    </row>
    <row r="30" spans="2:14" ht="20.100000000000001" customHeight="1" x14ac:dyDescent="0.2">
      <c r="B30" s="1113" t="s">
        <v>2116</v>
      </c>
      <c r="C30" s="1824"/>
      <c r="D30" s="1825"/>
      <c r="E30" s="2038">
        <f>' SEFA (2)'!E17+' SEFA (2)'!E22+' SEFA (2)'!E26+' SEFA (2)'!E28+' SEFA (3)'!E12+' SEFA (3)'!E13+' SEFA (3)'!E16+' SEFA (3)'!E20+' SEFA (3)'!E24+' SEFA (3)'!E28</f>
        <v>3930641</v>
      </c>
      <c r="F30" s="2038">
        <f>' SEFA (2)'!F17+' SEFA (2)'!F22+' SEFA (2)'!F26+' SEFA (2)'!F28+' SEFA (3)'!F12+' SEFA (3)'!F13+' SEFA (3)'!F16+' SEFA (3)'!F20+' SEFA (3)'!F24+' SEFA (3)'!F28</f>
        <v>5673444</v>
      </c>
      <c r="G30" s="2038">
        <f>' SEFA (2)'!G17+' SEFA (2)'!G22+' SEFA (2)'!G26+' SEFA (2)'!G28+' SEFA (3)'!G12+' SEFA (3)'!G13+' SEFA (3)'!G16+' SEFA (3)'!G20+' SEFA (3)'!G24+' SEFA (3)'!G28</f>
        <v>4276246</v>
      </c>
      <c r="H30" s="2038">
        <f>' SEFA (2)'!H17+' SEFA (2)'!H22+' SEFA (2)'!H26+' SEFA (2)'!H28+' SEFA (3)'!H12+' SEFA (3)'!H13+' SEFA (3)'!H16+' SEFA (3)'!H20+' SEFA (3)'!H24+' SEFA (3)'!H28</f>
        <v>0</v>
      </c>
      <c r="I30" s="2038">
        <f>' SEFA (2)'!I17+' SEFA (2)'!I22+' SEFA (2)'!I26+' SEFA (2)'!I28+' SEFA (3)'!I12+' SEFA (3)'!I13+' SEFA (3)'!I16+' SEFA (3)'!I20+' SEFA (3)'!I24+' SEFA (3)'!I28</f>
        <v>5397904</v>
      </c>
      <c r="J30" s="2038">
        <f>' SEFA (2)'!J17+' SEFA (2)'!J22+' SEFA (2)'!J26+' SEFA (2)'!J28+' SEFA (3)'!J12+' SEFA (3)'!J13+' SEFA (3)'!J16+' SEFA (3)'!J20+' SEFA (3)'!J24+' SEFA (3)'!J28</f>
        <v>0</v>
      </c>
      <c r="K30" s="2038">
        <f>' SEFA (2)'!K17+' SEFA (2)'!K22+' SEFA (2)'!K26+' SEFA (2)'!K28+' SEFA (3)'!K12+' SEFA (3)'!K13+' SEFA (3)'!K16+' SEFA (3)'!K20+' SEFA (3)'!K24+' SEFA (3)'!K28</f>
        <v>0</v>
      </c>
      <c r="L30" s="2038">
        <f>' SEFA (2)'!L17+' SEFA (2)'!L22+' SEFA (2)'!L26+' SEFA (2)'!L28+' SEFA (3)'!L12+' SEFA (3)'!L13+' SEFA (3)'!L16+' SEFA (3)'!L20+' SEFA (3)'!L24+' SEFA (3)'!L28</f>
        <v>9674150</v>
      </c>
      <c r="M30" s="2038"/>
      <c r="N30" s="1114"/>
    </row>
    <row r="31" spans="2:14" ht="12.75" customHeight="1" x14ac:dyDescent="0.2">
      <c r="B31" s="1115"/>
      <c r="C31" s="1116"/>
      <c r="D31" s="1117"/>
      <c r="E31" s="1118"/>
      <c r="F31" s="1118"/>
      <c r="G31" s="1118"/>
      <c r="H31" s="1118"/>
      <c r="I31" s="1118"/>
      <c r="J31" s="1118"/>
      <c r="K31" s="1118"/>
      <c r="L31" s="1118"/>
      <c r="M31" s="1118"/>
      <c r="N31" s="1114"/>
    </row>
    <row r="32" spans="2:14" ht="5.45" customHeight="1" x14ac:dyDescent="0.2">
      <c r="B32" s="1033"/>
      <c r="C32" s="1119"/>
      <c r="D32" s="1120"/>
      <c r="E32" s="1033"/>
      <c r="F32" s="1033"/>
      <c r="G32" s="1026"/>
      <c r="H32" s="1026"/>
      <c r="I32" s="1026"/>
      <c r="J32" s="1026"/>
      <c r="K32" s="1026"/>
      <c r="L32" s="1026"/>
      <c r="M32" s="1033"/>
      <c r="N32" s="1114"/>
    </row>
    <row r="33" spans="2:14" ht="13.5" customHeight="1" x14ac:dyDescent="0.2">
      <c r="B33" s="1058" t="s">
        <v>1711</v>
      </c>
      <c r="C33" s="1119"/>
      <c r="D33" s="1120"/>
      <c r="E33" s="1033"/>
      <c r="F33" s="1033"/>
      <c r="G33" s="1026"/>
      <c r="H33" s="1026"/>
      <c r="I33" s="1026"/>
      <c r="J33" s="1026"/>
      <c r="K33" s="1026"/>
      <c r="L33" s="1026"/>
      <c r="M33" s="1033"/>
      <c r="N33" s="1114"/>
    </row>
    <row r="34" spans="2:14" ht="8.25" customHeight="1" x14ac:dyDescent="0.2">
      <c r="B34" s="1058"/>
      <c r="C34" s="1119"/>
      <c r="D34" s="1120"/>
      <c r="E34" s="1033"/>
      <c r="F34" s="1033"/>
      <c r="G34" s="1026"/>
      <c r="H34" s="1026"/>
      <c r="I34" s="1026"/>
      <c r="J34" s="1026"/>
      <c r="K34" s="1026"/>
      <c r="L34" s="1026"/>
      <c r="M34" s="1033"/>
      <c r="N34" s="1114"/>
    </row>
    <row r="35" spans="2:14" x14ac:dyDescent="0.2">
      <c r="B35" s="1121" t="s">
        <v>1809</v>
      </c>
      <c r="C35" s="1122"/>
      <c r="D35" s="1123"/>
      <c r="E35" s="1124"/>
      <c r="F35" s="1124"/>
      <c r="G35" s="1124"/>
      <c r="H35" s="1124"/>
      <c r="I35" s="295"/>
      <c r="J35" s="295"/>
    </row>
    <row r="36" spans="2:14" x14ac:dyDescent="0.2">
      <c r="B36" s="1053"/>
      <c r="C36" s="1125"/>
      <c r="D36" s="1126"/>
      <c r="E36" s="1054"/>
      <c r="F36" s="1054"/>
      <c r="G36" s="295"/>
      <c r="H36" s="295"/>
      <c r="I36" s="295"/>
      <c r="J36" s="295"/>
    </row>
    <row r="37" spans="2:14" ht="13.5" customHeight="1" x14ac:dyDescent="0.2">
      <c r="B37" s="1052" t="s">
        <v>1235</v>
      </c>
      <c r="G37" s="295"/>
      <c r="H37" s="295"/>
      <c r="I37" s="295"/>
      <c r="J37" s="295"/>
    </row>
    <row r="38" spans="2:14" ht="13.5" customHeight="1" x14ac:dyDescent="0.2">
      <c r="B38" s="1129"/>
      <c r="C38" s="1130"/>
      <c r="D38" s="1131"/>
      <c r="E38" s="1073"/>
      <c r="F38" s="1073"/>
      <c r="G38" s="1073"/>
      <c r="H38" s="1073"/>
      <c r="I38" s="1073"/>
      <c r="J38" s="1073"/>
      <c r="K38" s="1132"/>
      <c r="L38" s="1132"/>
      <c r="M38" s="1073"/>
    </row>
    <row r="39" spans="2:14" ht="9.6" customHeight="1" x14ac:dyDescent="0.2">
      <c r="B39" s="1133"/>
      <c r="G39" s="295"/>
      <c r="H39" s="295"/>
      <c r="I39" s="295"/>
      <c r="J39" s="295"/>
    </row>
    <row r="40" spans="2:14" ht="11.25" customHeight="1" x14ac:dyDescent="0.2">
      <c r="B40" s="1134" t="s">
        <v>1712</v>
      </c>
      <c r="C40" s="1135"/>
      <c r="D40" s="1135"/>
      <c r="E40" s="1135"/>
      <c r="F40" s="1135"/>
      <c r="G40" s="1135"/>
      <c r="H40" s="1135"/>
      <c r="I40" s="1136"/>
      <c r="J40" s="1136"/>
      <c r="K40" s="1136"/>
      <c r="L40" s="1136"/>
      <c r="M40" s="1136"/>
    </row>
    <row r="41" spans="2:14" ht="11.25" customHeight="1" x14ac:dyDescent="0.2">
      <c r="B41" s="1137" t="s">
        <v>1567</v>
      </c>
      <c r="C41" s="1136"/>
      <c r="D41" s="1136"/>
      <c r="E41" s="1136"/>
      <c r="F41" s="1136"/>
      <c r="G41" s="1136"/>
      <c r="H41" s="1136"/>
      <c r="I41" s="1136"/>
      <c r="J41" s="1136"/>
      <c r="K41" s="1136"/>
      <c r="L41" s="1136"/>
      <c r="M41" s="1136"/>
    </row>
    <row r="42" spans="2:14" ht="3.95" customHeight="1" x14ac:dyDescent="0.2">
      <c r="B42" s="1137"/>
      <c r="C42" s="1136"/>
      <c r="D42" s="1136"/>
      <c r="E42" s="1136"/>
      <c r="F42" s="1136"/>
      <c r="G42" s="1136"/>
      <c r="H42" s="1136"/>
      <c r="I42" s="1136"/>
      <c r="J42" s="1136"/>
      <c r="K42" s="1136"/>
      <c r="L42" s="1136"/>
      <c r="M42" s="1136"/>
    </row>
    <row r="43" spans="2:14" ht="11.25" customHeight="1" x14ac:dyDescent="0.2">
      <c r="B43" s="1134" t="s">
        <v>1713</v>
      </c>
      <c r="C43" s="1136"/>
      <c r="D43" s="1136"/>
      <c r="E43" s="1136"/>
      <c r="F43" s="1136"/>
      <c r="G43" s="1136"/>
      <c r="H43" s="1136"/>
      <c r="I43" s="1136"/>
      <c r="J43" s="1136"/>
      <c r="K43" s="1136"/>
      <c r="L43" s="1136"/>
      <c r="M43" s="1136"/>
    </row>
    <row r="44" spans="2:14" ht="11.25" customHeight="1" x14ac:dyDescent="0.2">
      <c r="B44" s="1076" t="s">
        <v>1568</v>
      </c>
      <c r="C44" s="1138"/>
      <c r="D44" s="1139"/>
      <c r="E44" s="1076"/>
      <c r="F44" s="1076"/>
      <c r="G44" s="1076"/>
      <c r="H44" s="1076"/>
      <c r="I44" s="1076"/>
      <c r="J44" s="1076"/>
      <c r="K44" s="1140"/>
      <c r="L44" s="1140"/>
      <c r="M44" s="1076"/>
    </row>
    <row r="45" spans="2:14" ht="3.95" customHeight="1" x14ac:dyDescent="0.2">
      <c r="B45" s="1076"/>
      <c r="C45" s="1138"/>
      <c r="D45" s="1139"/>
      <c r="E45" s="1076"/>
      <c r="F45" s="1076"/>
      <c r="G45" s="1076"/>
      <c r="H45" s="1076"/>
      <c r="I45" s="1076"/>
      <c r="J45" s="1076"/>
      <c r="K45" s="1140"/>
      <c r="L45" s="1140"/>
      <c r="M45" s="1076"/>
    </row>
    <row r="46" spans="2:14" ht="11.25" customHeight="1" x14ac:dyDescent="0.2">
      <c r="B46" s="1141" t="s">
        <v>1714</v>
      </c>
      <c r="C46" s="1138"/>
      <c r="D46" s="1139"/>
      <c r="E46" s="1076"/>
      <c r="F46" s="1076"/>
      <c r="G46" s="1076"/>
      <c r="H46" s="1076"/>
      <c r="I46" s="1076"/>
      <c r="J46" s="1076"/>
      <c r="K46" s="1140"/>
      <c r="L46" s="1140"/>
      <c r="M46" s="1076"/>
    </row>
    <row r="47" spans="2:14" ht="3.95" customHeight="1" x14ac:dyDescent="0.2">
      <c r="B47" s="1141"/>
      <c r="C47" s="1138"/>
      <c r="D47" s="1139"/>
      <c r="E47" s="1076"/>
      <c r="F47" s="1076"/>
      <c r="G47" s="1076"/>
      <c r="H47" s="1076"/>
      <c r="I47" s="1076"/>
      <c r="J47" s="1076"/>
      <c r="K47" s="1140"/>
      <c r="L47" s="1140"/>
      <c r="M47" s="1076"/>
    </row>
    <row r="48" spans="2:14" ht="11.25" customHeight="1" x14ac:dyDescent="0.2">
      <c r="B48" s="1142" t="s">
        <v>1715</v>
      </c>
      <c r="C48" s="1138"/>
      <c r="D48" s="1139"/>
      <c r="E48" s="1076"/>
      <c r="F48" s="1076"/>
      <c r="G48" s="1076"/>
      <c r="H48" s="1076"/>
      <c r="I48" s="1076"/>
      <c r="J48" s="1076"/>
      <c r="K48" s="1140"/>
      <c r="L48" s="1140"/>
      <c r="M48" s="1076"/>
    </row>
    <row r="49" spans="2:13" ht="11.25" customHeight="1" x14ac:dyDescent="0.2">
      <c r="B49" s="1076" t="s">
        <v>1569</v>
      </c>
      <c r="G49" s="295"/>
      <c r="H49" s="295"/>
      <c r="I49" s="295"/>
      <c r="J49" s="295"/>
    </row>
    <row r="50" spans="2:13" ht="11.1" customHeight="1" x14ac:dyDescent="0.2">
      <c r="B50" s="1076"/>
      <c r="G50" s="295"/>
      <c r="H50" s="295"/>
      <c r="I50" s="295"/>
      <c r="J50" s="295"/>
    </row>
    <row r="51" spans="2:13" ht="11.1" customHeight="1" x14ac:dyDescent="0.2">
      <c r="B51" s="1076"/>
      <c r="G51" s="295"/>
      <c r="H51" s="295"/>
      <c r="I51" s="295"/>
      <c r="J51" s="295"/>
    </row>
    <row r="52" spans="2:13" ht="13.5" customHeight="1" x14ac:dyDescent="0.2">
      <c r="M52" s="1143"/>
    </row>
    <row r="53" spans="2:13" ht="13.5" customHeight="1" x14ac:dyDescent="0.2">
      <c r="M53" s="1143"/>
    </row>
    <row r="54" spans="2:13" ht="13.5" customHeight="1" x14ac:dyDescent="0.2">
      <c r="M54" s="1143"/>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ignoredErrors>
    <ignoredError sqref="L20 L28"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182A5-FFF2-4E36-AECA-FD97B6026692}">
  <sheetPr>
    <tabColor rgb="FF92D050"/>
  </sheetPr>
  <dimension ref="B1:N152"/>
  <sheetViews>
    <sheetView showGridLines="0" topLeftCell="A16" zoomScaleNormal="100" workbookViewId="0">
      <selection activeCell="A26" sqref="A26:XFD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Rock Island SD 41</v>
      </c>
      <c r="C1" s="2575"/>
      <c r="D1" s="2575"/>
      <c r="E1" s="2575"/>
      <c r="F1" s="2575"/>
      <c r="G1" s="2575"/>
      <c r="H1" s="2575"/>
      <c r="I1" s="2575"/>
      <c r="J1" s="2575"/>
      <c r="K1" s="2575"/>
      <c r="L1" s="2575"/>
      <c r="M1" s="2575"/>
    </row>
    <row r="2" spans="2:14" ht="15" x14ac:dyDescent="0.2">
      <c r="B2" s="2576">
        <f>'Single Audit Cover'!E7</f>
        <v>49081041025</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2128</v>
      </c>
      <c r="C11" s="1821"/>
      <c r="D11" s="1822"/>
      <c r="E11" s="1823"/>
      <c r="F11" s="1823"/>
      <c r="G11" s="1823"/>
      <c r="H11" s="1823"/>
      <c r="I11" s="1823"/>
      <c r="J11" s="1823"/>
      <c r="K11" s="1823"/>
      <c r="L11" s="2037">
        <f>+G11+I11+K11</f>
        <v>0</v>
      </c>
      <c r="M11" s="1823"/>
    </row>
    <row r="12" spans="2:14" ht="20.100000000000001" customHeight="1" x14ac:dyDescent="0.2">
      <c r="B12" s="1113" t="s">
        <v>2129</v>
      </c>
      <c r="C12" s="1824">
        <v>93.6</v>
      </c>
      <c r="D12" s="1825" t="s">
        <v>2136</v>
      </c>
      <c r="E12" s="2038">
        <v>0</v>
      </c>
      <c r="F12" s="2038">
        <v>2674738</v>
      </c>
      <c r="G12" s="2038">
        <v>0</v>
      </c>
      <c r="H12" s="2038">
        <v>0</v>
      </c>
      <c r="I12" s="2038">
        <v>2683009</v>
      </c>
      <c r="J12" s="2038">
        <v>0</v>
      </c>
      <c r="K12" s="2038">
        <v>0</v>
      </c>
      <c r="L12" s="2037">
        <f t="shared" ref="L12:L27" si="0">+G12+I12+K12</f>
        <v>2683009</v>
      </c>
      <c r="M12" s="1826">
        <v>2706503</v>
      </c>
    </row>
    <row r="13" spans="2:14" ht="20.100000000000001" customHeight="1" x14ac:dyDescent="0.2">
      <c r="B13" s="1113" t="s">
        <v>2129</v>
      </c>
      <c r="C13" s="1824">
        <v>93.6</v>
      </c>
      <c r="D13" s="1825" t="s">
        <v>2136</v>
      </c>
      <c r="E13" s="2038">
        <v>2413473</v>
      </c>
      <c r="F13" s="2038">
        <v>53222</v>
      </c>
      <c r="G13" s="2038">
        <v>2466695</v>
      </c>
      <c r="H13" s="2038">
        <v>0</v>
      </c>
      <c r="I13" s="2038">
        <v>0</v>
      </c>
      <c r="J13" s="2038">
        <v>0</v>
      </c>
      <c r="K13" s="2038">
        <v>0</v>
      </c>
      <c r="L13" s="2037">
        <f t="shared" si="0"/>
        <v>2466695</v>
      </c>
      <c r="M13" s="1826">
        <v>2466695</v>
      </c>
    </row>
    <row r="14" spans="2:14" ht="20.100000000000001" customHeight="1" x14ac:dyDescent="0.2">
      <c r="B14" s="1113" t="s">
        <v>2155</v>
      </c>
      <c r="C14" s="1824"/>
      <c r="D14" s="1825"/>
      <c r="E14" s="2038">
        <f>E12+E13</f>
        <v>2413473</v>
      </c>
      <c r="F14" s="2038">
        <f t="shared" ref="F14:L14" si="1">F12+F13</f>
        <v>2727960</v>
      </c>
      <c r="G14" s="2038">
        <f t="shared" si="1"/>
        <v>2466695</v>
      </c>
      <c r="H14" s="2038">
        <f t="shared" si="1"/>
        <v>0</v>
      </c>
      <c r="I14" s="2038">
        <f t="shared" si="1"/>
        <v>2683009</v>
      </c>
      <c r="J14" s="2038">
        <f t="shared" si="1"/>
        <v>0</v>
      </c>
      <c r="K14" s="2038">
        <f t="shared" si="1"/>
        <v>0</v>
      </c>
      <c r="L14" s="2038">
        <f t="shared" si="1"/>
        <v>5149704</v>
      </c>
      <c r="M14" s="1826"/>
    </row>
    <row r="15" spans="2:14" ht="20.100000000000001" customHeight="1" x14ac:dyDescent="0.2">
      <c r="B15" s="1113"/>
      <c r="C15" s="1824"/>
      <c r="D15" s="1825"/>
      <c r="E15" s="2038"/>
      <c r="F15" s="2038"/>
      <c r="G15" s="2038"/>
      <c r="H15" s="2038"/>
      <c r="I15" s="2038"/>
      <c r="J15" s="2038"/>
      <c r="K15" s="2038"/>
      <c r="L15" s="2037">
        <f t="shared" si="0"/>
        <v>0</v>
      </c>
      <c r="M15" s="1826"/>
    </row>
    <row r="16" spans="2:14" ht="20.100000000000001" customHeight="1" x14ac:dyDescent="0.2">
      <c r="B16" s="1113" t="s">
        <v>2130</v>
      </c>
      <c r="C16" s="1824"/>
      <c r="D16" s="1825"/>
      <c r="E16" s="2038"/>
      <c r="F16" s="2038"/>
      <c r="G16" s="2038"/>
      <c r="H16" s="2038"/>
      <c r="I16" s="2038"/>
      <c r="J16" s="2038"/>
      <c r="K16" s="2038"/>
      <c r="L16" s="2037">
        <f t="shared" si="0"/>
        <v>0</v>
      </c>
      <c r="M16" s="1826"/>
    </row>
    <row r="17" spans="2:14" ht="20.100000000000001" customHeight="1" x14ac:dyDescent="0.2">
      <c r="B17" s="1113" t="s">
        <v>2131</v>
      </c>
      <c r="C17" s="1824">
        <v>93.778000000000006</v>
      </c>
      <c r="D17" s="1825" t="s">
        <v>2137</v>
      </c>
      <c r="E17" s="2038">
        <v>0</v>
      </c>
      <c r="F17" s="2038">
        <v>190680</v>
      </c>
      <c r="G17" s="2038">
        <v>0</v>
      </c>
      <c r="H17" s="2038">
        <v>0</v>
      </c>
      <c r="I17" s="2038">
        <v>190680</v>
      </c>
      <c r="J17" s="2038">
        <v>0</v>
      </c>
      <c r="K17" s="2038">
        <v>0</v>
      </c>
      <c r="L17" s="2037">
        <f t="shared" si="0"/>
        <v>190680</v>
      </c>
      <c r="M17" s="1826" t="s">
        <v>2085</v>
      </c>
    </row>
    <row r="18" spans="2:14" ht="20.100000000000001" customHeight="1" x14ac:dyDescent="0.2">
      <c r="B18" s="1113" t="s">
        <v>2132</v>
      </c>
      <c r="C18" s="1824"/>
      <c r="D18" s="1825"/>
      <c r="E18" s="2038">
        <f>E12+E17+E13</f>
        <v>2413473</v>
      </c>
      <c r="F18" s="2038">
        <f>F12+F17+F13</f>
        <v>2918640</v>
      </c>
      <c r="G18" s="2038">
        <f t="shared" ref="G18:K18" si="2">G12+G17+G13</f>
        <v>2466695</v>
      </c>
      <c r="H18" s="2038">
        <f t="shared" si="2"/>
        <v>0</v>
      </c>
      <c r="I18" s="2038">
        <f t="shared" si="2"/>
        <v>2873689</v>
      </c>
      <c r="J18" s="2038">
        <f t="shared" si="2"/>
        <v>0</v>
      </c>
      <c r="K18" s="2038">
        <f t="shared" si="2"/>
        <v>0</v>
      </c>
      <c r="L18" s="2037">
        <f t="shared" si="0"/>
        <v>5340384</v>
      </c>
      <c r="M18" s="1826"/>
    </row>
    <row r="19" spans="2:14" ht="20.100000000000001" customHeight="1" x14ac:dyDescent="0.2">
      <c r="B19" s="1113"/>
      <c r="C19" s="1824"/>
      <c r="D19" s="1825"/>
      <c r="E19" s="2038"/>
      <c r="F19" s="2038"/>
      <c r="G19" s="2038"/>
      <c r="H19" s="2038"/>
      <c r="I19" s="2038"/>
      <c r="J19" s="2038"/>
      <c r="K19" s="2038"/>
      <c r="L19" s="2037">
        <f t="shared" si="0"/>
        <v>0</v>
      </c>
      <c r="M19" s="1826"/>
    </row>
    <row r="20" spans="2:14" ht="20.100000000000001" customHeight="1" x14ac:dyDescent="0.2">
      <c r="B20" s="1113" t="s">
        <v>2133</v>
      </c>
      <c r="C20" s="1824"/>
      <c r="D20" s="1825"/>
      <c r="E20" s="2038">
        <f>' SEFA'!E27+' SEFA (3)'!E30+' SEFA (4)'!E18</f>
        <v>9176850</v>
      </c>
      <c r="F20" s="2038">
        <f>' SEFA'!F27+' SEFA (3)'!F30+' SEFA (4)'!F18</f>
        <v>12033453</v>
      </c>
      <c r="G20" s="2038">
        <f>' SEFA'!G27+' SEFA (3)'!G30+' SEFA (4)'!G18</f>
        <v>9575677</v>
      </c>
      <c r="H20" s="2038">
        <f>' SEFA'!H27+' SEFA (3)'!H30+' SEFA (4)'!H18</f>
        <v>0</v>
      </c>
      <c r="I20" s="2038">
        <f>' SEFA'!I27+' SEFA (3)'!I30+' SEFA (4)'!I18</f>
        <v>11716442</v>
      </c>
      <c r="J20" s="2038">
        <f>' SEFA'!J27+' SEFA (3)'!J30+' SEFA (4)'!J18</f>
        <v>0</v>
      </c>
      <c r="K20" s="2038">
        <f>' SEFA'!K27+' SEFA (3)'!K30+' SEFA (4)'!K18</f>
        <v>0</v>
      </c>
      <c r="L20" s="2038">
        <f>L18+' SEFA (3)'!L30+' SEFA'!L27</f>
        <v>21292119</v>
      </c>
      <c r="M20" s="1826"/>
    </row>
    <row r="21" spans="2:14" ht="20.100000000000001" customHeight="1" x14ac:dyDescent="0.2">
      <c r="B21" s="1113"/>
      <c r="C21" s="1824"/>
      <c r="D21" s="1825"/>
      <c r="E21" s="2038"/>
      <c r="F21" s="2038"/>
      <c r="G21" s="2038"/>
      <c r="H21" s="2038"/>
      <c r="I21" s="2038"/>
      <c r="J21" s="2038"/>
      <c r="K21" s="2038"/>
      <c r="L21" s="2037">
        <f t="shared" si="0"/>
        <v>0</v>
      </c>
      <c r="M21" s="1826"/>
    </row>
    <row r="22" spans="2:14" ht="20.100000000000001" customHeight="1" x14ac:dyDescent="0.2">
      <c r="B22" s="1113" t="s">
        <v>2134</v>
      </c>
      <c r="C22" s="1824"/>
      <c r="D22" s="1825"/>
      <c r="E22" s="2038"/>
      <c r="F22" s="2038"/>
      <c r="G22" s="2038"/>
      <c r="H22" s="2038"/>
      <c r="I22" s="2038"/>
      <c r="J22" s="2038"/>
      <c r="K22" s="2038"/>
      <c r="L22" s="2037">
        <f t="shared" si="0"/>
        <v>0</v>
      </c>
      <c r="M22" s="1826"/>
    </row>
    <row r="23" spans="2:14" ht="20.100000000000001" customHeight="1" x14ac:dyDescent="0.2">
      <c r="B23" s="1113" t="s">
        <v>2135</v>
      </c>
      <c r="C23" s="1824"/>
      <c r="D23" s="1825"/>
      <c r="E23" s="1826"/>
      <c r="F23" s="1826"/>
      <c r="G23" s="1826"/>
      <c r="H23" s="1826"/>
      <c r="I23" s="1826"/>
      <c r="J23" s="1826"/>
      <c r="K23" s="1826"/>
      <c r="L23" s="2037">
        <f t="shared" si="0"/>
        <v>0</v>
      </c>
      <c r="M23" s="1826"/>
    </row>
    <row r="24" spans="2:14" ht="20.100000000000001" customHeight="1" x14ac:dyDescent="0.2">
      <c r="B24" s="1113"/>
      <c r="C24" s="1824"/>
      <c r="D24" s="1825"/>
      <c r="E24" s="1826"/>
      <c r="F24" s="1826"/>
      <c r="G24" s="1826"/>
      <c r="H24" s="1826"/>
      <c r="I24" s="1826"/>
      <c r="J24" s="1826"/>
      <c r="K24" s="1826"/>
      <c r="L24" s="2037">
        <f t="shared" si="0"/>
        <v>0</v>
      </c>
      <c r="M24" s="1826"/>
    </row>
    <row r="25" spans="2:14" ht="20.100000000000001" customHeight="1" x14ac:dyDescent="0.2">
      <c r="B25" s="1113"/>
      <c r="C25" s="1824"/>
      <c r="D25" s="1825"/>
      <c r="E25" s="1826"/>
      <c r="F25" s="1826"/>
      <c r="G25" s="1826"/>
      <c r="H25" s="1826"/>
      <c r="I25" s="1826"/>
      <c r="J25" s="1826"/>
      <c r="K25" s="1826"/>
      <c r="L25" s="2037">
        <f t="shared" si="0"/>
        <v>0</v>
      </c>
      <c r="M25" s="1826"/>
    </row>
    <row r="26" spans="2:14" ht="20.100000000000001" customHeight="1" x14ac:dyDescent="0.2">
      <c r="B26" s="1113"/>
      <c r="C26" s="1824"/>
      <c r="D26" s="1825"/>
      <c r="E26" s="1826"/>
      <c r="F26" s="1826"/>
      <c r="G26" s="1826"/>
      <c r="H26" s="1826"/>
      <c r="I26" s="1826"/>
      <c r="J26" s="1826"/>
      <c r="K26" s="1826"/>
      <c r="L26" s="2037">
        <f t="shared" si="0"/>
        <v>0</v>
      </c>
      <c r="M26" s="1826"/>
    </row>
    <row r="27" spans="2:14" ht="20.100000000000001" customHeight="1" x14ac:dyDescent="0.2">
      <c r="B27" s="1113"/>
      <c r="C27" s="1824"/>
      <c r="D27" s="1825"/>
      <c r="E27" s="1826"/>
      <c r="F27" s="1826"/>
      <c r="G27" s="1826"/>
      <c r="H27" s="1826"/>
      <c r="I27" s="1826"/>
      <c r="J27" s="1826"/>
      <c r="K27" s="1826"/>
      <c r="L27" s="2037">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ignoredErrors>
    <ignoredError sqref="E14:H14 I14:K14" unlockedFormula="1"/>
    <ignoredError sqref="L14 L20"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5" zoomScale="120" zoomScaleNormal="120" workbookViewId="0">
      <selection activeCell="C38" sqref="C3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8" t="str">
        <f>'Single Audit Cover'!A7</f>
        <v xml:space="preserve">  Rock Island SD 41</v>
      </c>
      <c r="B1" s="2588"/>
      <c r="C1" s="2588"/>
      <c r="D1" s="2588"/>
      <c r="E1" s="2588"/>
      <c r="F1" s="2588"/>
    </row>
    <row r="2" spans="1:7" ht="13.5" customHeight="1" x14ac:dyDescent="0.2">
      <c r="A2" s="2576">
        <f>'Single Audit Cover'!E7</f>
        <v>49081041025</v>
      </c>
      <c r="B2" s="2576"/>
      <c r="C2" s="2576"/>
      <c r="D2" s="2576"/>
      <c r="E2" s="2576"/>
      <c r="F2" s="2576"/>
      <c r="G2" s="1051"/>
    </row>
    <row r="3" spans="1:7" ht="15.75" customHeight="1" x14ac:dyDescent="0.2">
      <c r="A3" s="2589" t="s">
        <v>1260</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52" t="s">
        <v>1705</v>
      </c>
      <c r="C6" s="295"/>
      <c r="D6" s="295"/>
    </row>
    <row r="7" spans="1:7" ht="60.95" customHeight="1" x14ac:dyDescent="0.2">
      <c r="A7" s="2587" t="s">
        <v>2354</v>
      </c>
      <c r="B7" s="2587"/>
      <c r="C7" s="2587"/>
      <c r="D7" s="2587"/>
      <c r="E7" s="2587"/>
      <c r="F7" s="2587"/>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7" t="s">
        <v>2355</v>
      </c>
      <c r="B13" s="2587"/>
      <c r="C13" s="2587"/>
      <c r="D13" s="2587"/>
      <c r="E13" s="2587"/>
      <c r="F13" s="2587"/>
    </row>
    <row r="14" spans="1:7" ht="9.75" customHeight="1" x14ac:dyDescent="0.2">
      <c r="C14" s="1036"/>
      <c r="D14" s="1036"/>
    </row>
    <row r="15" spans="1:7" ht="13.5" customHeight="1" x14ac:dyDescent="0.2">
      <c r="C15" s="1476" t="s">
        <v>1259</v>
      </c>
      <c r="D15" s="2585" t="s">
        <v>1258</v>
      </c>
      <c r="E15" s="2585"/>
      <c r="F15" s="2585"/>
    </row>
    <row r="16" spans="1:7" ht="13.5" customHeight="1" x14ac:dyDescent="0.2">
      <c r="A16" s="1058"/>
      <c r="B16" s="1052" t="s">
        <v>1257</v>
      </c>
      <c r="C16" s="1476" t="s">
        <v>1256</v>
      </c>
      <c r="D16" s="2586" t="s">
        <v>1571</v>
      </c>
      <c r="E16" s="2586"/>
      <c r="F16" s="2586"/>
    </row>
    <row r="17" spans="1:6" ht="20.45" customHeight="1" x14ac:dyDescent="0.2">
      <c r="A17" s="1059"/>
      <c r="B17" s="1060" t="s">
        <v>2356</v>
      </c>
      <c r="C17" s="1061"/>
      <c r="D17" s="2580"/>
      <c r="E17" s="2580"/>
      <c r="F17" s="2580"/>
    </row>
    <row r="18" spans="1:6" ht="20.65" customHeight="1" x14ac:dyDescent="0.2">
      <c r="A18" s="1059"/>
      <c r="B18" s="1060"/>
      <c r="C18" s="1061"/>
      <c r="D18" s="2580"/>
      <c r="E18" s="2580"/>
      <c r="F18" s="2580"/>
    </row>
    <row r="19" spans="1:6" ht="20.65" customHeight="1" x14ac:dyDescent="0.2">
      <c r="A19" s="1059"/>
      <c r="B19" s="1060"/>
      <c r="C19" s="1061"/>
      <c r="D19" s="2580"/>
      <c r="E19" s="2580"/>
      <c r="F19" s="2580"/>
    </row>
    <row r="20" spans="1:6" ht="20.65" customHeight="1" x14ac:dyDescent="0.2">
      <c r="A20" s="1059"/>
      <c r="B20" s="1060"/>
      <c r="C20" s="1061"/>
      <c r="D20" s="2580"/>
      <c r="E20" s="2580"/>
      <c r="F20" s="2580"/>
    </row>
    <row r="21" spans="1:6" ht="20.65" customHeight="1" x14ac:dyDescent="0.2">
      <c r="A21" s="1059"/>
      <c r="B21" s="1060"/>
      <c r="C21" s="1061"/>
      <c r="D21" s="2580"/>
      <c r="E21" s="2580"/>
      <c r="F21" s="2580"/>
    </row>
    <row r="22" spans="1:6" ht="20.65" customHeight="1" x14ac:dyDescent="0.2">
      <c r="A22" s="1059"/>
      <c r="B22" s="1060"/>
      <c r="C22" s="1061"/>
      <c r="D22" s="2580"/>
      <c r="E22" s="2580"/>
      <c r="F22" s="2580"/>
    </row>
    <row r="23" spans="1:6" ht="20.65" customHeight="1" x14ac:dyDescent="0.2">
      <c r="A23" s="1059"/>
      <c r="B23" s="1060"/>
      <c r="C23" s="1061"/>
      <c r="D23" s="2580"/>
      <c r="E23" s="2580"/>
      <c r="F23" s="2580"/>
    </row>
    <row r="24" spans="1:6" ht="20.65" customHeight="1" x14ac:dyDescent="0.2">
      <c r="A24" s="1059"/>
      <c r="B24" s="1060"/>
      <c r="C24" s="1061"/>
      <c r="D24" s="2580"/>
      <c r="E24" s="2580"/>
      <c r="F24" s="2580"/>
    </row>
    <row r="25" spans="1:6" ht="20.65" customHeight="1" x14ac:dyDescent="0.2">
      <c r="A25" s="1059"/>
      <c r="B25" s="1060"/>
      <c r="C25" s="1061"/>
      <c r="D25" s="2580"/>
      <c r="E25" s="2580"/>
      <c r="F25" s="2580"/>
    </row>
    <row r="26" spans="1:6" ht="20.65" customHeight="1" x14ac:dyDescent="0.2">
      <c r="A26" s="1059"/>
      <c r="B26" s="1060"/>
      <c r="C26" s="1061"/>
      <c r="D26" s="2580"/>
      <c r="E26" s="2580"/>
      <c r="F26" s="2580"/>
    </row>
    <row r="27" spans="1:6" ht="20.65" customHeight="1" x14ac:dyDescent="0.2">
      <c r="A27" s="1059"/>
      <c r="B27" s="1060"/>
      <c r="C27" s="1061"/>
      <c r="D27" s="2580"/>
      <c r="E27" s="2580"/>
      <c r="F27" s="2580"/>
    </row>
    <row r="28" spans="1:6" ht="20.65" customHeight="1" x14ac:dyDescent="0.2">
      <c r="A28" s="1059"/>
      <c r="B28" s="1060"/>
      <c r="C28" s="1061"/>
      <c r="D28" s="2580"/>
      <c r="E28" s="2580"/>
      <c r="F28" s="2580"/>
    </row>
    <row r="29" spans="1:6" ht="20.65" customHeight="1" x14ac:dyDescent="0.2">
      <c r="A29" s="1059"/>
      <c r="B29" s="1060"/>
      <c r="C29" s="1061"/>
      <c r="D29" s="2580"/>
      <c r="E29" s="2580"/>
      <c r="F29" s="258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2357</v>
      </c>
      <c r="B32" s="2581"/>
      <c r="C32" s="2581"/>
      <c r="D32" s="2581"/>
      <c r="E32" s="2581"/>
      <c r="F32" s="2581"/>
    </row>
    <row r="33" spans="1:6" ht="13.5" customHeight="1" x14ac:dyDescent="0.2">
      <c r="A33" s="306" t="s">
        <v>1417</v>
      </c>
      <c r="B33" s="306"/>
      <c r="C33" s="1064">
        <f>' SEFA'!L17</f>
        <v>190379</v>
      </c>
      <c r="D33" s="1526"/>
      <c r="E33" s="1062"/>
    </row>
    <row r="34" spans="1:6" ht="13.5" customHeight="1" x14ac:dyDescent="0.2">
      <c r="A34" s="306" t="s">
        <v>1808</v>
      </c>
      <c r="B34" s="306"/>
      <c r="C34" s="1065">
        <f>' SEFA'!L18</f>
        <v>56739</v>
      </c>
      <c r="D34" s="1526" t="s">
        <v>1572</v>
      </c>
      <c r="E34" s="2582">
        <f>+C33+C34</f>
        <v>247118</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568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4"/>
  <sheetViews>
    <sheetView showGridLines="0" topLeftCell="A34" zoomScale="110" zoomScaleNormal="110" workbookViewId="0">
      <selection activeCell="G44" sqref="G44:I4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 xml:space="preserve">  Rock Island SD 41</v>
      </c>
      <c r="C1" s="2605"/>
      <c r="D1" s="2605"/>
      <c r="E1" s="2605"/>
      <c r="F1" s="2605"/>
      <c r="G1" s="2605"/>
      <c r="H1" s="2605"/>
      <c r="I1" s="2605"/>
      <c r="J1" s="1178"/>
    </row>
    <row r="2" spans="2:10" s="295" customFormat="1" ht="12.75" customHeight="1" x14ac:dyDescent="0.2">
      <c r="B2" s="2606">
        <f>'Single Audit Cover'!E7</f>
        <v>49081041025</v>
      </c>
      <c r="C2" s="2607"/>
      <c r="D2" s="2607"/>
      <c r="E2" s="2607"/>
      <c r="F2" s="2607"/>
      <c r="G2" s="2607"/>
      <c r="H2" s="2607"/>
      <c r="I2" s="2607"/>
      <c r="J2" s="1178"/>
    </row>
    <row r="3" spans="2:10" s="295" customFormat="1" ht="12.75" customHeight="1" x14ac:dyDescent="0.2">
      <c r="B3" s="2608" t="s">
        <v>1274</v>
      </c>
      <c r="C3" s="2609"/>
      <c r="D3" s="2609"/>
      <c r="E3" s="2609"/>
      <c r="F3" s="2609"/>
      <c r="G3" s="2609"/>
      <c r="H3" s="2609"/>
      <c r="I3" s="2609"/>
      <c r="J3" s="1179"/>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8" t="s">
        <v>1273</v>
      </c>
      <c r="C7" s="2609"/>
      <c r="D7" s="2609"/>
      <c r="E7" s="2609"/>
      <c r="F7" s="2609"/>
      <c r="G7" s="2609"/>
      <c r="H7" s="2609"/>
      <c r="I7" s="260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0" t="s">
        <v>2138</v>
      </c>
      <c r="D11" s="261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1" t="s">
        <v>2138</v>
      </c>
      <c r="E29" s="2611"/>
      <c r="F29" s="2611"/>
      <c r="G29" s="2611"/>
      <c r="H29" s="2611"/>
      <c r="I29" s="261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12" t="s">
        <v>1725</v>
      </c>
      <c r="D37" s="2613"/>
      <c r="E37" s="2613"/>
      <c r="F37" s="2614"/>
      <c r="G37" s="2612" t="s">
        <v>1575</v>
      </c>
      <c r="H37" s="2613"/>
      <c r="I37" s="2614"/>
    </row>
    <row r="38" spans="2:9" ht="16.5" customHeight="1" x14ac:dyDescent="0.2">
      <c r="B38" s="1200"/>
      <c r="C38" s="2598" t="s">
        <v>2359</v>
      </c>
      <c r="D38" s="2599"/>
      <c r="E38" s="2599"/>
      <c r="F38" s="2600"/>
      <c r="G38" s="2615"/>
      <c r="H38" s="2616"/>
      <c r="I38" s="2617"/>
    </row>
    <row r="39" spans="2:9" ht="16.5" customHeight="1" x14ac:dyDescent="0.2">
      <c r="B39" s="1200">
        <v>84.027000000000001</v>
      </c>
      <c r="C39" s="2598" t="s">
        <v>2360</v>
      </c>
      <c r="D39" s="2599"/>
      <c r="E39" s="2599"/>
      <c r="F39" s="2600"/>
      <c r="G39" s="2601">
        <v>19028</v>
      </c>
      <c r="H39" s="2601"/>
      <c r="I39" s="2601"/>
    </row>
    <row r="40" spans="2:9" ht="16.5" customHeight="1" x14ac:dyDescent="0.2">
      <c r="B40" s="1200">
        <v>84.027000000000001</v>
      </c>
      <c r="C40" s="2598" t="s">
        <v>2358</v>
      </c>
      <c r="D40" s="2599"/>
      <c r="E40" s="2599"/>
      <c r="F40" s="2600"/>
      <c r="G40" s="2601">
        <v>1665734</v>
      </c>
      <c r="H40" s="2601"/>
      <c r="I40" s="2601"/>
    </row>
    <row r="41" spans="2:9" ht="16.5" customHeight="1" x14ac:dyDescent="0.2">
      <c r="B41" s="1200">
        <v>84.173000000000002</v>
      </c>
      <c r="C41" s="2598" t="s">
        <v>2358</v>
      </c>
      <c r="D41" s="2599"/>
      <c r="E41" s="2599"/>
      <c r="F41" s="2600"/>
      <c r="G41" s="2601">
        <v>54491</v>
      </c>
      <c r="H41" s="2602"/>
      <c r="I41" s="2601"/>
    </row>
    <row r="42" spans="2:9" ht="16.5" customHeight="1" x14ac:dyDescent="0.2">
      <c r="B42" s="1200"/>
      <c r="C42" s="2031"/>
      <c r="D42" s="2032"/>
      <c r="E42" s="2032"/>
      <c r="F42" s="2033"/>
      <c r="G42" s="2034"/>
      <c r="H42" s="2035"/>
      <c r="I42" s="2036"/>
    </row>
    <row r="43" spans="2:9" ht="16.5" customHeight="1" x14ac:dyDescent="0.2">
      <c r="B43" s="1200" t="s">
        <v>2097</v>
      </c>
      <c r="C43" s="2598" t="s">
        <v>2361</v>
      </c>
      <c r="D43" s="2599"/>
      <c r="E43" s="2599"/>
      <c r="F43" s="2600"/>
      <c r="G43" s="2601">
        <v>2719653</v>
      </c>
      <c r="H43" s="2603"/>
      <c r="I43" s="2601"/>
    </row>
    <row r="44" spans="2:9" ht="16.5" customHeight="1" x14ac:dyDescent="0.2">
      <c r="B44" s="1200"/>
      <c r="C44" s="2591" t="s">
        <v>1576</v>
      </c>
      <c r="D44" s="2592"/>
      <c r="E44" s="2592"/>
      <c r="F44" s="2593"/>
      <c r="G44" s="2594">
        <f>SUM(G38:I43)</f>
        <v>4458906</v>
      </c>
      <c r="H44" s="2594"/>
      <c r="I44" s="2594"/>
    </row>
    <row r="45" spans="2:9" ht="12.75" customHeight="1" x14ac:dyDescent="0.2"/>
    <row r="46" spans="2:9" ht="12.75" customHeight="1" x14ac:dyDescent="0.2">
      <c r="B46" s="1912" t="str">
        <f>"Total Federal Expenditures for 7/1/"&amp;MID('AFR20'!E2,3,2)-1&amp;"-6/30/"&amp;MID('AFR20'!E2,3,2)</f>
        <v>Total Federal Expenditures for 7/1/19-6/30/20</v>
      </c>
      <c r="C46" s="1913"/>
      <c r="D46" s="2595">
        <f>' SEFA (4)'!I20</f>
        <v>11716442</v>
      </c>
      <c r="E46" s="2596"/>
    </row>
    <row r="47" spans="2:9" ht="5.25" customHeight="1" x14ac:dyDescent="0.2">
      <c r="B47" s="1201"/>
      <c r="D47" s="1202"/>
      <c r="E47" s="1203"/>
    </row>
    <row r="48" spans="2:9" ht="12.75" customHeight="1" x14ac:dyDescent="0.2">
      <c r="B48" s="1076" t="s">
        <v>1577</v>
      </c>
      <c r="C48" s="1076"/>
      <c r="D48" s="1204">
        <f>+G44/D46</f>
        <v>0.38056826466601379</v>
      </c>
      <c r="E48" s="1205"/>
      <c r="F48" s="1206"/>
      <c r="I48" s="1207"/>
    </row>
    <row r="49" spans="1:9" ht="9.9499999999999993" customHeight="1" x14ac:dyDescent="0.2"/>
    <row r="50" spans="1:9" x14ac:dyDescent="0.2">
      <c r="B50" s="1138" t="s">
        <v>1262</v>
      </c>
      <c r="C50" s="1058"/>
      <c r="D50" s="1058"/>
      <c r="E50" s="2597">
        <v>750000</v>
      </c>
      <c r="F50" s="2597"/>
      <c r="G50" s="2597"/>
      <c r="H50" s="300"/>
    </row>
    <row r="52" spans="1:9" ht="13.5" customHeight="1" x14ac:dyDescent="0.2">
      <c r="B52" s="1138" t="s">
        <v>1261</v>
      </c>
      <c r="C52" s="1058"/>
      <c r="E52" s="1194" t="s">
        <v>2048</v>
      </c>
      <c r="F52" s="1076" t="s">
        <v>879</v>
      </c>
      <c r="G52" s="1194"/>
      <c r="H52" s="1076" t="s">
        <v>99</v>
      </c>
    </row>
    <row r="53" spans="1:9" x14ac:dyDescent="0.2">
      <c r="B53" s="1130"/>
      <c r="C53" s="1073"/>
      <c r="D53" s="1208"/>
      <c r="E53" s="1209"/>
      <c r="F53" s="1210"/>
      <c r="G53" s="1210"/>
      <c r="H53" s="1210"/>
      <c r="I53" s="1210"/>
    </row>
    <row r="54" spans="1:9" ht="6" customHeight="1" x14ac:dyDescent="0.2">
      <c r="B54" s="1185"/>
      <c r="C54" s="300"/>
      <c r="D54" s="1211"/>
      <c r="E54" s="1212"/>
      <c r="F54" s="1213"/>
      <c r="G54" s="1213"/>
      <c r="H54" s="1213"/>
      <c r="I54" s="1213"/>
    </row>
    <row r="55" spans="1:9" s="1217" customFormat="1" ht="14.25" x14ac:dyDescent="0.2">
      <c r="A55" s="1214"/>
      <c r="B55" s="1215" t="s">
        <v>1726</v>
      </c>
      <c r="C55" s="1216"/>
      <c r="D55" s="1216"/>
    </row>
    <row r="56" spans="1:9" s="1217" customFormat="1" ht="12.75" customHeight="1" x14ac:dyDescent="0.2">
      <c r="A56" s="1214"/>
      <c r="B56" s="1218" t="s">
        <v>1578</v>
      </c>
      <c r="C56" s="1214"/>
      <c r="D56" s="1214"/>
    </row>
    <row r="57" spans="1:9" s="1217" customFormat="1" ht="12.75" customHeight="1" x14ac:dyDescent="0.2">
      <c r="A57" s="1214"/>
      <c r="B57" s="1218" t="s">
        <v>1579</v>
      </c>
      <c r="C57" s="1214"/>
      <c r="D57" s="1214"/>
    </row>
    <row r="58" spans="1:9" s="1217" customFormat="1" ht="3.95" customHeight="1" x14ac:dyDescent="0.2">
      <c r="A58" s="1214"/>
      <c r="B58" s="1218"/>
      <c r="C58" s="1214"/>
      <c r="D58" s="1214"/>
    </row>
    <row r="59" spans="1:9" s="1217" customFormat="1" ht="13.5" customHeight="1" x14ac:dyDescent="0.2">
      <c r="A59" s="1214"/>
      <c r="B59" s="1219" t="s">
        <v>1727</v>
      </c>
      <c r="C59" s="1220"/>
      <c r="D59" s="1220"/>
    </row>
    <row r="60" spans="1:9" s="1217" customFormat="1" ht="3.95" customHeight="1" x14ac:dyDescent="0.2">
      <c r="A60" s="1214"/>
      <c r="B60" s="1219"/>
      <c r="C60" s="1220"/>
      <c r="D60" s="1220"/>
    </row>
    <row r="61" spans="1:9" s="1217" customFormat="1" ht="13.5" customHeight="1" x14ac:dyDescent="0.2">
      <c r="A61" s="1214"/>
      <c r="B61" s="1219" t="s">
        <v>1728</v>
      </c>
      <c r="C61" s="1220"/>
      <c r="D61" s="1220"/>
    </row>
    <row r="62" spans="1:9" s="1217" customFormat="1" ht="3.95" customHeight="1" x14ac:dyDescent="0.2">
      <c r="A62" s="1214"/>
      <c r="B62" s="1219"/>
      <c r="C62" s="1220"/>
      <c r="D62" s="1220"/>
    </row>
    <row r="63" spans="1:9" s="1217" customFormat="1" ht="12.75" customHeight="1" x14ac:dyDescent="0.2">
      <c r="A63" s="1214"/>
      <c r="B63" s="1219" t="s">
        <v>1729</v>
      </c>
      <c r="C63" s="1220"/>
      <c r="D63" s="1220"/>
    </row>
    <row r="64" spans="1:9" s="1217" customFormat="1" ht="13.5" customHeight="1" x14ac:dyDescent="0.2">
      <c r="A64" s="1214"/>
      <c r="B64" s="1218" t="s">
        <v>1580</v>
      </c>
      <c r="C64" s="1214"/>
      <c r="D64"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4:F44"/>
    <mergeCell ref="G44:I44"/>
    <mergeCell ref="D46:E46"/>
    <mergeCell ref="E50:G50"/>
    <mergeCell ref="C40:F40"/>
    <mergeCell ref="G40:I40"/>
    <mergeCell ref="C41:F41"/>
    <mergeCell ref="G41:I41"/>
    <mergeCell ref="C43:F43"/>
    <mergeCell ref="G43:I43"/>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 xml:space="preserve">  Rock Island SD 41</v>
      </c>
      <c r="C1" s="2604"/>
      <c r="D1" s="2604"/>
      <c r="E1" s="2604"/>
      <c r="F1" s="2604"/>
      <c r="G1" s="2604"/>
      <c r="H1" s="2604"/>
      <c r="I1" s="2604"/>
      <c r="J1" s="2604"/>
      <c r="K1" s="2604"/>
      <c r="L1" s="1144"/>
      <c r="M1" s="1144"/>
    </row>
    <row r="2" spans="1:13" ht="12" customHeight="1" x14ac:dyDescent="0.2">
      <c r="B2" s="2606">
        <f>'Single Audit Cover'!E7</f>
        <v>49081041025</v>
      </c>
      <c r="C2" s="2606"/>
      <c r="D2" s="2606"/>
      <c r="E2" s="2606"/>
      <c r="F2" s="2606"/>
      <c r="G2" s="2606"/>
      <c r="H2" s="2606"/>
      <c r="I2" s="2606"/>
      <c r="J2" s="2606"/>
      <c r="K2" s="2606"/>
      <c r="L2" s="1145"/>
      <c r="M2" s="1146"/>
    </row>
    <row r="3" spans="1:13" ht="10.35" customHeight="1" x14ac:dyDescent="0.2">
      <c r="B3" s="2620" t="s">
        <v>1274</v>
      </c>
      <c r="C3" s="2620"/>
      <c r="D3" s="2620"/>
      <c r="E3" s="2620"/>
      <c r="F3" s="2620"/>
      <c r="G3" s="2620"/>
      <c r="H3" s="2620"/>
      <c r="I3" s="2620"/>
      <c r="J3" s="2620"/>
      <c r="K3" s="2620"/>
      <c r="L3" s="1147"/>
      <c r="M3" s="1147"/>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1" t="s">
        <v>1285</v>
      </c>
      <c r="C7" s="2621"/>
      <c r="D7" s="2622"/>
      <c r="E7" s="2622"/>
      <c r="F7" s="2622"/>
      <c r="G7" s="2622"/>
      <c r="H7" s="2622"/>
      <c r="I7" s="2622"/>
      <c r="J7" s="2622"/>
      <c r="K7" s="26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4" t="str">
        <f>'AFR20'!$E$2&amp;"-"</f>
        <v>2020-</v>
      </c>
      <c r="D10" s="1155" t="s">
        <v>2139</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9"/>
      <c r="C14" s="2619"/>
      <c r="D14" s="2619"/>
      <c r="E14" s="2619"/>
      <c r="F14" s="2619"/>
      <c r="G14" s="2619"/>
      <c r="H14" s="2619"/>
      <c r="I14" s="2619"/>
      <c r="J14" s="2619"/>
      <c r="K14" s="26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9"/>
      <c r="C17" s="2619"/>
      <c r="D17" s="2619"/>
      <c r="E17" s="2619"/>
      <c r="F17" s="2619"/>
      <c r="G17" s="2619"/>
      <c r="H17" s="2619"/>
      <c r="I17" s="2619"/>
      <c r="J17" s="2619"/>
      <c r="K17" s="261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3"/>
      <c r="C20" s="2623"/>
      <c r="D20" s="2619"/>
      <c r="E20" s="2619"/>
      <c r="F20" s="2619"/>
      <c r="G20" s="2619"/>
      <c r="H20" s="2619"/>
      <c r="I20" s="2619"/>
      <c r="J20" s="2619"/>
      <c r="K20" s="261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9"/>
      <c r="C23" s="2619"/>
      <c r="D23" s="2619"/>
      <c r="E23" s="2619"/>
      <c r="F23" s="2619"/>
      <c r="G23" s="2619"/>
      <c r="H23" s="2619"/>
      <c r="I23" s="2619"/>
      <c r="J23" s="2619"/>
      <c r="K23" s="261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9"/>
      <c r="C26" s="2619"/>
      <c r="D26" s="2619"/>
      <c r="E26" s="2619"/>
      <c r="F26" s="2619"/>
      <c r="G26" s="2619"/>
      <c r="H26" s="2619"/>
      <c r="I26" s="2619"/>
      <c r="J26" s="2619"/>
      <c r="K26" s="261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8"/>
      <c r="C29" s="2618"/>
      <c r="D29" s="2619"/>
      <c r="E29" s="2619"/>
      <c r="F29" s="2619"/>
      <c r="G29" s="2619"/>
      <c r="H29" s="2619"/>
      <c r="I29" s="2619"/>
      <c r="J29" s="2619"/>
      <c r="K29" s="26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8"/>
      <c r="C32" s="2618"/>
      <c r="D32" s="2619"/>
      <c r="E32" s="2619"/>
      <c r="F32" s="2619"/>
      <c r="G32" s="2619"/>
      <c r="H32" s="2619"/>
      <c r="I32" s="2619"/>
      <c r="J32" s="2619"/>
      <c r="K32" s="26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Rock Island SD 41</v>
      </c>
      <c r="C1" s="2627"/>
      <c r="D1" s="2627"/>
      <c r="E1" s="2627"/>
      <c r="F1" s="2627"/>
      <c r="G1" s="2627"/>
      <c r="H1" s="2627"/>
      <c r="I1" s="2627"/>
      <c r="J1" s="2627"/>
      <c r="K1" s="2627"/>
      <c r="L1" s="1221"/>
    </row>
    <row r="2" spans="1:12" ht="12.75" customHeight="1" x14ac:dyDescent="0.2">
      <c r="B2" s="2628">
        <f>'Single Audit Cover'!E7</f>
        <v>49081041025</v>
      </c>
      <c r="C2" s="2628"/>
      <c r="D2" s="2628"/>
      <c r="E2" s="2628"/>
      <c r="F2" s="2628"/>
      <c r="G2" s="2628"/>
      <c r="H2" s="2628"/>
      <c r="I2" s="2628"/>
      <c r="J2" s="2628"/>
      <c r="K2" s="2628"/>
      <c r="L2" s="1222"/>
    </row>
    <row r="3" spans="1:12" ht="12.75" customHeight="1" x14ac:dyDescent="0.2">
      <c r="B3" s="2620" t="s">
        <v>1274</v>
      </c>
      <c r="C3" s="2620"/>
      <c r="D3" s="2620"/>
      <c r="E3" s="2620"/>
      <c r="F3" s="2620"/>
      <c r="G3" s="2620"/>
      <c r="H3" s="2620"/>
      <c r="I3" s="2620"/>
      <c r="J3" s="2620"/>
      <c r="K3" s="2620"/>
      <c r="L3" s="1147"/>
    </row>
    <row r="4" spans="1:12" ht="12.75" customHeight="1" x14ac:dyDescent="0.2">
      <c r="B4" s="2620" t="str">
        <f>'Single Audit Cover'!A4</f>
        <v>Year Ending June 30, 2020</v>
      </c>
      <c r="C4" s="2620"/>
      <c r="D4" s="2620"/>
      <c r="E4" s="2620"/>
      <c r="F4" s="2620"/>
      <c r="G4" s="2620"/>
      <c r="H4" s="2620"/>
      <c r="I4" s="2620"/>
      <c r="J4" s="2620"/>
      <c r="K4" s="2620"/>
      <c r="L4" s="1147"/>
    </row>
    <row r="5" spans="1:12" ht="5.25" customHeight="1" x14ac:dyDescent="0.2">
      <c r="B5" s="1036" t="s">
        <v>1159</v>
      </c>
      <c r="C5" s="1036"/>
      <c r="L5" s="300"/>
    </row>
    <row r="6" spans="1:12" ht="30.75" customHeight="1" x14ac:dyDescent="0.2">
      <c r="A6" s="300"/>
      <c r="B6" s="2629" t="s">
        <v>1297</v>
      </c>
      <c r="C6" s="2629"/>
      <c r="D6" s="2629"/>
      <c r="E6" s="2629"/>
      <c r="F6" s="2629"/>
      <c r="G6" s="2629"/>
      <c r="H6" s="2629"/>
      <c r="I6" s="2629"/>
      <c r="J6" s="2629"/>
      <c r="K6" s="2629"/>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4" t="str">
        <f>'AFR20'!$E$2&amp;"-"</f>
        <v>2020-</v>
      </c>
      <c r="D8" s="1223" t="s">
        <v>2139</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1"/>
      <c r="G12" s="2611"/>
      <c r="H12" s="2611"/>
      <c r="I12" s="2611"/>
      <c r="J12" s="2611"/>
      <c r="K12" s="261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4"/>
      <c r="E14" s="2624"/>
      <c r="F14" s="2624"/>
      <c r="H14" s="1230" t="s">
        <v>1292</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5"/>
      <c r="E16" s="2625"/>
      <c r="F16" s="2625"/>
      <c r="G16" s="2625"/>
      <c r="H16" s="2625"/>
      <c r="I16" s="2625"/>
      <c r="J16" s="2625"/>
      <c r="K16" s="2625"/>
      <c r="L16" s="300"/>
    </row>
    <row r="17" spans="2:12" ht="13.5" customHeight="1" x14ac:dyDescent="0.2">
      <c r="B17" s="1156" t="s">
        <v>1290</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9"/>
      <c r="C20" s="2619"/>
      <c r="D20" s="2619"/>
      <c r="E20" s="2619"/>
      <c r="F20" s="2619"/>
      <c r="G20" s="2619"/>
      <c r="H20" s="2619"/>
      <c r="I20" s="2619"/>
      <c r="J20" s="2619"/>
      <c r="K20" s="261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10" sqref="B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4" t="str">
        <f>'Single Audit Cover'!A7</f>
        <v xml:space="preserve">  Rock Island SD 41</v>
      </c>
      <c r="C1" s="2604"/>
      <c r="D1" s="2604"/>
      <c r="E1" s="1240"/>
    </row>
    <row r="2" spans="2:5" s="1058" customFormat="1" ht="12.75" customHeight="1" x14ac:dyDescent="0.2">
      <c r="B2" s="2606">
        <f>'Single Audit Cover'!E7</f>
        <v>49081041025</v>
      </c>
      <c r="C2" s="2606"/>
      <c r="D2" s="2606"/>
      <c r="E2" s="1241"/>
    </row>
    <row r="3" spans="2:5" ht="12.75" customHeight="1" x14ac:dyDescent="0.2">
      <c r="B3" s="2620" t="s">
        <v>1740</v>
      </c>
      <c r="C3" s="2620"/>
      <c r="D3" s="2620"/>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2356</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P30" sqref="P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561631980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3.2000000000000001E-2</v>
      </c>
      <c r="E10" s="333" t="s">
        <v>998</v>
      </c>
      <c r="F10" s="332">
        <v>7.4999999999999997E-3</v>
      </c>
      <c r="G10" s="333" t="s">
        <v>998</v>
      </c>
      <c r="H10" s="332">
        <v>2E-3</v>
      </c>
      <c r="I10" s="333" t="s">
        <v>999</v>
      </c>
      <c r="J10" s="1424">
        <f>ROUND(D10+F10+H10,5)</f>
        <v>4.1500000000000002E-2</v>
      </c>
      <c r="K10" s="217"/>
      <c r="L10" s="332">
        <v>5.0000000000000001E-4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75329288</v>
      </c>
      <c r="E16" s="1547"/>
      <c r="F16" s="1546">
        <f>SUM('Acct Summary 7-8'!C17,'Acct Summary 7-8'!D17,'Acct Summary 7-8'!F17)</f>
        <v>73651082</v>
      </c>
      <c r="G16" s="1547"/>
      <c r="H16" s="1546">
        <f>SUM(D16-F16)</f>
        <v>1678206</v>
      </c>
      <c r="I16" s="1548"/>
      <c r="J16" s="1546">
        <f>SUM('Acct Summary 7-8'!C81,'Acct Summary 7-8'!D81,'Acct Summary 7-8'!F81,'Acct Summary 7-8'!I81)</f>
        <v>40595564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77505213.24000001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38150000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2"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1396</v>
      </c>
      <c r="B3" s="2218"/>
      <c r="C3" s="2218"/>
      <c r="D3" s="2218"/>
      <c r="E3" s="2218"/>
      <c r="F3" s="2218"/>
      <c r="G3" s="2218"/>
      <c r="H3" s="2218"/>
      <c r="I3" s="2218"/>
      <c r="J3" s="2218"/>
      <c r="K3" s="2218"/>
      <c r="L3" s="2218"/>
      <c r="M3" s="2218"/>
      <c r="N3" s="2218"/>
      <c r="O3" s="2218"/>
      <c r="P3" s="2218"/>
      <c r="Q3" s="2218"/>
      <c r="R3" s="2218"/>
    </row>
    <row r="4" spans="1:18" x14ac:dyDescent="0.2">
      <c r="A4" s="2219" t="s">
        <v>1537</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Rock Island SD 41</v>
      </c>
      <c r="E7" s="368"/>
      <c r="G7" s="247"/>
      <c r="H7" s="364"/>
      <c r="I7" s="364"/>
      <c r="J7" s="364"/>
      <c r="K7" s="364"/>
      <c r="L7" s="307"/>
      <c r="M7" s="307"/>
      <c r="N7" s="307"/>
      <c r="O7" s="307"/>
      <c r="P7" s="307"/>
    </row>
    <row r="8" spans="1:18" ht="12.75" x14ac:dyDescent="0.2">
      <c r="A8" s="307"/>
      <c r="B8" s="307"/>
      <c r="C8" s="366" t="s">
        <v>1115</v>
      </c>
      <c r="D8" s="369">
        <f>COVER!A13</f>
        <v>49081041025</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40595564</v>
      </c>
      <c r="I12" s="380"/>
      <c r="J12" s="380"/>
      <c r="K12" s="1559">
        <f>TRUNC((H12/H13*100000),5)/100000</f>
        <v>0.53890810700000003</v>
      </c>
      <c r="L12" s="381"/>
      <c r="M12" s="337" t="s">
        <v>1134</v>
      </c>
      <c r="N12" s="337"/>
      <c r="O12" s="1562">
        <v>0.35</v>
      </c>
      <c r="P12" s="213"/>
      <c r="Q12" s="213"/>
    </row>
    <row r="13" spans="1:18" s="382" customFormat="1" ht="12.75" x14ac:dyDescent="0.2">
      <c r="A13" s="213"/>
      <c r="B13" s="377"/>
      <c r="C13" s="2215" t="s">
        <v>1313</v>
      </c>
      <c r="D13" s="2216"/>
      <c r="E13" s="213"/>
      <c r="F13" s="383" t="s">
        <v>788</v>
      </c>
      <c r="G13" s="378"/>
      <c r="H13" s="1551">
        <f>SUM('Acct Summary 7-8'!C8+'Acct Summary 7-8'!D8+'Acct Summary 7-8'!F8+'Acct Summary 7-8'!I8)+H14</f>
        <v>75329288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73651082</v>
      </c>
      <c r="I17" s="380"/>
      <c r="J17" s="389"/>
      <c r="K17" s="1559">
        <f>TRUNC((H17/H18*100000),5)/100000</f>
        <v>0.97772173280000008</v>
      </c>
      <c r="L17" s="381"/>
      <c r="M17" s="390" t="s">
        <v>1161</v>
      </c>
      <c r="O17" s="1565" t="str">
        <f>IF(AND(O16="2", J20 &gt; 2),"1",IF(AND(O16 = "1", J20 &gt; 2),"2",IF(AND(O16="1", J20 &gt;1),"1","0")))</f>
        <v>0</v>
      </c>
      <c r="P17" s="213"/>
    </row>
    <row r="18" spans="1:18" s="382" customFormat="1" ht="11.25" x14ac:dyDescent="0.2">
      <c r="A18" s="213"/>
      <c r="B18" s="377"/>
      <c r="C18" s="2215" t="s">
        <v>1306</v>
      </c>
      <c r="D18" s="2216"/>
      <c r="E18" s="213"/>
      <c r="F18" s="391" t="s">
        <v>789</v>
      </c>
      <c r="G18" s="378"/>
      <c r="H18" s="1551">
        <f>SUM('Acct Summary 7-8'!C8+'Acct Summary 7-8'!D8+'Acct Summary 7-8'!F8+'Acct Summary 7-8'!I8)+H19</f>
        <v>75329288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2" t="s">
        <v>1395</v>
      </c>
      <c r="D24" s="2212"/>
      <c r="E24" s="213"/>
      <c r="F24" s="213" t="s">
        <v>442</v>
      </c>
      <c r="G24" s="378"/>
      <c r="H24" s="1551">
        <f>SUM('Assets-Liab 5-6'!C4+'Assets-Liab 5-6'!D4+'Assets-Liab 5-6'!F4+'Assets-Liab 5-6'!I4+'Assets-Liab 5-6'!C5+'Assets-Liab 5-6'!D5+'Assets-Liab 5-6'!F5+'Assets-Liab 5-6'!I5)</f>
        <v>35137392</v>
      </c>
      <c r="I24" s="394"/>
      <c r="J24" s="394"/>
      <c r="K24" s="1555">
        <f>TRUNC(((H24/H25*100000)/100000),2)</f>
        <v>171.74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204586.33889000001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19811568.094500002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38150000</v>
      </c>
      <c r="I32" s="392"/>
      <c r="J32" s="392"/>
      <c r="K32" s="1555">
        <f>TRUNC(100-((((H32/H33*100))*100)/100),2)</f>
        <v>50.77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77505213.24000001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7" activePane="bottomLeft" state="frozen"/>
      <selection pane="bottomLeft" activeCell="H38" sqref="H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2" t="s">
        <v>967</v>
      </c>
      <c r="B3" s="2223"/>
      <c r="C3" s="1306"/>
      <c r="D3" s="1307"/>
      <c r="E3" s="1307"/>
      <c r="F3" s="1307"/>
      <c r="G3" s="1307"/>
      <c r="H3" s="1307"/>
      <c r="I3" s="1307"/>
      <c r="J3" s="1307"/>
      <c r="K3" s="1307"/>
      <c r="L3" s="1307"/>
      <c r="M3" s="1308"/>
      <c r="N3" s="1309"/>
    </row>
    <row r="4" spans="1:14" ht="13.5" customHeight="1" x14ac:dyDescent="0.2">
      <c r="A4" s="427" t="s">
        <v>1632</v>
      </c>
      <c r="B4" s="428"/>
      <c r="C4" s="1572">
        <v>198234</v>
      </c>
      <c r="D4" s="1573">
        <v>5869317</v>
      </c>
      <c r="E4" s="1573">
        <v>1214048</v>
      </c>
      <c r="F4" s="1573">
        <v>2944522</v>
      </c>
      <c r="G4" s="1573">
        <v>1420087</v>
      </c>
      <c r="H4" s="1573">
        <v>1315638</v>
      </c>
      <c r="I4" s="1573"/>
      <c r="J4" s="1574">
        <v>429585</v>
      </c>
      <c r="K4" s="1573">
        <v>179101</v>
      </c>
      <c r="L4" s="1573">
        <f>190152+517495</f>
        <v>707647</v>
      </c>
      <c r="M4" s="1575"/>
      <c r="N4" s="1576"/>
    </row>
    <row r="5" spans="1:14" x14ac:dyDescent="0.2">
      <c r="A5" s="427" t="s">
        <v>985</v>
      </c>
      <c r="B5" s="429">
        <v>120</v>
      </c>
      <c r="C5" s="1572">
        <v>21449058</v>
      </c>
      <c r="D5" s="1573"/>
      <c r="E5" s="1573"/>
      <c r="F5" s="1573"/>
      <c r="G5" s="1573"/>
      <c r="H5" s="1573">
        <v>17005227</v>
      </c>
      <c r="I5" s="1573">
        <v>4676261</v>
      </c>
      <c r="J5" s="1574"/>
      <c r="K5" s="1577"/>
      <c r="L5" s="1578"/>
      <c r="M5" s="1575"/>
      <c r="N5" s="1576"/>
    </row>
    <row r="6" spans="1:14" ht="13.5" customHeight="1" x14ac:dyDescent="0.2">
      <c r="A6" s="430" t="s">
        <v>414</v>
      </c>
      <c r="B6" s="429">
        <v>130</v>
      </c>
      <c r="C6" s="1572">
        <v>21159870</v>
      </c>
      <c r="D6" s="1573">
        <v>4898920</v>
      </c>
      <c r="E6" s="1573">
        <v>3849945</v>
      </c>
      <c r="F6" s="1573">
        <v>1308504</v>
      </c>
      <c r="G6" s="1577">
        <v>2682948</v>
      </c>
      <c r="H6" s="1577"/>
      <c r="I6" s="1573">
        <v>328851</v>
      </c>
      <c r="J6" s="1579">
        <v>993788</v>
      </c>
      <c r="K6" s="1577"/>
      <c r="L6" s="1580"/>
      <c r="M6" s="1575"/>
      <c r="N6" s="1576"/>
    </row>
    <row r="7" spans="1:14" ht="13.5" customHeight="1" x14ac:dyDescent="0.2">
      <c r="A7" s="430" t="s">
        <v>415</v>
      </c>
      <c r="B7" s="429">
        <v>140</v>
      </c>
      <c r="C7" s="1581"/>
      <c r="D7" s="1574">
        <v>6288</v>
      </c>
      <c r="E7" s="1574"/>
      <c r="F7" s="1574"/>
      <c r="G7" s="1574">
        <v>1955</v>
      </c>
      <c r="H7" s="1574">
        <v>50000</v>
      </c>
      <c r="I7" s="1574"/>
      <c r="J7" s="1574"/>
      <c r="K7" s="1574"/>
      <c r="L7" s="1582"/>
      <c r="M7" s="1575"/>
      <c r="N7" s="1576"/>
    </row>
    <row r="8" spans="1:14" ht="13.5" customHeight="1" x14ac:dyDescent="0.2">
      <c r="A8" s="430" t="s">
        <v>267</v>
      </c>
      <c r="B8" s="429">
        <v>150</v>
      </c>
      <c r="C8" s="1581">
        <v>4067891</v>
      </c>
      <c r="D8" s="1574"/>
      <c r="E8" s="1574"/>
      <c r="F8" s="1574"/>
      <c r="G8" s="1583"/>
      <c r="H8" s="1574"/>
      <c r="I8" s="1579"/>
      <c r="J8" s="1579"/>
      <c r="K8" s="1584"/>
      <c r="L8" s="1585"/>
      <c r="M8" s="1575"/>
      <c r="N8" s="1576"/>
    </row>
    <row r="9" spans="1:14" ht="13.5" customHeight="1" x14ac:dyDescent="0.2">
      <c r="A9" s="430" t="s">
        <v>268</v>
      </c>
      <c r="B9" s="429">
        <v>160</v>
      </c>
      <c r="C9" s="1581">
        <v>5810</v>
      </c>
      <c r="D9" s="1574">
        <v>13545</v>
      </c>
      <c r="E9" s="1574"/>
      <c r="F9" s="1574">
        <f>842177+26</f>
        <v>842203</v>
      </c>
      <c r="G9" s="1574"/>
      <c r="H9" s="1583">
        <v>737799</v>
      </c>
      <c r="I9" s="1574"/>
      <c r="J9" s="1574">
        <v>56297</v>
      </c>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46880863</v>
      </c>
      <c r="D13" s="1587">
        <f t="shared" ref="D13:L13" si="0">SUM(D4:D12)</f>
        <v>10788070</v>
      </c>
      <c r="E13" s="1587">
        <f t="shared" si="0"/>
        <v>5063993</v>
      </c>
      <c r="F13" s="1587">
        <f t="shared" si="0"/>
        <v>5095229</v>
      </c>
      <c r="G13" s="1587">
        <f t="shared" si="0"/>
        <v>4104990</v>
      </c>
      <c r="H13" s="1587">
        <f t="shared" si="0"/>
        <v>19108664</v>
      </c>
      <c r="I13" s="1587">
        <f t="shared" si="0"/>
        <v>5005112</v>
      </c>
      <c r="J13" s="1587">
        <f t="shared" si="0"/>
        <v>1479670</v>
      </c>
      <c r="K13" s="1587">
        <f t="shared" si="0"/>
        <v>179101</v>
      </c>
      <c r="L13" s="1587">
        <f t="shared" si="0"/>
        <v>707647</v>
      </c>
      <c r="M13" s="1575"/>
      <c r="N13" s="1576"/>
    </row>
    <row r="14" spans="1:14" ht="18" customHeight="1" thickTop="1" x14ac:dyDescent="0.2">
      <c r="A14" s="2224" t="s">
        <v>146</v>
      </c>
      <c r="B14" s="222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2439266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80737615-32656300</f>
        <v>48081315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f>4581935-2551736</f>
        <v>2030199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4443187-3488359</f>
        <v>954828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2452612</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E39</f>
        <v>1920510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36229490</v>
      </c>
    </row>
    <row r="23" spans="1:14" ht="13.5" customHeight="1" thickBot="1" x14ac:dyDescent="0.25">
      <c r="A23" s="1426" t="s">
        <v>638</v>
      </c>
      <c r="B23" s="1429"/>
      <c r="C23" s="1575"/>
      <c r="D23" s="1575"/>
      <c r="E23" s="1575"/>
      <c r="F23" s="1575"/>
      <c r="G23" s="1575"/>
      <c r="H23" s="1575"/>
      <c r="I23" s="1575"/>
      <c r="J23" s="1575"/>
      <c r="K23" s="1575"/>
      <c r="L23" s="1575"/>
      <c r="M23" s="1594">
        <f>SUM(M15:M22)</f>
        <v>55958220</v>
      </c>
      <c r="N23" s="1594">
        <f>SUM(N21:N22)</f>
        <v>38150000</v>
      </c>
    </row>
    <row r="24" spans="1:14" ht="18" customHeight="1" thickTop="1" x14ac:dyDescent="0.2">
      <c r="A24" s="2226" t="s">
        <v>594</v>
      </c>
      <c r="B24" s="2227"/>
      <c r="C24" s="1595"/>
      <c r="D24" s="1590"/>
      <c r="E24" s="1590"/>
      <c r="F24" s="1590"/>
      <c r="G24" s="1590"/>
      <c r="H24" s="1590"/>
      <c r="I24" s="1590"/>
      <c r="J24" s="1590"/>
      <c r="K24" s="1590"/>
      <c r="L24" s="1590"/>
      <c r="M24" s="1589"/>
      <c r="N24" s="1596"/>
    </row>
    <row r="25" spans="1:14" x14ac:dyDescent="0.2">
      <c r="A25" s="430" t="s">
        <v>640</v>
      </c>
      <c r="B25" s="429">
        <v>410</v>
      </c>
      <c r="C25" s="1583">
        <v>58243</v>
      </c>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183168</v>
      </c>
      <c r="D27" s="1574">
        <v>174469</v>
      </c>
      <c r="E27" s="1574"/>
      <c r="F27" s="1574"/>
      <c r="G27" s="1574"/>
      <c r="H27" s="1574">
        <v>845121</v>
      </c>
      <c r="I27" s="1574"/>
      <c r="J27" s="1574">
        <v>46602</v>
      </c>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3145350</v>
      </c>
      <c r="D30" s="1579">
        <v>4628</v>
      </c>
      <c r="E30" s="1574"/>
      <c r="F30" s="1574"/>
      <c r="G30" s="1574">
        <v>268995</v>
      </c>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17610869</v>
      </c>
      <c r="D32" s="1599">
        <v>4002737</v>
      </c>
      <c r="E32" s="1579">
        <v>3143483</v>
      </c>
      <c r="F32" s="1579">
        <v>1727397</v>
      </c>
      <c r="G32" s="1579">
        <v>2186028</v>
      </c>
      <c r="H32" s="1579">
        <v>277934</v>
      </c>
      <c r="I32" s="1579">
        <v>266849</v>
      </c>
      <c r="J32" s="1579">
        <v>806418</v>
      </c>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L4</f>
        <v>707647</v>
      </c>
      <c r="M33" s="1575"/>
      <c r="N33" s="1576"/>
    </row>
    <row r="34" spans="1:14" ht="13.5" customHeight="1" thickBot="1" x14ac:dyDescent="0.25">
      <c r="A34" s="1427" t="s">
        <v>649</v>
      </c>
      <c r="B34" s="1428"/>
      <c r="C34" s="1600">
        <f>SUM(C25:C33)</f>
        <v>20997630</v>
      </c>
      <c r="D34" s="1600">
        <f t="shared" ref="D34:K34" si="1">SUM(D25:D33)</f>
        <v>4181834</v>
      </c>
      <c r="E34" s="1600">
        <f t="shared" si="1"/>
        <v>3143483</v>
      </c>
      <c r="F34" s="1600">
        <f t="shared" si="1"/>
        <v>1727397</v>
      </c>
      <c r="G34" s="1600">
        <f t="shared" si="1"/>
        <v>2455023</v>
      </c>
      <c r="H34" s="1600">
        <f t="shared" si="1"/>
        <v>1123055</v>
      </c>
      <c r="I34" s="1600">
        <f t="shared" si="1"/>
        <v>266849</v>
      </c>
      <c r="J34" s="1600">
        <f t="shared" si="1"/>
        <v>853020</v>
      </c>
      <c r="K34" s="1600">
        <f t="shared" si="1"/>
        <v>0</v>
      </c>
      <c r="L34" s="1601">
        <f>SUM(L33)</f>
        <v>707647</v>
      </c>
      <c r="M34" s="1575"/>
      <c r="N34" s="1585"/>
    </row>
    <row r="35" spans="1:14" ht="18" customHeight="1" thickTop="1" x14ac:dyDescent="0.2">
      <c r="A35" s="2228" t="s">
        <v>526</v>
      </c>
      <c r="B35" s="222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38150000</v>
      </c>
    </row>
    <row r="37" spans="1:14" ht="13.5" thickBot="1" x14ac:dyDescent="0.25">
      <c r="A37" s="1426" t="s">
        <v>648</v>
      </c>
      <c r="B37" s="1429"/>
      <c r="C37" s="1582"/>
      <c r="D37" s="1582"/>
      <c r="E37" s="1582"/>
      <c r="F37" s="1582"/>
      <c r="G37" s="1582"/>
      <c r="H37" s="1582"/>
      <c r="I37" s="1582"/>
      <c r="J37" s="1582"/>
      <c r="K37" s="1582"/>
      <c r="L37" s="1585"/>
      <c r="M37" s="1575"/>
      <c r="N37" s="1594">
        <f>SUM(N36:N36)</f>
        <v>38150000</v>
      </c>
    </row>
    <row r="38" spans="1:14" s="307" customFormat="1" ht="13.5" customHeight="1" thickTop="1" x14ac:dyDescent="0.2">
      <c r="A38" s="438" t="s">
        <v>417</v>
      </c>
      <c r="B38" s="432">
        <v>714</v>
      </c>
      <c r="C38" s="1573"/>
      <c r="D38" s="1573">
        <v>318673</v>
      </c>
      <c r="E38" s="1573"/>
      <c r="F38" s="1573"/>
      <c r="G38" s="1573"/>
      <c r="H38" s="1573">
        <v>17985609</v>
      </c>
      <c r="I38" s="1573"/>
      <c r="J38" s="1574"/>
      <c r="K38" s="1573"/>
      <c r="L38" s="1586"/>
      <c r="M38" s="1604"/>
      <c r="N38" s="1604"/>
    </row>
    <row r="39" spans="1:14" s="307" customFormat="1" ht="13.5" customHeight="1" x14ac:dyDescent="0.2">
      <c r="A39" s="438" t="s">
        <v>339</v>
      </c>
      <c r="B39" s="432">
        <v>730</v>
      </c>
      <c r="C39" s="1573">
        <f>C13-C34</f>
        <v>25883233</v>
      </c>
      <c r="D39" s="1573">
        <f>D13-D34-D38</f>
        <v>6287563</v>
      </c>
      <c r="E39" s="1573">
        <f t="shared" ref="E39:K39" si="2">E13-E34</f>
        <v>1920510</v>
      </c>
      <c r="F39" s="1573">
        <f t="shared" si="2"/>
        <v>3367832</v>
      </c>
      <c r="G39" s="1573">
        <f t="shared" si="2"/>
        <v>1649967</v>
      </c>
      <c r="H39" s="2030"/>
      <c r="I39" s="1573">
        <f t="shared" si="2"/>
        <v>4738263</v>
      </c>
      <c r="J39" s="1573">
        <f t="shared" si="2"/>
        <v>626650</v>
      </c>
      <c r="K39" s="1573">
        <f t="shared" si="2"/>
        <v>179101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55958220</v>
      </c>
      <c r="N40" s="1604"/>
    </row>
    <row r="41" spans="1:14" ht="13.5" customHeight="1" thickBot="1" x14ac:dyDescent="0.25">
      <c r="A41" s="1426" t="s">
        <v>650</v>
      </c>
      <c r="B41" s="1405"/>
      <c r="C41" s="1594">
        <f>(SUM(C34,C37,C38,C39))</f>
        <v>46880863</v>
      </c>
      <c r="D41" s="1594">
        <f t="shared" ref="D41:L41" si="3">SUM(D34,D37,D38:D39)</f>
        <v>10788070</v>
      </c>
      <c r="E41" s="1594">
        <f t="shared" si="3"/>
        <v>5063993</v>
      </c>
      <c r="F41" s="1594">
        <f t="shared" si="3"/>
        <v>5095229</v>
      </c>
      <c r="G41" s="1594">
        <f t="shared" si="3"/>
        <v>4104990</v>
      </c>
      <c r="H41" s="1594">
        <f>SUM(H34,H37,H38:H38)</f>
        <v>19108664</v>
      </c>
      <c r="I41" s="1594">
        <f t="shared" si="3"/>
        <v>5005112</v>
      </c>
      <c r="J41" s="1594">
        <f t="shared" si="3"/>
        <v>1479670</v>
      </c>
      <c r="K41" s="1594">
        <f t="shared" si="3"/>
        <v>179101</v>
      </c>
      <c r="L41" s="1594">
        <f t="shared" si="3"/>
        <v>707647</v>
      </c>
      <c r="M41" s="1594">
        <f>SUM(M40)</f>
        <v>55958220</v>
      </c>
      <c r="N41" s="1594">
        <f>SUM(N37)</f>
        <v>38150000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9" activePane="bottomLeft" state="frozen"/>
      <selection activeCell="C48" sqref="C48"/>
      <selection pane="bottomLeft" activeCell="H81" sqref="H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0" t="s">
        <v>1165</v>
      </c>
      <c r="B3" s="2251"/>
      <c r="C3" s="1311"/>
      <c r="D3" s="1312"/>
      <c r="E3" s="1312"/>
      <c r="F3" s="1312"/>
      <c r="G3" s="1312"/>
      <c r="H3" s="1312"/>
      <c r="I3" s="1312"/>
      <c r="J3" s="1312"/>
      <c r="K3" s="1313"/>
      <c r="L3" s="446"/>
    </row>
    <row r="4" spans="1:13" ht="15.75" customHeight="1" x14ac:dyDescent="0.2">
      <c r="A4" s="1537" t="s">
        <v>1482</v>
      </c>
      <c r="B4" s="1538">
        <v>1000</v>
      </c>
      <c r="C4" s="1606">
        <f>'Revenues 9-14'!C109</f>
        <v>25738071</v>
      </c>
      <c r="D4" s="1606">
        <f>'Revenues 9-14'!D109</f>
        <v>4273610</v>
      </c>
      <c r="E4" s="1606">
        <f>'Revenues 9-14'!E109</f>
        <v>3277345</v>
      </c>
      <c r="F4" s="1606">
        <f>'Revenues 9-14'!F109</f>
        <v>1135560</v>
      </c>
      <c r="G4" s="1606">
        <f>'Revenues 9-14'!G109</f>
        <v>2382216</v>
      </c>
      <c r="H4" s="1606">
        <f>'Revenues 9-14'!H109</f>
        <v>3191685</v>
      </c>
      <c r="I4" s="1606">
        <f>'Revenues 9-14'!I109</f>
        <v>278812</v>
      </c>
      <c r="J4" s="1606">
        <f>'Revenues 9-14'!J109</f>
        <v>843684</v>
      </c>
      <c r="K4" s="1606">
        <f>'Revenues 9-14'!K109</f>
        <v>2098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29664299</v>
      </c>
      <c r="D6" s="1607">
        <f>'Revenues 9-14'!D170</f>
        <v>1475000</v>
      </c>
      <c r="E6" s="1607">
        <f>'Revenues 9-14'!E170</f>
        <v>0</v>
      </c>
      <c r="F6" s="1607">
        <f>'Revenues 9-14'!F170</f>
        <v>736908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12027028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67429398</v>
      </c>
      <c r="D8" s="1594">
        <f t="shared" ref="D8:K8" si="0">SUM(D4:D7)</f>
        <v>5748610</v>
      </c>
      <c r="E8" s="1594">
        <f t="shared" si="0"/>
        <v>3277345</v>
      </c>
      <c r="F8" s="1594">
        <f t="shared" si="0"/>
        <v>1872468</v>
      </c>
      <c r="G8" s="1594">
        <f t="shared" si="0"/>
        <v>2382216</v>
      </c>
      <c r="H8" s="1594">
        <f t="shared" si="0"/>
        <v>3241685</v>
      </c>
      <c r="I8" s="1594">
        <f t="shared" si="0"/>
        <v>278812</v>
      </c>
      <c r="J8" s="1594">
        <f t="shared" si="0"/>
        <v>843684</v>
      </c>
      <c r="K8" s="1594">
        <f t="shared" si="0"/>
        <v>2098</v>
      </c>
      <c r="L8" s="325"/>
    </row>
    <row r="9" spans="1:13" ht="15.75" thickTop="1" x14ac:dyDescent="0.2">
      <c r="A9" s="449" t="s">
        <v>1634</v>
      </c>
      <c r="B9" s="450">
        <v>3998</v>
      </c>
      <c r="C9" s="1586">
        <v>31827193</v>
      </c>
      <c r="D9" s="1613"/>
      <c r="E9" s="1586"/>
      <c r="F9" s="1586"/>
      <c r="G9" s="1614"/>
      <c r="H9" s="1586"/>
      <c r="I9" s="1609" t="s">
        <v>1159</v>
      </c>
      <c r="J9" s="1583"/>
      <c r="K9" s="1586"/>
      <c r="L9" s="325"/>
    </row>
    <row r="10" spans="1:13" s="452" customFormat="1" ht="13.5" thickBot="1" x14ac:dyDescent="0.25">
      <c r="A10" s="1426" t="s">
        <v>1163</v>
      </c>
      <c r="B10" s="1407"/>
      <c r="C10" s="1594">
        <f>SUM(C8:C9)</f>
        <v>99256591</v>
      </c>
      <c r="D10" s="1594">
        <f t="shared" ref="D10:K10" si="1">SUM(D8:D9)</f>
        <v>5748610</v>
      </c>
      <c r="E10" s="1594">
        <f t="shared" si="1"/>
        <v>3277345</v>
      </c>
      <c r="F10" s="1594">
        <f t="shared" si="1"/>
        <v>1872468</v>
      </c>
      <c r="G10" s="1594">
        <f t="shared" si="1"/>
        <v>2382216</v>
      </c>
      <c r="H10" s="1594">
        <f t="shared" si="1"/>
        <v>3241685</v>
      </c>
      <c r="I10" s="1594">
        <f t="shared" si="1"/>
        <v>278812</v>
      </c>
      <c r="J10" s="1594">
        <f t="shared" si="1"/>
        <v>843684</v>
      </c>
      <c r="K10" s="1594">
        <f t="shared" si="1"/>
        <v>2098</v>
      </c>
      <c r="L10" s="451"/>
    </row>
    <row r="11" spans="1:13" s="452" customFormat="1" ht="16.7" customHeight="1" thickTop="1" x14ac:dyDescent="0.2">
      <c r="A11" s="2224" t="s">
        <v>1166</v>
      </c>
      <c r="B11" s="2225"/>
      <c r="C11" s="1602"/>
      <c r="D11" s="1603"/>
      <c r="E11" s="1603"/>
      <c r="F11" s="1603"/>
      <c r="G11" s="1603"/>
      <c r="H11" s="1603"/>
      <c r="I11" s="1603"/>
      <c r="J11" s="1603"/>
      <c r="K11" s="1615"/>
      <c r="L11" s="451"/>
    </row>
    <row r="12" spans="1:13" ht="15.75" customHeight="1" x14ac:dyDescent="0.2">
      <c r="A12" s="1314" t="s">
        <v>453</v>
      </c>
      <c r="B12" s="1316">
        <v>1000</v>
      </c>
      <c r="C12" s="1606">
        <f>'Expenditures 15-22'!K33</f>
        <v>43716458</v>
      </c>
      <c r="D12" s="1616" t="s">
        <v>1159</v>
      </c>
      <c r="E12" s="1575" t="s">
        <v>1159</v>
      </c>
      <c r="F12" s="1575" t="s">
        <v>1159</v>
      </c>
      <c r="G12" s="1606">
        <f>'Expenditures 15-22'!K229</f>
        <v>907647</v>
      </c>
      <c r="H12" s="1617"/>
      <c r="I12" s="1575" t="s">
        <v>1159</v>
      </c>
      <c r="J12" s="1575" t="s">
        <v>1159</v>
      </c>
      <c r="K12" s="1617" t="s">
        <v>1159</v>
      </c>
      <c r="L12" s="325"/>
    </row>
    <row r="13" spans="1:13" ht="15.75" customHeight="1" x14ac:dyDescent="0.2">
      <c r="A13" s="1314" t="s">
        <v>454</v>
      </c>
      <c r="B13" s="1316">
        <v>2000</v>
      </c>
      <c r="C13" s="1607">
        <f>'Expenditures 15-22'!K74</f>
        <v>16915073</v>
      </c>
      <c r="D13" s="1607">
        <f>'Expenditures 15-22'!K129</f>
        <v>5233581</v>
      </c>
      <c r="E13" s="1576" t="s">
        <v>1159</v>
      </c>
      <c r="F13" s="1607">
        <f>'Expenditures 15-22'!K184</f>
        <v>1445370</v>
      </c>
      <c r="G13" s="1607">
        <f>'Expenditures 15-22'!K279</f>
        <v>1241763</v>
      </c>
      <c r="H13" s="1607">
        <f>'Expenditures 15-22'!K303</f>
        <v>4436278</v>
      </c>
      <c r="I13" s="1575" t="s">
        <v>1159</v>
      </c>
      <c r="J13" s="1607">
        <f>'Expenditures 15-22'!K330</f>
        <v>983434</v>
      </c>
      <c r="K13" s="1618">
        <f>'Expenditures 15-22'!K352</f>
        <v>0</v>
      </c>
      <c r="L13" s="325"/>
    </row>
    <row r="14" spans="1:13" ht="15.75" customHeight="1" x14ac:dyDescent="0.2">
      <c r="A14" s="1314" t="s">
        <v>446</v>
      </c>
      <c r="B14" s="1316">
        <v>3000</v>
      </c>
      <c r="C14" s="1607">
        <f>'Expenditures 15-22'!K75</f>
        <v>3593284</v>
      </c>
      <c r="D14" s="1607">
        <f>'Expenditures 15-22'!K130</f>
        <v>0</v>
      </c>
      <c r="E14" s="1616" t="s">
        <v>1159</v>
      </c>
      <c r="F14" s="1607">
        <f>'Expenditures 15-22'!K185</f>
        <v>0</v>
      </c>
      <c r="G14" s="1607">
        <f>'Expenditures 15-22'!K280</f>
        <v>3782</v>
      </c>
      <c r="H14" s="1612"/>
      <c r="I14" s="1575" t="s">
        <v>1159</v>
      </c>
      <c r="J14" s="1575" t="s">
        <v>1159</v>
      </c>
      <c r="K14" s="1612" t="s">
        <v>1159</v>
      </c>
      <c r="L14" s="325"/>
    </row>
    <row r="15" spans="1:13" ht="15.75" customHeight="1" x14ac:dyDescent="0.2">
      <c r="A15" s="1314" t="s">
        <v>107</v>
      </c>
      <c r="B15" s="1316">
        <v>4000</v>
      </c>
      <c r="C15" s="1607">
        <f>'Expenditures 15-22'!K102</f>
        <v>2747316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3152443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66972131</v>
      </c>
      <c r="D17" s="1594">
        <f t="shared" si="2"/>
        <v>5233581</v>
      </c>
      <c r="E17" s="1594">
        <f t="shared" si="2"/>
        <v>3152443</v>
      </c>
      <c r="F17" s="1594">
        <f t="shared" si="2"/>
        <v>1445370</v>
      </c>
      <c r="G17" s="1594">
        <f t="shared" si="2"/>
        <v>2153192</v>
      </c>
      <c r="H17" s="1594">
        <f t="shared" si="2"/>
        <v>4436278</v>
      </c>
      <c r="I17" s="1575"/>
      <c r="J17" s="1594">
        <f>SUM(J12:J16)</f>
        <v>983434</v>
      </c>
      <c r="K17" s="1594">
        <f>SUM(K12:K16)</f>
        <v>0</v>
      </c>
      <c r="L17" s="325"/>
    </row>
    <row r="18" spans="1:12" ht="15" customHeight="1" thickTop="1" x14ac:dyDescent="0.2">
      <c r="A18" s="1430" t="s">
        <v>1635</v>
      </c>
      <c r="B18" s="1431">
        <v>4180</v>
      </c>
      <c r="C18" s="1606">
        <f t="shared" ref="C18:H18" si="3">C9</f>
        <v>31827193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98799324</v>
      </c>
      <c r="D19" s="1594">
        <f t="shared" si="4"/>
        <v>5233581</v>
      </c>
      <c r="E19" s="1594">
        <f t="shared" si="4"/>
        <v>3152443</v>
      </c>
      <c r="F19" s="1594">
        <f t="shared" si="4"/>
        <v>1445370</v>
      </c>
      <c r="G19" s="1594">
        <f t="shared" si="4"/>
        <v>2153192</v>
      </c>
      <c r="H19" s="1594">
        <f t="shared" si="4"/>
        <v>4436278</v>
      </c>
      <c r="I19" s="1575"/>
      <c r="J19" s="1594">
        <f>SUM(J17:J18)</f>
        <v>983434</v>
      </c>
      <c r="K19" s="1594">
        <f>SUM(K17:K18)</f>
        <v>0</v>
      </c>
      <c r="L19" s="325"/>
    </row>
    <row r="20" spans="1:12" ht="16.5" thickTop="1" thickBot="1" x14ac:dyDescent="0.25">
      <c r="A20" s="2240" t="s">
        <v>1636</v>
      </c>
      <c r="B20" s="2241"/>
      <c r="C20" s="1622">
        <f>C8-C17</f>
        <v>457267</v>
      </c>
      <c r="D20" s="1622">
        <f t="shared" ref="D20:K20" si="5">D8-D17</f>
        <v>515029</v>
      </c>
      <c r="E20" s="1622">
        <f t="shared" si="5"/>
        <v>124902</v>
      </c>
      <c r="F20" s="1622">
        <f t="shared" si="5"/>
        <v>427098</v>
      </c>
      <c r="G20" s="1622">
        <f t="shared" si="5"/>
        <v>229024</v>
      </c>
      <c r="H20" s="1622">
        <f t="shared" si="5"/>
        <v>-1194593</v>
      </c>
      <c r="I20" s="1622">
        <f t="shared" si="5"/>
        <v>278812</v>
      </c>
      <c r="J20" s="1622">
        <f t="shared" si="5"/>
        <v>-139750</v>
      </c>
      <c r="K20" s="1622">
        <f t="shared" si="5"/>
        <v>2098</v>
      </c>
      <c r="L20" s="325"/>
    </row>
    <row r="21" spans="1:12" ht="16.7" customHeight="1" thickTop="1" x14ac:dyDescent="0.2">
      <c r="A21" s="2252" t="s">
        <v>591</v>
      </c>
      <c r="B21" s="2253"/>
      <c r="C21" s="1602"/>
      <c r="D21" s="1603"/>
      <c r="E21" s="1603"/>
      <c r="F21" s="1603"/>
      <c r="G21" s="1603"/>
      <c r="H21" s="1603"/>
      <c r="I21" s="1603"/>
      <c r="J21" s="1603"/>
      <c r="K21" s="1615"/>
      <c r="L21" s="453"/>
    </row>
    <row r="22" spans="1:12" ht="15.75" customHeight="1" collapsed="1" x14ac:dyDescent="0.2">
      <c r="A22" s="2248" t="s">
        <v>592</v>
      </c>
      <c r="B22" s="2249"/>
      <c r="C22" s="1582"/>
      <c r="D22" s="1582"/>
      <c r="E22" s="1582"/>
      <c r="F22" s="1582"/>
      <c r="G22" s="1582"/>
      <c r="H22" s="1582"/>
      <c r="I22" s="1582"/>
      <c r="J22" s="1582"/>
      <c r="K22" s="1582"/>
      <c r="L22" s="325"/>
    </row>
    <row r="23" spans="1:12" s="433" customFormat="1" ht="15.75" customHeight="1" x14ac:dyDescent="0.2">
      <c r="A23" s="2244" t="s">
        <v>290</v>
      </c>
      <c r="B23" s="224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6" t="s">
        <v>974</v>
      </c>
      <c r="B32" s="224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14700000</v>
      </c>
      <c r="I33" s="1574"/>
      <c r="J33" s="1574"/>
      <c r="K33" s="1574"/>
      <c r="L33" s="453"/>
    </row>
    <row r="34" spans="1:12" s="433" customFormat="1" x14ac:dyDescent="0.2">
      <c r="A34" s="1260" t="s">
        <v>994</v>
      </c>
      <c r="B34" s="454">
        <v>7220</v>
      </c>
      <c r="C34" s="1574"/>
      <c r="D34" s="1574"/>
      <c r="E34" s="1574"/>
      <c r="F34" s="1574"/>
      <c r="G34" s="1582"/>
      <c r="H34" s="1583">
        <v>2499002</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4" t="s">
        <v>371</v>
      </c>
      <c r="B44" s="2255"/>
      <c r="C44" s="1624">
        <f>SUM(C24:C43)</f>
        <v>0</v>
      </c>
      <c r="D44" s="1624">
        <f t="shared" ref="D44:K44" si="6">SUM(D24:D43)</f>
        <v>0</v>
      </c>
      <c r="E44" s="1624">
        <f t="shared" si="6"/>
        <v>0</v>
      </c>
      <c r="F44" s="1624">
        <f t="shared" si="6"/>
        <v>0</v>
      </c>
      <c r="G44" s="1624">
        <f t="shared" si="6"/>
        <v>0</v>
      </c>
      <c r="H44" s="1624">
        <f t="shared" si="6"/>
        <v>17199002</v>
      </c>
      <c r="I44" s="1624">
        <f t="shared" si="6"/>
        <v>0</v>
      </c>
      <c r="J44" s="1624">
        <f t="shared" si="6"/>
        <v>0</v>
      </c>
      <c r="K44" s="1624">
        <f t="shared" si="6"/>
        <v>0</v>
      </c>
      <c r="L44" s="453"/>
    </row>
    <row r="45" spans="1:12" ht="15.75" customHeight="1" thickTop="1" x14ac:dyDescent="0.2">
      <c r="A45" s="2248" t="s">
        <v>108</v>
      </c>
      <c r="B45" s="2249"/>
      <c r="C45" s="1625"/>
      <c r="D45" s="1625"/>
      <c r="E45" s="1625"/>
      <c r="F45" s="1625"/>
      <c r="G45" s="1625"/>
      <c r="H45" s="1625"/>
      <c r="I45" s="1625"/>
      <c r="J45" s="1625"/>
      <c r="K45" s="1625"/>
      <c r="L45" s="325"/>
    </row>
    <row r="46" spans="1:12" s="433" customFormat="1" ht="15.75" customHeight="1" x14ac:dyDescent="0.2">
      <c r="A46" s="2256" t="s">
        <v>109</v>
      </c>
      <c r="B46" s="225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0" t="s">
        <v>437</v>
      </c>
      <c r="B76" s="223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2" t="s">
        <v>1167</v>
      </c>
      <c r="B77" s="2233"/>
      <c r="C77" s="1624">
        <f t="shared" ref="C77:K77" si="8">C44-C76</f>
        <v>0</v>
      </c>
      <c r="D77" s="1624">
        <f t="shared" si="8"/>
        <v>0</v>
      </c>
      <c r="E77" s="1624">
        <f t="shared" si="8"/>
        <v>0</v>
      </c>
      <c r="F77" s="1624">
        <f t="shared" si="8"/>
        <v>0</v>
      </c>
      <c r="G77" s="1624">
        <f t="shared" si="8"/>
        <v>0</v>
      </c>
      <c r="H77" s="1624">
        <f t="shared" si="8"/>
        <v>17199002</v>
      </c>
      <c r="I77" s="1624">
        <f t="shared" si="8"/>
        <v>0</v>
      </c>
      <c r="J77" s="1624">
        <f t="shared" si="8"/>
        <v>0</v>
      </c>
      <c r="K77" s="1624">
        <f t="shared" si="8"/>
        <v>0</v>
      </c>
      <c r="L77" s="325"/>
    </row>
    <row r="78" spans="1:12" ht="21.75" customHeight="1" thickTop="1" thickBot="1" x14ac:dyDescent="0.25">
      <c r="A78" s="2236" t="s">
        <v>593</v>
      </c>
      <c r="B78" s="2237"/>
      <c r="C78" s="1629">
        <f t="shared" ref="C78:K78" si="9">C20+C77</f>
        <v>457267</v>
      </c>
      <c r="D78" s="1629">
        <f t="shared" si="9"/>
        <v>515029</v>
      </c>
      <c r="E78" s="1629">
        <f t="shared" si="9"/>
        <v>124902</v>
      </c>
      <c r="F78" s="1629">
        <f t="shared" si="9"/>
        <v>427098</v>
      </c>
      <c r="G78" s="1629">
        <f t="shared" si="9"/>
        <v>229024</v>
      </c>
      <c r="H78" s="1629">
        <f t="shared" si="9"/>
        <v>16004409</v>
      </c>
      <c r="I78" s="1629">
        <f t="shared" si="9"/>
        <v>278812</v>
      </c>
      <c r="J78" s="1629">
        <f t="shared" si="9"/>
        <v>-139750</v>
      </c>
      <c r="K78" s="1629">
        <f t="shared" si="9"/>
        <v>2098</v>
      </c>
      <c r="L78" s="457"/>
    </row>
    <row r="79" spans="1:12" ht="13.5" thickTop="1" x14ac:dyDescent="0.2">
      <c r="A79" s="1844" t="str">
        <f>"Fund Balances - July 1, "&amp;'AFR20'!E2-1</f>
        <v>Fund Balances - July 1, 2019</v>
      </c>
      <c r="B79" s="458"/>
      <c r="C79" s="1583">
        <v>25425966</v>
      </c>
      <c r="D79" s="1630">
        <v>6091207</v>
      </c>
      <c r="E79" s="1630">
        <v>1795608</v>
      </c>
      <c r="F79" s="1630">
        <v>2940734</v>
      </c>
      <c r="G79" s="1630">
        <v>1420943</v>
      </c>
      <c r="H79" s="1630">
        <v>1981200</v>
      </c>
      <c r="I79" s="1630">
        <v>4459451</v>
      </c>
      <c r="J79" s="1630">
        <v>766400</v>
      </c>
      <c r="K79" s="1630">
        <v>177003</v>
      </c>
      <c r="L79" s="325"/>
    </row>
    <row r="80" spans="1:12" x14ac:dyDescent="0.2">
      <c r="A80" s="2242" t="s">
        <v>1769</v>
      </c>
      <c r="B80" s="2243"/>
      <c r="C80" s="1574"/>
      <c r="D80" s="1574"/>
      <c r="E80" s="1574"/>
      <c r="F80" s="1574"/>
      <c r="G80" s="1574"/>
      <c r="H80" s="1574"/>
      <c r="I80" s="1574"/>
      <c r="J80" s="1574"/>
      <c r="K80" s="1574"/>
      <c r="L80" s="325"/>
    </row>
    <row r="81" spans="1:12" ht="13.5" thickBot="1" x14ac:dyDescent="0.25">
      <c r="A81" s="2234" t="str">
        <f>"Fund Balances - June 30, "&amp;'AFR20'!E2</f>
        <v>Fund Balances - June 30, 2020</v>
      </c>
      <c r="B81" s="2235"/>
      <c r="C81" s="1594">
        <f>(SUM(C78:C80))</f>
        <v>25883233</v>
      </c>
      <c r="D81" s="1594">
        <f>SUM(D78:D80)</f>
        <v>6606236</v>
      </c>
      <c r="E81" s="1594">
        <f t="shared" ref="E81:K81" si="10">SUM(E78:E80)</f>
        <v>1920510</v>
      </c>
      <c r="F81" s="1594">
        <f t="shared" si="10"/>
        <v>3367832</v>
      </c>
      <c r="G81" s="1594">
        <f t="shared" si="10"/>
        <v>1649967</v>
      </c>
      <c r="H81" s="1594">
        <f t="shared" si="10"/>
        <v>17985609</v>
      </c>
      <c r="I81" s="1594">
        <f t="shared" si="10"/>
        <v>4738263</v>
      </c>
      <c r="J81" s="1594">
        <f t="shared" si="10"/>
        <v>626650</v>
      </c>
      <c r="K81" s="1594">
        <f t="shared" si="10"/>
        <v>179101</v>
      </c>
      <c r="L81" s="325"/>
    </row>
    <row r="82" spans="1:12" ht="0.75" customHeight="1" thickTop="1" thickBot="1" x14ac:dyDescent="0.25">
      <c r="A82" s="459" t="s">
        <v>340</v>
      </c>
      <c r="B82" s="460"/>
      <c r="C82" s="461">
        <f>(C81-C79)</f>
        <v>457267</v>
      </c>
      <c r="D82" s="461">
        <f t="shared" ref="D82:K82" si="11">(D81-D79)</f>
        <v>515029</v>
      </c>
      <c r="E82" s="461">
        <f t="shared" si="11"/>
        <v>124902</v>
      </c>
      <c r="F82" s="461">
        <f t="shared" si="11"/>
        <v>427098</v>
      </c>
      <c r="G82" s="461">
        <f t="shared" si="11"/>
        <v>229024</v>
      </c>
      <c r="H82" s="461">
        <f t="shared" si="11"/>
        <v>16004409</v>
      </c>
      <c r="I82" s="461">
        <f t="shared" si="11"/>
        <v>278812</v>
      </c>
      <c r="J82" s="461">
        <f t="shared" si="11"/>
        <v>-139750</v>
      </c>
      <c r="K82" s="461">
        <f t="shared" si="11"/>
        <v>2098</v>
      </c>
    </row>
    <row r="83" spans="1:12" ht="14.25" hidden="1" thickTop="1" thickBot="1" x14ac:dyDescent="0.25">
      <c r="A83" s="462" t="s">
        <v>341</v>
      </c>
      <c r="B83" s="428"/>
      <c r="C83" s="463">
        <f>C82/C81</f>
        <v>1.7666533388622667E-2</v>
      </c>
      <c r="D83" s="463">
        <f t="shared" ref="D83:K83" si="12">D82/D81</f>
        <v>7.796103560332994E-2</v>
      </c>
      <c r="E83" s="463">
        <f t="shared" si="12"/>
        <v>6.5035849852382963E-2</v>
      </c>
      <c r="F83" s="463">
        <f t="shared" si="12"/>
        <v>0.12681689585466258</v>
      </c>
      <c r="G83" s="463">
        <f t="shared" si="12"/>
        <v>0.13880520034643118</v>
      </c>
      <c r="H83" s="463">
        <f t="shared" si="12"/>
        <v>0.88984526462239899</v>
      </c>
      <c r="I83" s="463">
        <f t="shared" si="12"/>
        <v>5.8842660274450787E-2</v>
      </c>
      <c r="J83" s="463">
        <f t="shared" si="12"/>
        <v>-0.2230112502992101</v>
      </c>
      <c r="K83" s="463">
        <f t="shared" si="12"/>
        <v>1.1714060781346838E-2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6"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1776</v>
      </c>
      <c r="B1" s="416"/>
      <c r="C1" s="417" t="s">
        <v>422</v>
      </c>
      <c r="D1" s="417" t="s">
        <v>423</v>
      </c>
      <c r="E1" s="417" t="s">
        <v>424</v>
      </c>
      <c r="F1" s="417" t="s">
        <v>425</v>
      </c>
      <c r="G1" s="417" t="s">
        <v>426</v>
      </c>
      <c r="H1" s="417" t="s">
        <v>427</v>
      </c>
      <c r="I1" s="417" t="s">
        <v>428</v>
      </c>
      <c r="J1" s="417" t="s">
        <v>429</v>
      </c>
      <c r="K1" s="417" t="s">
        <v>751</v>
      </c>
    </row>
    <row r="2" spans="1:12" ht="36" x14ac:dyDescent="0.2">
      <c r="A2" s="223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18851933</v>
      </c>
      <c r="D5" s="1586">
        <v>4178529</v>
      </c>
      <c r="E5" s="1573">
        <v>3252725</v>
      </c>
      <c r="F5" s="1631">
        <v>1099371</v>
      </c>
      <c r="G5" s="1573">
        <v>1069782</v>
      </c>
      <c r="H5" s="1573"/>
      <c r="I5" s="1573">
        <v>278569</v>
      </c>
      <c r="J5" s="1574">
        <v>834631</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222855</v>
      </c>
      <c r="D7" s="1573"/>
      <c r="E7" s="1575"/>
      <c r="F7" s="1574"/>
      <c r="G7" s="1574"/>
      <c r="H7" s="1574"/>
      <c r="I7" s="1575"/>
      <c r="J7" s="1575"/>
      <c r="K7" s="1575"/>
    </row>
    <row r="8" spans="1:12" x14ac:dyDescent="0.2">
      <c r="A8" s="427" t="s">
        <v>410</v>
      </c>
      <c r="B8" s="429">
        <v>1150</v>
      </c>
      <c r="C8" s="1580"/>
      <c r="D8" s="1580"/>
      <c r="E8" s="1582"/>
      <c r="F8" s="1582"/>
      <c r="G8" s="1586">
        <v>1222187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19074788</v>
      </c>
      <c r="D12" s="1633">
        <f t="shared" si="0"/>
        <v>4178529</v>
      </c>
      <c r="E12" s="1633">
        <f t="shared" si="0"/>
        <v>3252725</v>
      </c>
      <c r="F12" s="1633">
        <f t="shared" si="0"/>
        <v>1099371</v>
      </c>
      <c r="G12" s="1633">
        <f t="shared" si="0"/>
        <v>2291969</v>
      </c>
      <c r="H12" s="1633">
        <f t="shared" si="0"/>
        <v>0</v>
      </c>
      <c r="I12" s="1633">
        <f t="shared" si="0"/>
        <v>278569</v>
      </c>
      <c r="J12" s="1633">
        <f t="shared" si="0"/>
        <v>834631</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4953148</v>
      </c>
      <c r="D16" s="1573"/>
      <c r="E16" s="1573"/>
      <c r="F16" s="1573"/>
      <c r="G16" s="1573">
        <v>75000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4953148</v>
      </c>
      <c r="D18" s="1635">
        <f t="shared" ref="D18:K18" si="1">SUM(D14:D17)</f>
        <v>0</v>
      </c>
      <c r="E18" s="1635">
        <f t="shared" si="1"/>
        <v>0</v>
      </c>
      <c r="F18" s="1635">
        <f t="shared" si="1"/>
        <v>0</v>
      </c>
      <c r="G18" s="1635">
        <f t="shared" si="1"/>
        <v>75000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303795</v>
      </c>
      <c r="D65" s="1573">
        <v>69118</v>
      </c>
      <c r="E65" s="1573">
        <v>24620</v>
      </c>
      <c r="F65" s="1574">
        <v>36189</v>
      </c>
      <c r="G65" s="1573">
        <v>15247</v>
      </c>
      <c r="H65" s="1573">
        <v>34135</v>
      </c>
      <c r="I65" s="1573">
        <v>243</v>
      </c>
      <c r="J65" s="1574">
        <v>9053</v>
      </c>
      <c r="K65" s="1573">
        <v>2098</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303795</v>
      </c>
      <c r="D67" s="1594">
        <f t="shared" ref="D67:K67" si="2">SUM(D65:D66)</f>
        <v>69118</v>
      </c>
      <c r="E67" s="1594">
        <f t="shared" si="2"/>
        <v>24620</v>
      </c>
      <c r="F67" s="1594">
        <f t="shared" si="2"/>
        <v>36189</v>
      </c>
      <c r="G67" s="1594">
        <f t="shared" si="2"/>
        <v>15247</v>
      </c>
      <c r="H67" s="1594">
        <f t="shared" si="2"/>
        <v>34135</v>
      </c>
      <c r="I67" s="1594">
        <f t="shared" si="2"/>
        <v>243</v>
      </c>
      <c r="J67" s="1594">
        <f t="shared" si="2"/>
        <v>9053</v>
      </c>
      <c r="K67" s="1594">
        <f t="shared" si="2"/>
        <v>2098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52447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868</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1446</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54761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137561</v>
      </c>
      <c r="D77" s="1573"/>
      <c r="E77" s="1575"/>
      <c r="F77" s="1575"/>
      <c r="G77" s="1575"/>
      <c r="H77" s="1575"/>
      <c r="I77" s="1575"/>
      <c r="J77" s="1575"/>
      <c r="K77" s="1575"/>
    </row>
    <row r="78" spans="1:11" ht="12.75" customHeight="1" x14ac:dyDescent="0.2">
      <c r="A78" s="427" t="s">
        <v>76</v>
      </c>
      <c r="B78" s="429">
        <v>1719</v>
      </c>
      <c r="C78" s="1632">
        <v>22313</v>
      </c>
      <c r="D78" s="1573"/>
      <c r="E78" s="1575"/>
      <c r="F78" s="1575"/>
      <c r="G78" s="1575"/>
      <c r="H78" s="1575"/>
      <c r="I78" s="1575"/>
      <c r="J78" s="1575"/>
      <c r="K78" s="1575"/>
    </row>
    <row r="79" spans="1:11" ht="12.75" customHeight="1" x14ac:dyDescent="0.2">
      <c r="A79" s="427" t="s">
        <v>546</v>
      </c>
      <c r="B79" s="429">
        <v>1720</v>
      </c>
      <c r="C79" s="1632">
        <v>2445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162319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92411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92411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178085</v>
      </c>
      <c r="D95" s="1632">
        <v>330</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3157550</v>
      </c>
      <c r="I103" s="1575"/>
      <c r="J103" s="1610"/>
      <c r="K103" s="1610"/>
    </row>
    <row r="104" spans="1:12" ht="12.75" customHeight="1" x14ac:dyDescent="0.2">
      <c r="A104" s="427" t="s">
        <v>825</v>
      </c>
      <c r="B104" s="429">
        <v>1991</v>
      </c>
      <c r="C104" s="1598">
        <v>41000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877764</v>
      </c>
      <c r="D107" s="1573">
        <v>25633</v>
      </c>
      <c r="E107" s="1573"/>
      <c r="F107" s="1573"/>
      <c r="G107" s="1573"/>
      <c r="H107" s="1573"/>
      <c r="I107" s="1573"/>
      <c r="J107" s="1574"/>
      <c r="K107" s="1573"/>
    </row>
    <row r="108" spans="1:12" ht="12.75" customHeight="1" thickBot="1" x14ac:dyDescent="0.25">
      <c r="A108" s="1406" t="s">
        <v>484</v>
      </c>
      <c r="B108" s="1408"/>
      <c r="C108" s="1633">
        <f>SUM(C95:C107)</f>
        <v>1096849</v>
      </c>
      <c r="D108" s="1633">
        <f t="shared" ref="D108:K108" si="3">SUM(D95:D107)</f>
        <v>25963</v>
      </c>
      <c r="E108" s="1633">
        <f t="shared" si="3"/>
        <v>0</v>
      </c>
      <c r="F108" s="1633">
        <f t="shared" si="3"/>
        <v>0</v>
      </c>
      <c r="G108" s="1633">
        <f t="shared" si="3"/>
        <v>0</v>
      </c>
      <c r="H108" s="1633">
        <f t="shared" si="3"/>
        <v>3157550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25738071</v>
      </c>
      <c r="D109" s="1641">
        <f t="shared" si="4"/>
        <v>4273610</v>
      </c>
      <c r="E109" s="1641">
        <f t="shared" si="4"/>
        <v>3277345</v>
      </c>
      <c r="F109" s="1641">
        <f t="shared" si="4"/>
        <v>1135560</v>
      </c>
      <c r="G109" s="1641">
        <f t="shared" si="4"/>
        <v>2382216</v>
      </c>
      <c r="H109" s="1641">
        <f t="shared" si="4"/>
        <v>3191685</v>
      </c>
      <c r="I109" s="1641">
        <f t="shared" si="4"/>
        <v>278812</v>
      </c>
      <c r="J109" s="1641">
        <f t="shared" si="4"/>
        <v>843684</v>
      </c>
      <c r="K109" s="1629">
        <f t="shared" si="4"/>
        <v>2098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28959438</v>
      </c>
      <c r="D117" s="1586">
        <v>1475000</v>
      </c>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28959438</v>
      </c>
      <c r="D122" s="1633">
        <f t="shared" si="5"/>
        <v>1475000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59704</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59704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62116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62116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47304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53404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v>736908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736908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490964</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-8631</v>
      </c>
      <c r="D168" s="1655"/>
      <c r="E168" s="1655"/>
      <c r="F168" s="1655"/>
      <c r="G168" s="1656"/>
      <c r="H168" s="1657">
        <v>50000</v>
      </c>
      <c r="I168" s="1656"/>
      <c r="J168" s="1656"/>
      <c r="K168" s="1657"/>
    </row>
    <row r="169" spans="1:11" ht="12.75" customHeight="1" thickTop="1" thickBot="1" x14ac:dyDescent="0.25">
      <c r="A169" s="2258" t="s">
        <v>395</v>
      </c>
      <c r="B169" s="2259"/>
      <c r="C169" s="1658">
        <f t="shared" ref="C169:K169" si="6">SUM(C132,C141,C145,C146:C150,C155,C156:C167,C168)</f>
        <v>704861</v>
      </c>
      <c r="D169" s="1658">
        <f t="shared" si="6"/>
        <v>0</v>
      </c>
      <c r="E169" s="1658">
        <f t="shared" si="6"/>
        <v>0</v>
      </c>
      <c r="F169" s="1658">
        <f t="shared" si="6"/>
        <v>736908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29664299</v>
      </c>
      <c r="D170" s="1641">
        <f t="shared" si="7"/>
        <v>1475000</v>
      </c>
      <c r="E170" s="1641">
        <f t="shared" si="7"/>
        <v>0</v>
      </c>
      <c r="F170" s="1641">
        <f t="shared" si="7"/>
        <v>736908</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0" t="s">
        <v>1475</v>
      </c>
      <c r="B172" s="226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4" t="s">
        <v>1646</v>
      </c>
      <c r="B175" s="226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8" t="s">
        <v>1645</v>
      </c>
      <c r="B176" s="2269"/>
      <c r="C176" s="1659"/>
      <c r="D176" s="1660"/>
      <c r="E176" s="1661"/>
      <c r="F176" s="1662"/>
      <c r="G176" s="1662"/>
      <c r="H176" s="1662"/>
      <c r="I176" s="1662"/>
      <c r="J176" s="1662"/>
      <c r="K176" s="1662"/>
    </row>
    <row r="177" spans="1:11" ht="12.75" customHeight="1" x14ac:dyDescent="0.2">
      <c r="A177" s="427" t="s">
        <v>1036</v>
      </c>
      <c r="B177" s="429">
        <v>4045</v>
      </c>
      <c r="C177" s="1632">
        <v>2727960</v>
      </c>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6" t="s">
        <v>780</v>
      </c>
      <c r="B181" s="2267"/>
      <c r="C181" s="1633">
        <f>SUM(C177:C180)</f>
        <v>2727960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2" t="s">
        <v>1777</v>
      </c>
      <c r="B182" s="226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2052400</v>
      </c>
      <c r="D191" s="1575"/>
      <c r="E191" s="1640"/>
      <c r="F191" s="1575"/>
      <c r="G191" s="1664"/>
      <c r="H191" s="1575"/>
      <c r="I191" s="1575"/>
      <c r="J191" s="1575"/>
      <c r="K191" s="1575"/>
    </row>
    <row r="192" spans="1:11" ht="12.75" customHeight="1" x14ac:dyDescent="0.2">
      <c r="A192" s="427" t="s">
        <v>1038</v>
      </c>
      <c r="B192" s="429">
        <v>4215</v>
      </c>
      <c r="C192" s="1632">
        <v>1524</v>
      </c>
      <c r="D192" s="1575"/>
      <c r="E192" s="1640"/>
      <c r="F192" s="1575"/>
      <c r="G192" s="1664"/>
      <c r="H192" s="1575"/>
      <c r="I192" s="1575"/>
      <c r="J192" s="1575"/>
      <c r="K192" s="1575"/>
    </row>
    <row r="193" spans="1:11" ht="12.75" customHeight="1" x14ac:dyDescent="0.2">
      <c r="A193" s="427" t="s">
        <v>1050</v>
      </c>
      <c r="B193" s="429">
        <v>4220</v>
      </c>
      <c r="C193" s="1632">
        <v>621371</v>
      </c>
      <c r="D193" s="1575"/>
      <c r="E193" s="1640"/>
      <c r="F193" s="1575"/>
      <c r="G193" s="1664"/>
      <c r="H193" s="1575"/>
      <c r="I193" s="1575"/>
      <c r="J193" s="1575"/>
      <c r="K193" s="1575"/>
    </row>
    <row r="194" spans="1:11" ht="12.75" customHeight="1" x14ac:dyDescent="0.2">
      <c r="A194" s="427" t="s">
        <v>1434</v>
      </c>
      <c r="B194" s="429">
        <v>4225</v>
      </c>
      <c r="C194" s="1632">
        <v>464163</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v>54792</v>
      </c>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3194250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2885032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91975</v>
      </c>
      <c r="D203" s="1573"/>
      <c r="E203" s="1575"/>
      <c r="F203" s="1573"/>
      <c r="G203" s="1573"/>
      <c r="H203" s="1575"/>
      <c r="I203" s="1575"/>
      <c r="J203" s="1575"/>
      <c r="K203" s="1575"/>
    </row>
    <row r="204" spans="1:11" ht="12.75" customHeight="1" thickBot="1" x14ac:dyDescent="0.25">
      <c r="A204" s="1406" t="s">
        <v>397</v>
      </c>
      <c r="B204" s="1407"/>
      <c r="C204" s="1633">
        <f>SUM(C200:C203)</f>
        <v>2977007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119368</v>
      </c>
      <c r="D206" s="1573"/>
      <c r="E206" s="1575"/>
      <c r="F206" s="1573"/>
      <c r="G206" s="1573"/>
      <c r="H206" s="1575"/>
      <c r="I206" s="1575"/>
      <c r="J206" s="1575"/>
      <c r="K206" s="1575"/>
    </row>
    <row r="207" spans="1:11" ht="12.75" customHeight="1" x14ac:dyDescent="0.2">
      <c r="A207" s="427" t="s">
        <v>1436</v>
      </c>
      <c r="B207" s="429">
        <v>4421</v>
      </c>
      <c r="C207" s="1632">
        <v>334747</v>
      </c>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454115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54491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1665734</v>
      </c>
      <c r="D213" s="1573"/>
      <c r="E213" s="1575"/>
      <c r="F213" s="1573"/>
      <c r="G213" s="1573"/>
      <c r="H213" s="1575"/>
      <c r="I213" s="1575"/>
      <c r="J213" s="1575"/>
      <c r="K213" s="1575"/>
    </row>
    <row r="214" spans="1:11" ht="12.75" customHeight="1" x14ac:dyDescent="0.2">
      <c r="A214" s="427" t="s">
        <v>1045</v>
      </c>
      <c r="B214" s="429">
        <v>4625</v>
      </c>
      <c r="C214" s="1632">
        <v>19028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1739253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v>9466</v>
      </c>
      <c r="D255" s="1575"/>
      <c r="E255" s="1575"/>
      <c r="F255" s="1653"/>
      <c r="G255" s="1649"/>
      <c r="H255" s="1575"/>
      <c r="I255" s="1575"/>
      <c r="J255" s="1575"/>
      <c r="K255" s="1575"/>
    </row>
    <row r="256" spans="1:11" ht="12.75" customHeight="1" thickTop="1" thickBot="1" x14ac:dyDescent="0.25">
      <c r="A256" s="427" t="s">
        <v>1440</v>
      </c>
      <c r="B256" s="429">
        <v>4909</v>
      </c>
      <c r="C256" s="1651">
        <v>54586</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408600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190680</v>
      </c>
      <c r="D263" s="1651"/>
      <c r="E263" s="1575"/>
      <c r="F263" s="1651"/>
      <c r="G263" s="1651"/>
      <c r="H263" s="1575"/>
      <c r="I263" s="1575"/>
      <c r="J263" s="1575"/>
      <c r="K263" s="1575"/>
    </row>
    <row r="264" spans="1:11" ht="12.75" customHeight="1" thickTop="1" thickBot="1" x14ac:dyDescent="0.25">
      <c r="A264" s="427" t="s">
        <v>374</v>
      </c>
      <c r="B264" s="429">
        <v>4992</v>
      </c>
      <c r="C264" s="1650">
        <v>240693</v>
      </c>
      <c r="D264" s="1651"/>
      <c r="E264" s="1575"/>
      <c r="F264" s="1651"/>
      <c r="G264" s="1651"/>
      <c r="H264" s="1575"/>
      <c r="I264" s="1575"/>
      <c r="J264" s="1575"/>
      <c r="K264" s="1575"/>
    </row>
    <row r="265" spans="1:11" s="489" customFormat="1" ht="12.75" customHeight="1" thickTop="1" thickBot="1" x14ac:dyDescent="0.25">
      <c r="A265" s="479" t="s">
        <v>75</v>
      </c>
      <c r="B265" s="475">
        <v>4998</v>
      </c>
      <c r="C265" s="1650">
        <v>30418</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9299068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12027028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67429398</v>
      </c>
      <c r="D268" s="1641">
        <f t="shared" si="12"/>
        <v>5748610</v>
      </c>
      <c r="E268" s="1641">
        <f t="shared" si="12"/>
        <v>3277345</v>
      </c>
      <c r="F268" s="1641">
        <f t="shared" si="12"/>
        <v>1872468</v>
      </c>
      <c r="G268" s="1641">
        <f t="shared" si="12"/>
        <v>2382216</v>
      </c>
      <c r="H268" s="1641">
        <f t="shared" si="12"/>
        <v>3241685</v>
      </c>
      <c r="I268" s="1641">
        <f t="shared" si="12"/>
        <v>278812</v>
      </c>
      <c r="J268" s="1641">
        <f t="shared" si="12"/>
        <v>843684</v>
      </c>
      <c r="K268" s="1629">
        <f t="shared" si="12"/>
        <v>2098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49" activePane="bottomLeft" state="frozen"/>
      <selection pane="bottomLeft" activeCell="C276" sqref="C27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6" t="s">
        <v>294</v>
      </c>
      <c r="B3" s="227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21133552</v>
      </c>
      <c r="D5" s="1573">
        <v>4616071</v>
      </c>
      <c r="E5" s="1573">
        <v>384071</v>
      </c>
      <c r="F5" s="1573">
        <v>687208</v>
      </c>
      <c r="G5" s="1573">
        <v>67729</v>
      </c>
      <c r="H5" s="1573"/>
      <c r="I5" s="1574">
        <v>30660</v>
      </c>
      <c r="J5" s="1574"/>
      <c r="K5" s="1672">
        <f>SUM(C5:J5)</f>
        <v>26919291</v>
      </c>
      <c r="L5" s="1573">
        <v>28130870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287285</v>
      </c>
      <c r="D7" s="1574">
        <v>52008</v>
      </c>
      <c r="E7" s="1574">
        <v>3437</v>
      </c>
      <c r="F7" s="1574">
        <v>3326</v>
      </c>
      <c r="G7" s="1574"/>
      <c r="H7" s="1574"/>
      <c r="I7" s="1574">
        <v>3040</v>
      </c>
      <c r="J7" s="1574"/>
      <c r="K7" s="1672">
        <f t="shared" ref="K7:K32" si="0">SUM(C7:J7)</f>
        <v>349096</v>
      </c>
      <c r="L7" s="1573">
        <v>368150</v>
      </c>
    </row>
    <row r="8" spans="1:14" x14ac:dyDescent="0.2">
      <c r="A8" s="1274" t="s">
        <v>163</v>
      </c>
      <c r="B8" s="503">
        <v>1200</v>
      </c>
      <c r="C8" s="1573">
        <v>7270919</v>
      </c>
      <c r="D8" s="1573">
        <v>1679869</v>
      </c>
      <c r="E8" s="1573">
        <v>12422</v>
      </c>
      <c r="F8" s="1573">
        <v>9572</v>
      </c>
      <c r="G8" s="1573"/>
      <c r="H8" s="1573"/>
      <c r="I8" s="1574"/>
      <c r="J8" s="1574"/>
      <c r="K8" s="1672">
        <f t="shared" si="0"/>
        <v>8972782</v>
      </c>
      <c r="L8" s="1573">
        <v>7539214</v>
      </c>
    </row>
    <row r="9" spans="1:14" x14ac:dyDescent="0.2">
      <c r="A9" s="1274" t="s">
        <v>716</v>
      </c>
      <c r="B9" s="503" t="s">
        <v>962</v>
      </c>
      <c r="C9" s="1574">
        <v>602147</v>
      </c>
      <c r="D9" s="1574">
        <v>145231</v>
      </c>
      <c r="E9" s="1574">
        <v>201309</v>
      </c>
      <c r="F9" s="1574"/>
      <c r="G9" s="1574"/>
      <c r="H9" s="1574"/>
      <c r="I9" s="1574"/>
      <c r="J9" s="1574"/>
      <c r="K9" s="1672">
        <f t="shared" si="0"/>
        <v>948687</v>
      </c>
      <c r="L9" s="1573">
        <v>546759</v>
      </c>
    </row>
    <row r="10" spans="1:14" x14ac:dyDescent="0.2">
      <c r="A10" s="1274" t="s">
        <v>717</v>
      </c>
      <c r="B10" s="503">
        <v>1250</v>
      </c>
      <c r="C10" s="1573">
        <v>584467</v>
      </c>
      <c r="D10" s="1573">
        <v>187920</v>
      </c>
      <c r="E10" s="1573"/>
      <c r="F10" s="1573">
        <v>891270</v>
      </c>
      <c r="G10" s="1573"/>
      <c r="H10" s="1573"/>
      <c r="I10" s="1574">
        <v>68078</v>
      </c>
      <c r="J10" s="1574"/>
      <c r="K10" s="1672">
        <f t="shared" si="0"/>
        <v>1731735</v>
      </c>
      <c r="L10" s="1573">
        <v>1742506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626346</v>
      </c>
      <c r="D13" s="1573">
        <v>138559</v>
      </c>
      <c r="E13" s="1573">
        <v>53779</v>
      </c>
      <c r="F13" s="1573">
        <v>26279</v>
      </c>
      <c r="G13" s="1573"/>
      <c r="H13" s="1573"/>
      <c r="I13" s="1574"/>
      <c r="J13" s="1574"/>
      <c r="K13" s="1672">
        <f t="shared" si="0"/>
        <v>844963</v>
      </c>
      <c r="L13" s="1573">
        <v>835881</v>
      </c>
    </row>
    <row r="14" spans="1:14" x14ac:dyDescent="0.2">
      <c r="A14" s="1274" t="s">
        <v>957</v>
      </c>
      <c r="B14" s="503">
        <v>1500</v>
      </c>
      <c r="C14" s="1573">
        <v>1223433</v>
      </c>
      <c r="D14" s="1573">
        <v>110958</v>
      </c>
      <c r="E14" s="1573">
        <v>137163</v>
      </c>
      <c r="F14" s="1573">
        <v>391626</v>
      </c>
      <c r="G14" s="1573">
        <v>1686</v>
      </c>
      <c r="H14" s="1573">
        <v>1375</v>
      </c>
      <c r="I14" s="1574">
        <v>7115</v>
      </c>
      <c r="J14" s="1574"/>
      <c r="K14" s="1672">
        <f t="shared" si="0"/>
        <v>1873356</v>
      </c>
      <c r="L14" s="1573">
        <v>1722029</v>
      </c>
    </row>
    <row r="15" spans="1:14" x14ac:dyDescent="0.2">
      <c r="A15" s="1274" t="s">
        <v>958</v>
      </c>
      <c r="B15" s="503">
        <v>1600</v>
      </c>
      <c r="C15" s="1573">
        <v>48016</v>
      </c>
      <c r="D15" s="1573">
        <v>5714</v>
      </c>
      <c r="E15" s="1573">
        <v>33469</v>
      </c>
      <c r="F15" s="1573"/>
      <c r="G15" s="1573"/>
      <c r="H15" s="1573"/>
      <c r="I15" s="1574"/>
      <c r="J15" s="1574"/>
      <c r="K15" s="1672">
        <f t="shared" si="0"/>
        <v>87199</v>
      </c>
      <c r="L15" s="1573">
        <v>104561</v>
      </c>
    </row>
    <row r="16" spans="1:14" x14ac:dyDescent="0.2">
      <c r="A16" s="1274" t="s">
        <v>980</v>
      </c>
      <c r="B16" s="503" t="s">
        <v>421</v>
      </c>
      <c r="C16" s="1573">
        <v>362897</v>
      </c>
      <c r="D16" s="1573">
        <v>72610</v>
      </c>
      <c r="E16" s="1573">
        <v>265</v>
      </c>
      <c r="F16" s="1573">
        <v>1195</v>
      </c>
      <c r="G16" s="1573"/>
      <c r="H16" s="1573"/>
      <c r="I16" s="1574"/>
      <c r="J16" s="1574"/>
      <c r="K16" s="1672">
        <f t="shared" si="0"/>
        <v>436967</v>
      </c>
      <c r="L16" s="1573">
        <v>418606</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1249875</v>
      </c>
      <c r="D18" s="1573">
        <v>291268</v>
      </c>
      <c r="E18" s="1573">
        <v>300</v>
      </c>
      <c r="F18" s="1573">
        <v>8433</v>
      </c>
      <c r="G18" s="1573"/>
      <c r="H18" s="1573"/>
      <c r="I18" s="1574">
        <v>2506</v>
      </c>
      <c r="J18" s="1574"/>
      <c r="K18" s="1672">
        <f t="shared" si="0"/>
        <v>1552382</v>
      </c>
      <c r="L18" s="1573">
        <v>1432376</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33388937</v>
      </c>
      <c r="D33" s="1674">
        <f t="shared" ref="D33:L33" si="1">SUM(D5:D32)</f>
        <v>7300208</v>
      </c>
      <c r="E33" s="1674">
        <f t="shared" si="1"/>
        <v>826215</v>
      </c>
      <c r="F33" s="1674">
        <f t="shared" si="1"/>
        <v>2018909</v>
      </c>
      <c r="G33" s="1674">
        <f t="shared" si="1"/>
        <v>69415</v>
      </c>
      <c r="H33" s="1674">
        <f t="shared" si="1"/>
        <v>1375</v>
      </c>
      <c r="I33" s="1674">
        <f t="shared" si="1"/>
        <v>111399</v>
      </c>
      <c r="J33" s="1674">
        <f t="shared" si="1"/>
        <v>0</v>
      </c>
      <c r="K33" s="1674">
        <f t="shared" si="1"/>
        <v>43716458</v>
      </c>
      <c r="L33" s="1674">
        <f t="shared" si="1"/>
        <v>42840952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713692</v>
      </c>
      <c r="D36" s="1586">
        <v>180071</v>
      </c>
      <c r="E36" s="1586"/>
      <c r="F36" s="1586"/>
      <c r="G36" s="1586"/>
      <c r="H36" s="1586"/>
      <c r="I36" s="1574"/>
      <c r="J36" s="1574"/>
      <c r="K36" s="1672">
        <f t="shared" ref="K36:K41" si="2">SUM(C36:J36)</f>
        <v>893763</v>
      </c>
      <c r="L36" s="1573">
        <v>796330</v>
      </c>
    </row>
    <row r="37" spans="1:14" x14ac:dyDescent="0.2">
      <c r="A37" s="1274" t="s">
        <v>1081</v>
      </c>
      <c r="B37" s="503">
        <v>2120</v>
      </c>
      <c r="C37" s="1573">
        <v>1459469</v>
      </c>
      <c r="D37" s="1573">
        <v>327420</v>
      </c>
      <c r="E37" s="1573"/>
      <c r="F37" s="1573"/>
      <c r="G37" s="1573"/>
      <c r="H37" s="1573"/>
      <c r="I37" s="1574"/>
      <c r="J37" s="1574"/>
      <c r="K37" s="1672">
        <f t="shared" si="2"/>
        <v>1786889</v>
      </c>
      <c r="L37" s="1573">
        <v>1804074</v>
      </c>
    </row>
    <row r="38" spans="1:14" x14ac:dyDescent="0.2">
      <c r="A38" s="1274" t="s">
        <v>196</v>
      </c>
      <c r="B38" s="503">
        <v>2130</v>
      </c>
      <c r="C38" s="1573">
        <v>526951</v>
      </c>
      <c r="D38" s="1573">
        <v>108894</v>
      </c>
      <c r="E38" s="1573"/>
      <c r="F38" s="1573">
        <v>5596</v>
      </c>
      <c r="G38" s="1573"/>
      <c r="H38" s="1573"/>
      <c r="I38" s="1574"/>
      <c r="J38" s="1574"/>
      <c r="K38" s="1672">
        <f t="shared" si="2"/>
        <v>641441</v>
      </c>
      <c r="L38" s="1573">
        <v>719236</v>
      </c>
    </row>
    <row r="39" spans="1:14" x14ac:dyDescent="0.2">
      <c r="A39" s="1274" t="s">
        <v>197</v>
      </c>
      <c r="B39" s="503">
        <v>2140</v>
      </c>
      <c r="C39" s="1573">
        <v>784566</v>
      </c>
      <c r="D39" s="1573">
        <v>192592</v>
      </c>
      <c r="E39" s="1573"/>
      <c r="F39" s="1573"/>
      <c r="G39" s="1573"/>
      <c r="H39" s="1573"/>
      <c r="I39" s="1574"/>
      <c r="J39" s="1574"/>
      <c r="K39" s="1672">
        <f t="shared" si="2"/>
        <v>977158</v>
      </c>
      <c r="L39" s="1573">
        <v>1223595</v>
      </c>
    </row>
    <row r="40" spans="1:14" x14ac:dyDescent="0.2">
      <c r="A40" s="1274" t="s">
        <v>198</v>
      </c>
      <c r="B40" s="503">
        <v>2150</v>
      </c>
      <c r="C40" s="1573">
        <v>750351</v>
      </c>
      <c r="D40" s="1573">
        <v>151665</v>
      </c>
      <c r="E40" s="1573"/>
      <c r="F40" s="1573"/>
      <c r="G40" s="1573"/>
      <c r="H40" s="1573"/>
      <c r="I40" s="1574"/>
      <c r="J40" s="1574"/>
      <c r="K40" s="1672">
        <f t="shared" si="2"/>
        <v>902016</v>
      </c>
      <c r="L40" s="1573">
        <v>731569</v>
      </c>
    </row>
    <row r="41" spans="1:14" x14ac:dyDescent="0.2">
      <c r="A41" s="1274" t="s">
        <v>1650</v>
      </c>
      <c r="B41" s="503">
        <v>2190</v>
      </c>
      <c r="C41" s="1573">
        <v>82303</v>
      </c>
      <c r="D41" s="1573">
        <v>1462</v>
      </c>
      <c r="E41" s="1573"/>
      <c r="F41" s="1573"/>
      <c r="G41" s="1573"/>
      <c r="H41" s="1573"/>
      <c r="I41" s="1574"/>
      <c r="J41" s="1574"/>
      <c r="K41" s="1672">
        <f t="shared" si="2"/>
        <v>83765</v>
      </c>
      <c r="L41" s="1573">
        <v>75554</v>
      </c>
    </row>
    <row r="42" spans="1:14" ht="12.75" customHeight="1" thickBot="1" x14ac:dyDescent="0.25">
      <c r="A42" s="1380" t="s">
        <v>556</v>
      </c>
      <c r="B42" s="1381" t="s">
        <v>711</v>
      </c>
      <c r="C42" s="1674">
        <f>SUM(C36:C41)</f>
        <v>4317332</v>
      </c>
      <c r="D42" s="1674">
        <f t="shared" ref="D42:L42" si="3">SUM(D36:D41)</f>
        <v>962104</v>
      </c>
      <c r="E42" s="1674">
        <f t="shared" si="3"/>
        <v>0</v>
      </c>
      <c r="F42" s="1674">
        <f t="shared" si="3"/>
        <v>5596</v>
      </c>
      <c r="G42" s="1674">
        <f t="shared" si="3"/>
        <v>0</v>
      </c>
      <c r="H42" s="1674">
        <f t="shared" si="3"/>
        <v>0</v>
      </c>
      <c r="I42" s="1674">
        <f t="shared" si="3"/>
        <v>0</v>
      </c>
      <c r="J42" s="1674">
        <f t="shared" si="3"/>
        <v>0</v>
      </c>
      <c r="K42" s="1674">
        <f t="shared" si="3"/>
        <v>5285032</v>
      </c>
      <c r="L42" s="1674">
        <f t="shared" si="3"/>
        <v>5350358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579197</v>
      </c>
      <c r="D44" s="1586">
        <v>143824</v>
      </c>
      <c r="E44" s="1586">
        <v>413935</v>
      </c>
      <c r="F44" s="1586">
        <v>91313</v>
      </c>
      <c r="G44" s="1586"/>
      <c r="H44" s="1586">
        <v>8682</v>
      </c>
      <c r="I44" s="1574">
        <v>12756</v>
      </c>
      <c r="J44" s="1574"/>
      <c r="K44" s="1678">
        <f>SUM(C44:J44)</f>
        <v>1249707</v>
      </c>
      <c r="L44" s="1586">
        <v>1451088</v>
      </c>
    </row>
    <row r="45" spans="1:14" x14ac:dyDescent="0.2">
      <c r="A45" s="1274" t="s">
        <v>810</v>
      </c>
      <c r="B45" s="503">
        <v>2220</v>
      </c>
      <c r="C45" s="1573">
        <v>260471</v>
      </c>
      <c r="D45" s="1573">
        <v>43171</v>
      </c>
      <c r="E45" s="1573">
        <v>25003</v>
      </c>
      <c r="F45" s="1573">
        <v>31622</v>
      </c>
      <c r="G45" s="1573"/>
      <c r="H45" s="1573"/>
      <c r="I45" s="1574"/>
      <c r="J45" s="1574"/>
      <c r="K45" s="1678">
        <f>SUM(C45:J45)</f>
        <v>360267</v>
      </c>
      <c r="L45" s="1573">
        <v>401905</v>
      </c>
    </row>
    <row r="46" spans="1:14" x14ac:dyDescent="0.2">
      <c r="A46" s="1274" t="s">
        <v>811</v>
      </c>
      <c r="B46" s="503">
        <v>2230</v>
      </c>
      <c r="C46" s="1573">
        <v>77293</v>
      </c>
      <c r="D46" s="1573">
        <v>23027</v>
      </c>
      <c r="E46" s="1573"/>
      <c r="F46" s="1573">
        <v>9345</v>
      </c>
      <c r="G46" s="1573"/>
      <c r="H46" s="1573"/>
      <c r="I46" s="1574"/>
      <c r="J46" s="1574"/>
      <c r="K46" s="1678">
        <f>SUM(C46:J46)</f>
        <v>109665</v>
      </c>
      <c r="L46" s="1573">
        <v>127683</v>
      </c>
    </row>
    <row r="47" spans="1:14" ht="12.75" customHeight="1" thickBot="1" x14ac:dyDescent="0.25">
      <c r="A47" s="1380" t="s">
        <v>557</v>
      </c>
      <c r="B47" s="1381" t="s">
        <v>32</v>
      </c>
      <c r="C47" s="1674">
        <f>SUM(C44:C46)</f>
        <v>916961</v>
      </c>
      <c r="D47" s="1674">
        <f t="shared" ref="D47:K47" si="4">SUM(D44:D46)</f>
        <v>210022</v>
      </c>
      <c r="E47" s="1674">
        <f t="shared" si="4"/>
        <v>438938</v>
      </c>
      <c r="F47" s="1674">
        <f t="shared" si="4"/>
        <v>132280</v>
      </c>
      <c r="G47" s="1674">
        <f t="shared" si="4"/>
        <v>0</v>
      </c>
      <c r="H47" s="1674">
        <f t="shared" si="4"/>
        <v>8682</v>
      </c>
      <c r="I47" s="1674">
        <f t="shared" si="4"/>
        <v>12756</v>
      </c>
      <c r="J47" s="1674">
        <f t="shared" si="4"/>
        <v>0</v>
      </c>
      <c r="K47" s="1674">
        <f t="shared" si="4"/>
        <v>1719639</v>
      </c>
      <c r="L47" s="1674">
        <f>SUM(L44:L46)</f>
        <v>1980676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10487</v>
      </c>
      <c r="E49" s="1586">
        <v>95914</v>
      </c>
      <c r="F49" s="1586">
        <v>3100</v>
      </c>
      <c r="G49" s="1586"/>
      <c r="H49" s="1586">
        <v>18523</v>
      </c>
      <c r="I49" s="1574"/>
      <c r="J49" s="1574"/>
      <c r="K49" s="1678">
        <f>SUM(C49:J49)</f>
        <v>128024</v>
      </c>
      <c r="L49" s="1586">
        <v>127500</v>
      </c>
    </row>
    <row r="50" spans="1:14" x14ac:dyDescent="0.2">
      <c r="A50" s="1274" t="s">
        <v>813</v>
      </c>
      <c r="B50" s="503">
        <v>2320</v>
      </c>
      <c r="C50" s="1573">
        <v>231035</v>
      </c>
      <c r="D50" s="1573">
        <v>14534</v>
      </c>
      <c r="E50" s="1573">
        <v>20625</v>
      </c>
      <c r="F50" s="1573">
        <v>18967</v>
      </c>
      <c r="G50" s="1573"/>
      <c r="H50" s="1573">
        <v>2847</v>
      </c>
      <c r="I50" s="1574">
        <v>4927</v>
      </c>
      <c r="J50" s="1574"/>
      <c r="K50" s="1678">
        <f>SUM(C50:J50)</f>
        <v>292935</v>
      </c>
      <c r="L50" s="1573">
        <v>342173</v>
      </c>
    </row>
    <row r="51" spans="1:14" x14ac:dyDescent="0.2">
      <c r="A51" s="1274" t="s">
        <v>42</v>
      </c>
      <c r="B51" s="503">
        <v>2330</v>
      </c>
      <c r="C51" s="1573">
        <v>126112</v>
      </c>
      <c r="D51" s="1573">
        <v>38198</v>
      </c>
      <c r="E51" s="1573"/>
      <c r="F51" s="1573"/>
      <c r="G51" s="1573"/>
      <c r="H51" s="1573"/>
      <c r="I51" s="1574"/>
      <c r="J51" s="1574"/>
      <c r="K51" s="1678">
        <f>SUM(C51:J51)</f>
        <v>164310</v>
      </c>
      <c r="L51" s="1573">
        <v>149999</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357147</v>
      </c>
      <c r="D53" s="1674">
        <f t="shared" ref="D53:L53" si="5">SUM(D49:D52)</f>
        <v>63219</v>
      </c>
      <c r="E53" s="1674">
        <f t="shared" si="5"/>
        <v>116539</v>
      </c>
      <c r="F53" s="1674">
        <f t="shared" si="5"/>
        <v>22067</v>
      </c>
      <c r="G53" s="1674">
        <f t="shared" si="5"/>
        <v>0</v>
      </c>
      <c r="H53" s="1674">
        <f t="shared" si="5"/>
        <v>21370</v>
      </c>
      <c r="I53" s="1674">
        <f t="shared" si="5"/>
        <v>4927</v>
      </c>
      <c r="J53" s="1674">
        <f t="shared" si="5"/>
        <v>0</v>
      </c>
      <c r="K53" s="1674">
        <f t="shared" si="5"/>
        <v>585269</v>
      </c>
      <c r="L53" s="1674">
        <f t="shared" si="5"/>
        <v>619672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2936850</v>
      </c>
      <c r="D55" s="1586">
        <v>568480</v>
      </c>
      <c r="E55" s="1586"/>
      <c r="F55" s="1586">
        <v>1163</v>
      </c>
      <c r="G55" s="1586"/>
      <c r="H55" s="1586">
        <v>675</v>
      </c>
      <c r="I55" s="1574"/>
      <c r="J55" s="1574"/>
      <c r="K55" s="1678">
        <f>SUM(C55:J55)</f>
        <v>3507168</v>
      </c>
      <c r="L55" s="1586">
        <v>3647022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2936850</v>
      </c>
      <c r="D57" s="1679">
        <f t="shared" ref="D57:K57" si="6">SUM(D55:D56)</f>
        <v>568480</v>
      </c>
      <c r="E57" s="1679">
        <f t="shared" si="6"/>
        <v>0</v>
      </c>
      <c r="F57" s="1679">
        <f t="shared" si="6"/>
        <v>1163</v>
      </c>
      <c r="G57" s="1679">
        <f t="shared" si="6"/>
        <v>0</v>
      </c>
      <c r="H57" s="1679">
        <f t="shared" si="6"/>
        <v>675</v>
      </c>
      <c r="I57" s="1679">
        <f t="shared" si="6"/>
        <v>0</v>
      </c>
      <c r="J57" s="1679">
        <f t="shared" si="6"/>
        <v>0</v>
      </c>
      <c r="K57" s="1679">
        <f t="shared" si="6"/>
        <v>3507168</v>
      </c>
      <c r="L57" s="1674">
        <f>SUM(L55:L56)</f>
        <v>3647022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185565</v>
      </c>
      <c r="D59" s="1586">
        <v>29575</v>
      </c>
      <c r="E59" s="1586">
        <v>3872</v>
      </c>
      <c r="F59" s="1586"/>
      <c r="G59" s="1586"/>
      <c r="H59" s="1586"/>
      <c r="I59" s="1574"/>
      <c r="J59" s="1574"/>
      <c r="K59" s="1678">
        <f t="shared" ref="K59:K64" si="7">SUM(C59:J59)</f>
        <v>219012</v>
      </c>
      <c r="L59" s="1586">
        <v>211794</v>
      </c>
      <c r="M59" s="501"/>
      <c r="N59" s="501"/>
    </row>
    <row r="60" spans="1:14" s="321" customFormat="1" x14ac:dyDescent="0.2">
      <c r="A60" s="1274" t="s">
        <v>460</v>
      </c>
      <c r="B60" s="503">
        <v>2520</v>
      </c>
      <c r="C60" s="1573">
        <v>270713</v>
      </c>
      <c r="D60" s="1573">
        <v>57046</v>
      </c>
      <c r="E60" s="1573">
        <v>20676</v>
      </c>
      <c r="F60" s="1573">
        <v>5227</v>
      </c>
      <c r="G60" s="1573"/>
      <c r="H60" s="1573"/>
      <c r="I60" s="1574"/>
      <c r="J60" s="1574"/>
      <c r="K60" s="1678">
        <f t="shared" si="7"/>
        <v>353662</v>
      </c>
      <c r="L60" s="1573">
        <v>379898</v>
      </c>
      <c r="M60" s="501"/>
      <c r="N60" s="501"/>
    </row>
    <row r="61" spans="1:14" s="321" customFormat="1" x14ac:dyDescent="0.2">
      <c r="A61" s="1274" t="s">
        <v>195</v>
      </c>
      <c r="B61" s="503">
        <v>2540</v>
      </c>
      <c r="C61" s="1573">
        <v>228175</v>
      </c>
      <c r="D61" s="1573">
        <v>39222</v>
      </c>
      <c r="E61" s="1573">
        <v>65871</v>
      </c>
      <c r="F61" s="1573">
        <v>4777</v>
      </c>
      <c r="G61" s="1573"/>
      <c r="H61" s="1573"/>
      <c r="I61" s="1574"/>
      <c r="J61" s="1574"/>
      <c r="K61" s="1678">
        <f t="shared" si="7"/>
        <v>338045</v>
      </c>
      <c r="L61" s="1573">
        <v>351148</v>
      </c>
      <c r="M61" s="501"/>
      <c r="N61" s="501"/>
    </row>
    <row r="62" spans="1:14" s="321" customFormat="1" x14ac:dyDescent="0.2">
      <c r="A62" s="1274" t="s">
        <v>947</v>
      </c>
      <c r="B62" s="503">
        <v>2550</v>
      </c>
      <c r="C62" s="1573">
        <v>8865</v>
      </c>
      <c r="D62" s="1573">
        <v>1597</v>
      </c>
      <c r="E62" s="1573">
        <v>69224</v>
      </c>
      <c r="F62" s="1573"/>
      <c r="G62" s="1573"/>
      <c r="H62" s="1573"/>
      <c r="I62" s="1574"/>
      <c r="J62" s="1574"/>
      <c r="K62" s="1678">
        <f t="shared" si="7"/>
        <v>79686</v>
      </c>
      <c r="L62" s="1573">
        <v>127117</v>
      </c>
      <c r="M62" s="501"/>
      <c r="N62" s="501"/>
    </row>
    <row r="63" spans="1:14" s="501" customFormat="1" x14ac:dyDescent="0.2">
      <c r="A63" s="1274" t="s">
        <v>100</v>
      </c>
      <c r="B63" s="503">
        <v>2560</v>
      </c>
      <c r="C63" s="1573">
        <v>1145284</v>
      </c>
      <c r="D63" s="1573">
        <v>165268</v>
      </c>
      <c r="E63" s="1573">
        <v>32579</v>
      </c>
      <c r="F63" s="1573">
        <v>1355452</v>
      </c>
      <c r="G63" s="1573">
        <v>35417</v>
      </c>
      <c r="H63" s="1573">
        <v>3601</v>
      </c>
      <c r="I63" s="1574">
        <v>24336</v>
      </c>
      <c r="J63" s="1574"/>
      <c r="K63" s="1678">
        <f t="shared" si="7"/>
        <v>2761937</v>
      </c>
      <c r="L63" s="1573">
        <v>2671704</v>
      </c>
    </row>
    <row r="64" spans="1:14" s="501" customFormat="1" x14ac:dyDescent="0.2">
      <c r="A64" s="1279" t="s">
        <v>101</v>
      </c>
      <c r="B64" s="513">
        <v>2570</v>
      </c>
      <c r="C64" s="1586">
        <v>1116</v>
      </c>
      <c r="D64" s="1586">
        <v>501</v>
      </c>
      <c r="E64" s="1586">
        <v>3541</v>
      </c>
      <c r="F64" s="1586">
        <v>-6027</v>
      </c>
      <c r="G64" s="1586"/>
      <c r="H64" s="1586"/>
      <c r="I64" s="1574"/>
      <c r="J64" s="1574"/>
      <c r="K64" s="1678">
        <f t="shared" si="7"/>
        <v>-869</v>
      </c>
      <c r="L64" s="1586">
        <v>10000</v>
      </c>
    </row>
    <row r="65" spans="1:14" s="321" customFormat="1" ht="12.75" customHeight="1" thickBot="1" x14ac:dyDescent="0.25">
      <c r="A65" s="1380" t="s">
        <v>714</v>
      </c>
      <c r="B65" s="1381" t="s">
        <v>35</v>
      </c>
      <c r="C65" s="1674">
        <f>SUM(C59:C64)</f>
        <v>1839718</v>
      </c>
      <c r="D65" s="1674">
        <f t="shared" ref="D65:L65" si="8">SUM(D59:D64)</f>
        <v>293209</v>
      </c>
      <c r="E65" s="1674">
        <f t="shared" si="8"/>
        <v>195763</v>
      </c>
      <c r="F65" s="1674">
        <f t="shared" si="8"/>
        <v>1359429</v>
      </c>
      <c r="G65" s="1674">
        <f t="shared" si="8"/>
        <v>35417</v>
      </c>
      <c r="H65" s="1674">
        <f t="shared" si="8"/>
        <v>3601</v>
      </c>
      <c r="I65" s="1674">
        <f t="shared" si="8"/>
        <v>24336</v>
      </c>
      <c r="J65" s="1674">
        <f t="shared" si="8"/>
        <v>0</v>
      </c>
      <c r="K65" s="1674">
        <f t="shared" si="8"/>
        <v>3751473</v>
      </c>
      <c r="L65" s="1674">
        <f t="shared" si="8"/>
        <v>3751661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v>7000</v>
      </c>
      <c r="F68" s="1573"/>
      <c r="G68" s="1573"/>
      <c r="H68" s="1573"/>
      <c r="I68" s="1574"/>
      <c r="J68" s="1574"/>
      <c r="K68" s="1678">
        <f>SUM(C68:J68)</f>
        <v>7000</v>
      </c>
      <c r="L68" s="1573"/>
      <c r="M68" s="501"/>
      <c r="N68" s="501"/>
    </row>
    <row r="69" spans="1:14" s="321" customFormat="1" x14ac:dyDescent="0.2">
      <c r="A69" s="1274" t="s">
        <v>1052</v>
      </c>
      <c r="B69" s="503">
        <v>2630</v>
      </c>
      <c r="C69" s="1573">
        <v>107071</v>
      </c>
      <c r="D69" s="1573">
        <v>11327</v>
      </c>
      <c r="E69" s="1573">
        <v>6355</v>
      </c>
      <c r="F69" s="1573">
        <v>19243</v>
      </c>
      <c r="G69" s="1573"/>
      <c r="H69" s="1573">
        <v>562</v>
      </c>
      <c r="I69" s="1574"/>
      <c r="J69" s="1574"/>
      <c r="K69" s="1678">
        <f>SUM(C69:J69)</f>
        <v>144558</v>
      </c>
      <c r="L69" s="1573">
        <v>136016</v>
      </c>
      <c r="M69" s="501"/>
      <c r="N69" s="501"/>
    </row>
    <row r="70" spans="1:14" s="321" customFormat="1" x14ac:dyDescent="0.2">
      <c r="A70" s="1274" t="s">
        <v>400</v>
      </c>
      <c r="B70" s="503">
        <v>2640</v>
      </c>
      <c r="C70" s="1573">
        <v>475259</v>
      </c>
      <c r="D70" s="1573">
        <v>79008</v>
      </c>
      <c r="E70" s="1573">
        <v>198453</v>
      </c>
      <c r="F70" s="1573">
        <v>13632</v>
      </c>
      <c r="G70" s="1573"/>
      <c r="H70" s="1573">
        <v>219</v>
      </c>
      <c r="I70" s="1574">
        <v>7794</v>
      </c>
      <c r="J70" s="1574"/>
      <c r="K70" s="1678">
        <f>SUM(C70:J70)</f>
        <v>774365</v>
      </c>
      <c r="L70" s="1573">
        <v>753086</v>
      </c>
      <c r="M70" s="501"/>
      <c r="N70" s="501"/>
    </row>
    <row r="71" spans="1:14" s="321" customFormat="1" x14ac:dyDescent="0.2">
      <c r="A71" s="1274" t="s">
        <v>401</v>
      </c>
      <c r="B71" s="503">
        <v>2660</v>
      </c>
      <c r="C71" s="1573">
        <v>432726</v>
      </c>
      <c r="D71" s="1573">
        <v>95147</v>
      </c>
      <c r="E71" s="1573">
        <v>407016</v>
      </c>
      <c r="F71" s="1573">
        <v>10688</v>
      </c>
      <c r="G71" s="1573"/>
      <c r="H71" s="1573"/>
      <c r="I71" s="1574">
        <v>65675</v>
      </c>
      <c r="J71" s="1574"/>
      <c r="K71" s="1678">
        <f>SUM(C71:J71)</f>
        <v>1011252</v>
      </c>
      <c r="L71" s="1573">
        <v>1187599</v>
      </c>
      <c r="M71" s="501"/>
      <c r="N71" s="501"/>
    </row>
    <row r="72" spans="1:14" s="321" customFormat="1" ht="12.75" customHeight="1" thickBot="1" x14ac:dyDescent="0.25">
      <c r="A72" s="1380" t="s">
        <v>37</v>
      </c>
      <c r="B72" s="1383" t="s">
        <v>36</v>
      </c>
      <c r="C72" s="1674">
        <f>SUM(C67:C71)</f>
        <v>1015056</v>
      </c>
      <c r="D72" s="1674">
        <f t="shared" ref="D72:K72" si="9">SUM(D67:D71)</f>
        <v>185482</v>
      </c>
      <c r="E72" s="1674">
        <f t="shared" si="9"/>
        <v>618824</v>
      </c>
      <c r="F72" s="1674">
        <f t="shared" si="9"/>
        <v>43563</v>
      </c>
      <c r="G72" s="1674">
        <f t="shared" si="9"/>
        <v>0</v>
      </c>
      <c r="H72" s="1674">
        <f t="shared" si="9"/>
        <v>781</v>
      </c>
      <c r="I72" s="1674">
        <f t="shared" si="9"/>
        <v>73469</v>
      </c>
      <c r="J72" s="1674">
        <f t="shared" si="9"/>
        <v>0</v>
      </c>
      <c r="K72" s="1674">
        <f t="shared" si="9"/>
        <v>1937175</v>
      </c>
      <c r="L72" s="1674">
        <f>SUM(L67:L71)</f>
        <v>2076701</v>
      </c>
      <c r="M72" s="501"/>
      <c r="N72" s="501"/>
    </row>
    <row r="73" spans="1:14" s="321" customFormat="1" ht="14.25" thickTop="1" thickBot="1" x14ac:dyDescent="0.25">
      <c r="A73" s="1280" t="s">
        <v>973</v>
      </c>
      <c r="B73" s="515" t="s">
        <v>570</v>
      </c>
      <c r="C73" s="1649">
        <v>94897</v>
      </c>
      <c r="D73" s="1649">
        <v>34420</v>
      </c>
      <c r="E73" s="1649"/>
      <c r="F73" s="1649"/>
      <c r="G73" s="1649"/>
      <c r="H73" s="1649"/>
      <c r="I73" s="1627"/>
      <c r="J73" s="1627"/>
      <c r="K73" s="1674">
        <f>SUM(C73:J73)</f>
        <v>129317</v>
      </c>
      <c r="L73" s="1651">
        <v>3500</v>
      </c>
      <c r="M73" s="501"/>
      <c r="N73" s="501"/>
    </row>
    <row r="74" spans="1:14" ht="12.75" customHeight="1" thickTop="1" thickBot="1" x14ac:dyDescent="0.25">
      <c r="A74" s="1380" t="s">
        <v>806</v>
      </c>
      <c r="B74" s="1384">
        <v>2000</v>
      </c>
      <c r="C74" s="1681">
        <f>SUM(C42,C47,C53,C57,C65,C72,C73)</f>
        <v>11477961</v>
      </c>
      <c r="D74" s="1681">
        <f t="shared" ref="D74:K74" si="10">SUM(D42,D47,D53,D57,D65,D72,D73)</f>
        <v>2316936</v>
      </c>
      <c r="E74" s="1681">
        <f t="shared" si="10"/>
        <v>1370064</v>
      </c>
      <c r="F74" s="1681">
        <f t="shared" si="10"/>
        <v>1564098</v>
      </c>
      <c r="G74" s="1681">
        <f t="shared" si="10"/>
        <v>35417</v>
      </c>
      <c r="H74" s="1681">
        <f t="shared" si="10"/>
        <v>35109</v>
      </c>
      <c r="I74" s="1681">
        <f t="shared" si="10"/>
        <v>115488</v>
      </c>
      <c r="J74" s="1681">
        <f t="shared" si="10"/>
        <v>0</v>
      </c>
      <c r="K74" s="1681">
        <f t="shared" si="10"/>
        <v>16915073</v>
      </c>
      <c r="L74" s="1681">
        <f>SUM(L42,L47,L53,L57,L65,L72,L73)</f>
        <v>17429590</v>
      </c>
    </row>
    <row r="75" spans="1:14" s="254" customFormat="1" ht="15.75" customHeight="1" thickTop="1" thickBot="1" x14ac:dyDescent="0.25">
      <c r="A75" s="1348" t="s">
        <v>47</v>
      </c>
      <c r="B75" s="1349" t="s">
        <v>571</v>
      </c>
      <c r="C75" s="1649">
        <v>1941971</v>
      </c>
      <c r="D75" s="1649">
        <v>547519</v>
      </c>
      <c r="E75" s="1649">
        <v>860293</v>
      </c>
      <c r="F75" s="1649">
        <v>146948</v>
      </c>
      <c r="G75" s="1649">
        <v>78705</v>
      </c>
      <c r="H75" s="1649">
        <v>17848</v>
      </c>
      <c r="I75" s="1627"/>
      <c r="J75" s="1627"/>
      <c r="K75" s="1674">
        <f>SUM(C75:J75)</f>
        <v>3593284</v>
      </c>
      <c r="L75" s="1651">
        <v>3367686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602900</v>
      </c>
      <c r="F79" s="1673"/>
      <c r="G79" s="1673"/>
      <c r="H79" s="1573"/>
      <c r="I79" s="1582"/>
      <c r="J79" s="1582"/>
      <c r="K79" s="1672">
        <f t="shared" si="11"/>
        <v>602900</v>
      </c>
      <c r="L79" s="1573">
        <v>2061664</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8565</v>
      </c>
      <c r="F83" s="1673"/>
      <c r="G83" s="1673"/>
      <c r="H83" s="1573"/>
      <c r="I83" s="1582"/>
      <c r="J83" s="1582"/>
      <c r="K83" s="1672">
        <f t="shared" si="11"/>
        <v>8565</v>
      </c>
      <c r="L83" s="1573">
        <v>5000</v>
      </c>
    </row>
    <row r="84" spans="1:12" ht="13.5" thickBot="1" x14ac:dyDescent="0.25">
      <c r="A84" s="1380" t="s">
        <v>1468</v>
      </c>
      <c r="B84" s="1385">
        <v>4100</v>
      </c>
      <c r="C84" s="1673"/>
      <c r="D84" s="1673"/>
      <c r="E84" s="1674">
        <f>SUM(E78:E83)</f>
        <v>611465</v>
      </c>
      <c r="F84" s="1673"/>
      <c r="G84" s="1673"/>
      <c r="H84" s="1674">
        <f>SUM(H78:H83)</f>
        <v>0</v>
      </c>
      <c r="I84" s="1582"/>
      <c r="J84" s="1582"/>
      <c r="K84" s="1674">
        <f>SUM(K78:K83)</f>
        <v>611465</v>
      </c>
      <c r="L84" s="1674">
        <f>SUM(L78:L83)</f>
        <v>2066664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2104401</v>
      </c>
      <c r="I86" s="1582"/>
      <c r="J86" s="1582"/>
      <c r="K86" s="1681">
        <f t="shared" ref="K86:K98" si="12">H86</f>
        <v>2104401</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31450</v>
      </c>
      <c r="I88" s="1582"/>
      <c r="J88" s="1582"/>
      <c r="K88" s="1681">
        <f t="shared" si="12"/>
        <v>31450</v>
      </c>
      <c r="L88" s="1626">
        <v>35000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2135851</v>
      </c>
      <c r="I92" s="1582"/>
      <c r="J92" s="1582"/>
      <c r="K92" s="1681">
        <f t="shared" si="12"/>
        <v>2135851</v>
      </c>
      <c r="L92" s="1674">
        <f>SUM(L85:L91)</f>
        <v>35000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611465</v>
      </c>
      <c r="F102" s="1673"/>
      <c r="G102" s="1673"/>
      <c r="H102" s="1681">
        <f>SUM(H84,H92,H100,H101)</f>
        <v>2135851</v>
      </c>
      <c r="I102" s="1582"/>
      <c r="J102" s="1582"/>
      <c r="K102" s="1681">
        <f>SUM(K84,K92,K100,K101)</f>
        <v>2747316</v>
      </c>
      <c r="L102" s="1681">
        <f>SUM(L84,L92,L100,L101)</f>
        <v>2101664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46808869</v>
      </c>
      <c r="D114" s="1674">
        <f t="shared" ref="D114:K114" si="13">SUM(D33,D74,D75,D102,D112,D113)</f>
        <v>10164663</v>
      </c>
      <c r="E114" s="1674">
        <f t="shared" si="13"/>
        <v>3668037</v>
      </c>
      <c r="F114" s="1674">
        <f t="shared" si="13"/>
        <v>3729955</v>
      </c>
      <c r="G114" s="1674">
        <f t="shared" si="13"/>
        <v>183537</v>
      </c>
      <c r="H114" s="1674">
        <f>SUM(H33,H74,H75,H102,H112,H113)</f>
        <v>2190183</v>
      </c>
      <c r="I114" s="1674">
        <f t="shared" si="13"/>
        <v>226887</v>
      </c>
      <c r="J114" s="1674">
        <f t="shared" si="13"/>
        <v>0</v>
      </c>
      <c r="K114" s="1674">
        <f t="shared" si="13"/>
        <v>66972131</v>
      </c>
      <c r="L114" s="1674">
        <f>SUM(L33,L74,L75,L102,L112,L113)</f>
        <v>65739892</v>
      </c>
    </row>
    <row r="115" spans="1:14" ht="13.5" thickTop="1" x14ac:dyDescent="0.2">
      <c r="A115" s="2295" t="s">
        <v>989</v>
      </c>
      <c r="B115" s="2296"/>
      <c r="C115" s="1675"/>
      <c r="D115" s="1675"/>
      <c r="E115" s="1675"/>
      <c r="F115" s="1675"/>
      <c r="G115" s="1675"/>
      <c r="H115" s="1675"/>
      <c r="I115" s="1675"/>
      <c r="J115" s="1675"/>
      <c r="K115" s="1689">
        <f>'Revenues 9-14'!C268-'Expenditures 15-22'!K114</f>
        <v>457267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3" t="s">
        <v>293</v>
      </c>
      <c r="B117" s="227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1175</v>
      </c>
      <c r="H123" s="1573"/>
      <c r="I123" s="1574"/>
      <c r="J123" s="1574"/>
      <c r="K123" s="1674">
        <f>SUM(C123:J123)</f>
        <v>1175</v>
      </c>
      <c r="L123" s="1573">
        <v>0</v>
      </c>
    </row>
    <row r="124" spans="1:14" ht="14.25" thickTop="1" thickBot="1" x14ac:dyDescent="0.25">
      <c r="A124" s="1274" t="s">
        <v>195</v>
      </c>
      <c r="B124" s="503">
        <v>2540</v>
      </c>
      <c r="C124" s="1573">
        <v>2199140</v>
      </c>
      <c r="D124" s="1573">
        <v>426361</v>
      </c>
      <c r="E124" s="1573">
        <v>1223527</v>
      </c>
      <c r="F124" s="1573">
        <v>1021249</v>
      </c>
      <c r="G124" s="1573">
        <v>242659</v>
      </c>
      <c r="H124" s="1573"/>
      <c r="I124" s="1574">
        <v>7503</v>
      </c>
      <c r="J124" s="1574"/>
      <c r="K124" s="1674">
        <f>SUM(C124:J124)</f>
        <v>5120439</v>
      </c>
      <c r="L124" s="1573">
        <v>5683832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2199140</v>
      </c>
      <c r="D127" s="1674">
        <f t="shared" ref="D127:L127" si="14">SUM(D122:D126)</f>
        <v>426361</v>
      </c>
      <c r="E127" s="1674">
        <f t="shared" si="14"/>
        <v>1223527</v>
      </c>
      <c r="F127" s="1674">
        <f t="shared" si="14"/>
        <v>1021249</v>
      </c>
      <c r="G127" s="1674">
        <f t="shared" si="14"/>
        <v>243834</v>
      </c>
      <c r="H127" s="1674">
        <f t="shared" si="14"/>
        <v>0</v>
      </c>
      <c r="I127" s="1674">
        <f t="shared" si="14"/>
        <v>7503</v>
      </c>
      <c r="J127" s="1674">
        <f t="shared" si="14"/>
        <v>0</v>
      </c>
      <c r="K127" s="1674">
        <f t="shared" si="14"/>
        <v>5121614</v>
      </c>
      <c r="L127" s="1674">
        <f t="shared" si="14"/>
        <v>5683832</v>
      </c>
    </row>
    <row r="128" spans="1:14" ht="12.75" customHeight="1" thickTop="1" x14ac:dyDescent="0.2">
      <c r="A128" s="1281" t="s">
        <v>973</v>
      </c>
      <c r="B128" s="531" t="s">
        <v>570</v>
      </c>
      <c r="C128" s="1695">
        <v>52825</v>
      </c>
      <c r="D128" s="1695">
        <v>2489</v>
      </c>
      <c r="E128" s="1695">
        <v>10676</v>
      </c>
      <c r="F128" s="1695">
        <v>21118</v>
      </c>
      <c r="G128" s="1695">
        <v>24859</v>
      </c>
      <c r="H128" s="1695"/>
      <c r="I128" s="1630"/>
      <c r="J128" s="1630"/>
      <c r="K128" s="1696">
        <f>SUM(C128:J128)</f>
        <v>111967</v>
      </c>
      <c r="L128" s="1695">
        <v>0</v>
      </c>
    </row>
    <row r="129" spans="1:14" ht="12.75" customHeight="1" thickBot="1" x14ac:dyDescent="0.25">
      <c r="A129" s="1389" t="s">
        <v>806</v>
      </c>
      <c r="B129" s="1390" t="s">
        <v>565</v>
      </c>
      <c r="C129" s="1681">
        <f>SUM(C120,C127,C128)</f>
        <v>2251965</v>
      </c>
      <c r="D129" s="1681">
        <f t="shared" ref="D129:L129" si="15">SUM(D120,D127,D128)</f>
        <v>428850</v>
      </c>
      <c r="E129" s="1681">
        <f t="shared" si="15"/>
        <v>1234203</v>
      </c>
      <c r="F129" s="1681">
        <f t="shared" si="15"/>
        <v>1042367</v>
      </c>
      <c r="G129" s="1681">
        <f t="shared" si="15"/>
        <v>268693</v>
      </c>
      <c r="H129" s="1681">
        <f t="shared" si="15"/>
        <v>0</v>
      </c>
      <c r="I129" s="1681">
        <f t="shared" si="15"/>
        <v>7503</v>
      </c>
      <c r="J129" s="1681">
        <f t="shared" si="15"/>
        <v>0</v>
      </c>
      <c r="K129" s="1681">
        <f t="shared" si="15"/>
        <v>5233581</v>
      </c>
      <c r="L129" s="1681">
        <f t="shared" si="15"/>
        <v>5683832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5" t="s">
        <v>616</v>
      </c>
      <c r="B151" s="2267"/>
      <c r="C151" s="1674">
        <f>SUM(C129,C130,C139,C149,C150)</f>
        <v>2251965</v>
      </c>
      <c r="D151" s="1674">
        <f t="shared" ref="D151:K151" si="16">SUM(D129,D130,D139,D149,D150)</f>
        <v>428850</v>
      </c>
      <c r="E151" s="1674">
        <f t="shared" si="16"/>
        <v>1234203</v>
      </c>
      <c r="F151" s="1674">
        <f t="shared" si="16"/>
        <v>1042367</v>
      </c>
      <c r="G151" s="1674">
        <f t="shared" si="16"/>
        <v>268693</v>
      </c>
      <c r="H151" s="1674">
        <f t="shared" si="16"/>
        <v>0</v>
      </c>
      <c r="I151" s="1674">
        <f t="shared" si="16"/>
        <v>7503</v>
      </c>
      <c r="J151" s="1674">
        <f t="shared" si="16"/>
        <v>0</v>
      </c>
      <c r="K151" s="1674">
        <f t="shared" si="16"/>
        <v>5233581</v>
      </c>
      <c r="L151" s="1674">
        <f>SUM(L129,L130,L139,L149,L150)</f>
        <v>5683832</v>
      </c>
    </row>
    <row r="152" spans="1:14" ht="12.75" customHeight="1" thickTop="1" x14ac:dyDescent="0.2">
      <c r="A152" s="2288" t="s">
        <v>1168</v>
      </c>
      <c r="B152" s="2289"/>
      <c r="C152" s="1675"/>
      <c r="D152" s="1675"/>
      <c r="E152" s="1675"/>
      <c r="F152" s="1675"/>
      <c r="G152" s="1675"/>
      <c r="H152" s="1675"/>
      <c r="I152" s="1675"/>
      <c r="J152" s="1673"/>
      <c r="K152" s="1689">
        <f>'Revenues 9-14'!D268-'Expenditures 15-22'!K151</f>
        <v>515029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3" t="s">
        <v>617</v>
      </c>
      <c r="B154" s="227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981400</v>
      </c>
      <c r="I169" s="1673"/>
      <c r="J169" s="1673"/>
      <c r="K169" s="1672">
        <f>SUM(C169:H169)</f>
        <v>981400</v>
      </c>
      <c r="L169" s="1695">
        <v>1400000</v>
      </c>
    </row>
    <row r="170" spans="1:14" ht="33.75" customHeight="1" x14ac:dyDescent="0.2">
      <c r="A170" s="543" t="s">
        <v>1651</v>
      </c>
      <c r="B170" s="545" t="s">
        <v>31</v>
      </c>
      <c r="C170" s="1673"/>
      <c r="D170" s="1673"/>
      <c r="E170" s="1673"/>
      <c r="F170" s="1673"/>
      <c r="G170" s="1673"/>
      <c r="H170" s="1646">
        <v>2170000</v>
      </c>
      <c r="I170" s="1673"/>
      <c r="J170" s="1673"/>
      <c r="K170" s="1672">
        <f>SUM(C170:J170)</f>
        <v>2170000</v>
      </c>
      <c r="L170" s="1646">
        <v>1762000</v>
      </c>
    </row>
    <row r="171" spans="1:14" ht="15.75" customHeight="1" x14ac:dyDescent="0.2">
      <c r="A171" s="507" t="s">
        <v>761</v>
      </c>
      <c r="B171" s="546" t="s">
        <v>84</v>
      </c>
      <c r="C171" s="1673"/>
      <c r="D171" s="1673"/>
      <c r="E171" s="1573">
        <v>1043</v>
      </c>
      <c r="F171" s="1673"/>
      <c r="G171" s="1673"/>
      <c r="H171" s="1646"/>
      <c r="I171" s="1582"/>
      <c r="J171" s="1673"/>
      <c r="K171" s="1672">
        <f>SUM(C171:J171)</f>
        <v>1043</v>
      </c>
      <c r="L171" s="1646"/>
    </row>
    <row r="172" spans="1:14" ht="12.75" customHeight="1" thickBot="1" x14ac:dyDescent="0.25">
      <c r="A172" s="1380" t="s">
        <v>633</v>
      </c>
      <c r="B172" s="1381" t="s">
        <v>489</v>
      </c>
      <c r="C172" s="1673"/>
      <c r="D172" s="1673"/>
      <c r="E172" s="1681">
        <f>SUM(E168,E169,E170,E171)</f>
        <v>1043</v>
      </c>
      <c r="F172" s="1673"/>
      <c r="G172" s="1673"/>
      <c r="H172" s="1681">
        <f>SUM(H168,H169,H170,H171)</f>
        <v>3151400</v>
      </c>
      <c r="I172" s="1684"/>
      <c r="J172" s="1673"/>
      <c r="K172" s="1681">
        <f>SUM(K168,K169,K170,K171)</f>
        <v>3152443</v>
      </c>
      <c r="L172" s="1681">
        <f>SUM(L168,L169,L170,L171)</f>
        <v>3162000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1043</v>
      </c>
      <c r="F174" s="1673"/>
      <c r="G174" s="1673"/>
      <c r="H174" s="1681">
        <f>SUM(H160,H172,H173)</f>
        <v>3151400</v>
      </c>
      <c r="I174" s="1684"/>
      <c r="J174" s="1673"/>
      <c r="K174" s="1681">
        <f>SUM(K160,K172,K173)</f>
        <v>3152443</v>
      </c>
      <c r="L174" s="1681">
        <f>SUM(L160,L172,L173)</f>
        <v>3162000</v>
      </c>
    </row>
    <row r="175" spans="1:14" ht="13.5" thickTop="1" x14ac:dyDescent="0.2">
      <c r="A175" s="2295" t="s">
        <v>989</v>
      </c>
      <c r="B175" s="2296"/>
      <c r="C175" s="1673"/>
      <c r="D175" s="1673"/>
      <c r="E175" s="1673"/>
      <c r="F175" s="1673"/>
      <c r="G175" s="1673"/>
      <c r="H175" s="1675"/>
      <c r="I175" s="1673"/>
      <c r="J175" s="1673"/>
      <c r="K175" s="1689">
        <f>'Revenues 9-14'!E268-'Expenditures 15-22'!K174</f>
        <v>124902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2061</v>
      </c>
      <c r="D182" s="1573">
        <v>97</v>
      </c>
      <c r="E182" s="1573">
        <v>1394469</v>
      </c>
      <c r="F182" s="1573"/>
      <c r="G182" s="1573">
        <v>48743</v>
      </c>
      <c r="H182" s="1573"/>
      <c r="I182" s="1574"/>
      <c r="J182" s="1574"/>
      <c r="K182" s="1672">
        <f>SUM(C182:J182)</f>
        <v>1445370</v>
      </c>
      <c r="L182" s="1573">
        <v>1915025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2061</v>
      </c>
      <c r="D184" s="1681">
        <f t="shared" ref="D184:J184" si="17">SUM(D180,D182,D183)</f>
        <v>97</v>
      </c>
      <c r="E184" s="1681">
        <f t="shared" si="17"/>
        <v>1394469</v>
      </c>
      <c r="F184" s="1681">
        <f t="shared" si="17"/>
        <v>0</v>
      </c>
      <c r="G184" s="1681">
        <f t="shared" si="17"/>
        <v>48743</v>
      </c>
      <c r="H184" s="1681">
        <f t="shared" si="17"/>
        <v>0</v>
      </c>
      <c r="I184" s="1681">
        <f t="shared" si="17"/>
        <v>0</v>
      </c>
      <c r="J184" s="1681">
        <f t="shared" si="17"/>
        <v>0</v>
      </c>
      <c r="K184" s="1681">
        <f>SUM(K180,K182,K183)</f>
        <v>1445370</v>
      </c>
      <c r="L184" s="1681">
        <f>SUM(L180, L182:L183)</f>
        <v>1915025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2061</v>
      </c>
      <c r="D210" s="1674">
        <f>SUM(D184,D185)</f>
        <v>97</v>
      </c>
      <c r="E210" s="1674">
        <f>SUM(E184,E185,E196)</f>
        <v>1394469</v>
      </c>
      <c r="F210" s="1674">
        <f>SUM(F184,F185)</f>
        <v>0</v>
      </c>
      <c r="G210" s="1674">
        <f>SUM(G184,G185)</f>
        <v>48743</v>
      </c>
      <c r="H210" s="1674">
        <f>SUM(H184,H185,H196,H208,H209)</f>
        <v>0</v>
      </c>
      <c r="I210" s="1674">
        <f>SUM(I184,I185)</f>
        <v>0</v>
      </c>
      <c r="J210" s="1674">
        <f>SUM(J184,J185)</f>
        <v>0</v>
      </c>
      <c r="K210" s="1672">
        <f>SUM(K184,K185,K196,K208,K209)</f>
        <v>1445370</v>
      </c>
      <c r="L210" s="1674">
        <f>SUM(L184,L185,L196,L208,L209)</f>
        <v>1915025</v>
      </c>
    </row>
    <row r="211" spans="1:14" ht="13.5" thickTop="1" x14ac:dyDescent="0.2">
      <c r="A211" s="2295" t="s">
        <v>989</v>
      </c>
      <c r="B211" s="2296"/>
      <c r="C211" s="1675"/>
      <c r="D211" s="1675"/>
      <c r="E211" s="1675"/>
      <c r="F211" s="1675"/>
      <c r="G211" s="1675"/>
      <c r="H211" s="1675"/>
      <c r="I211" s="1673"/>
      <c r="J211" s="1673"/>
      <c r="K211" s="1689">
        <f>'Revenues 9-14'!F268-'Expenditures 15-22'!K210</f>
        <v>427098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0" t="s">
        <v>959</v>
      </c>
      <c r="B213" s="229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346946</v>
      </c>
      <c r="E215" s="1673"/>
      <c r="F215" s="1673"/>
      <c r="G215" s="1673"/>
      <c r="H215" s="1673"/>
      <c r="I215" s="1673"/>
      <c r="J215" s="1673"/>
      <c r="K215" s="1672">
        <f>D215</f>
        <v>346946</v>
      </c>
      <c r="L215" s="1573">
        <v>341387</v>
      </c>
    </row>
    <row r="216" spans="1:14" x14ac:dyDescent="0.2">
      <c r="A216" s="1274" t="s">
        <v>162</v>
      </c>
      <c r="B216" s="503" t="s">
        <v>961</v>
      </c>
      <c r="C216" s="1673"/>
      <c r="D216" s="1574">
        <v>0</v>
      </c>
      <c r="E216" s="1673"/>
      <c r="F216" s="1673"/>
      <c r="G216" s="1673"/>
      <c r="H216" s="1673"/>
      <c r="I216" s="1673"/>
      <c r="J216" s="1673"/>
      <c r="K216" s="1672">
        <f t="shared" ref="K216:K228" si="19">D216</f>
        <v>0</v>
      </c>
      <c r="L216" s="1573">
        <v>33652</v>
      </c>
    </row>
    <row r="217" spans="1:14" x14ac:dyDescent="0.2">
      <c r="A217" s="1274" t="s">
        <v>163</v>
      </c>
      <c r="B217" s="503">
        <v>1200</v>
      </c>
      <c r="C217" s="1673"/>
      <c r="D217" s="1573">
        <v>416355</v>
      </c>
      <c r="E217" s="1673"/>
      <c r="F217" s="1673"/>
      <c r="G217" s="1673"/>
      <c r="H217" s="1673"/>
      <c r="I217" s="1673"/>
      <c r="J217" s="1673"/>
      <c r="K217" s="1672">
        <f t="shared" si="19"/>
        <v>416355</v>
      </c>
      <c r="L217" s="1573">
        <v>407958</v>
      </c>
    </row>
    <row r="218" spans="1:14" x14ac:dyDescent="0.2">
      <c r="A218" s="1274" t="s">
        <v>276</v>
      </c>
      <c r="B218" s="503" t="s">
        <v>962</v>
      </c>
      <c r="C218" s="1673"/>
      <c r="D218" s="1574">
        <v>39563</v>
      </c>
      <c r="E218" s="1673"/>
      <c r="F218" s="1673"/>
      <c r="G218" s="1673"/>
      <c r="H218" s="1673"/>
      <c r="I218" s="1673"/>
      <c r="J218" s="1673"/>
      <c r="K218" s="1672">
        <f t="shared" si="19"/>
        <v>39563</v>
      </c>
      <c r="L218" s="1573">
        <v>3452</v>
      </c>
    </row>
    <row r="219" spans="1:14" x14ac:dyDescent="0.2">
      <c r="A219" s="1274" t="s">
        <v>277</v>
      </c>
      <c r="B219" s="503">
        <v>1250</v>
      </c>
      <c r="C219" s="1673"/>
      <c r="D219" s="1573">
        <v>1353</v>
      </c>
      <c r="E219" s="1673"/>
      <c r="F219" s="1673"/>
      <c r="G219" s="1673"/>
      <c r="H219" s="1673"/>
      <c r="I219" s="1673"/>
      <c r="J219" s="1673"/>
      <c r="K219" s="1672">
        <f t="shared" si="19"/>
        <v>1353</v>
      </c>
      <c r="L219" s="1573">
        <v>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8874</v>
      </c>
      <c r="E222" s="1673"/>
      <c r="F222" s="1673"/>
      <c r="G222" s="1673"/>
      <c r="H222" s="1673"/>
      <c r="I222" s="1673"/>
      <c r="J222" s="1673"/>
      <c r="K222" s="1672">
        <f t="shared" si="19"/>
        <v>8874</v>
      </c>
      <c r="L222" s="1573">
        <v>9501</v>
      </c>
    </row>
    <row r="223" spans="1:14" x14ac:dyDescent="0.2">
      <c r="A223" s="1274" t="s">
        <v>957</v>
      </c>
      <c r="B223" s="503">
        <v>1500</v>
      </c>
      <c r="C223" s="1673"/>
      <c r="D223" s="1573">
        <v>59150</v>
      </c>
      <c r="E223" s="1673"/>
      <c r="F223" s="1673"/>
      <c r="G223" s="1673"/>
      <c r="H223" s="1673"/>
      <c r="I223" s="1673"/>
      <c r="J223" s="1673"/>
      <c r="K223" s="1672">
        <f t="shared" si="19"/>
        <v>59150</v>
      </c>
      <c r="L223" s="1573">
        <v>75964</v>
      </c>
    </row>
    <row r="224" spans="1:14" x14ac:dyDescent="0.2">
      <c r="A224" s="1274" t="s">
        <v>958</v>
      </c>
      <c r="B224" s="503">
        <v>1600</v>
      </c>
      <c r="C224" s="1673"/>
      <c r="D224" s="1573">
        <v>1689</v>
      </c>
      <c r="E224" s="1673"/>
      <c r="F224" s="1673"/>
      <c r="G224" s="1673"/>
      <c r="H224" s="1673"/>
      <c r="I224" s="1673"/>
      <c r="J224" s="1673"/>
      <c r="K224" s="1672">
        <f t="shared" si="19"/>
        <v>1689</v>
      </c>
      <c r="L224" s="1573">
        <v>2748</v>
      </c>
    </row>
    <row r="225" spans="1:12" x14ac:dyDescent="0.2">
      <c r="A225" s="1274" t="s">
        <v>980</v>
      </c>
      <c r="B225" s="503">
        <v>1650</v>
      </c>
      <c r="C225" s="1673"/>
      <c r="D225" s="1573">
        <v>5122</v>
      </c>
      <c r="E225" s="1673"/>
      <c r="F225" s="1673"/>
      <c r="G225" s="1673"/>
      <c r="H225" s="1673"/>
      <c r="I225" s="1673"/>
      <c r="J225" s="1673"/>
      <c r="K225" s="1672">
        <f t="shared" si="19"/>
        <v>5122</v>
      </c>
      <c r="L225" s="1573">
        <v>3884</v>
      </c>
    </row>
    <row r="226" spans="1:12" x14ac:dyDescent="0.2">
      <c r="A226" s="1274" t="s">
        <v>719</v>
      </c>
      <c r="B226" s="503" t="s">
        <v>161</v>
      </c>
      <c r="C226" s="1673"/>
      <c r="D226" s="1574"/>
      <c r="E226" s="1673"/>
      <c r="F226" s="1673"/>
      <c r="G226" s="1673"/>
      <c r="H226" s="1673"/>
      <c r="I226" s="1673"/>
      <c r="J226" s="1673"/>
      <c r="K226" s="1672">
        <f t="shared" si="19"/>
        <v>0</v>
      </c>
      <c r="L226" s="1573">
        <v>24935</v>
      </c>
    </row>
    <row r="227" spans="1:12" x14ac:dyDescent="0.2">
      <c r="A227" s="1274" t="s">
        <v>1078</v>
      </c>
      <c r="B227" s="503">
        <v>1800</v>
      </c>
      <c r="C227" s="1673"/>
      <c r="D227" s="1573">
        <v>28595</v>
      </c>
      <c r="E227" s="1673"/>
      <c r="F227" s="1673"/>
      <c r="G227" s="1673"/>
      <c r="H227" s="1673"/>
      <c r="I227" s="1673"/>
      <c r="J227" s="1673"/>
      <c r="K227" s="1672">
        <f t="shared" si="19"/>
        <v>28595</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907647</v>
      </c>
      <c r="E229" s="1673"/>
      <c r="F229" s="1673"/>
      <c r="G229" s="1673"/>
      <c r="H229" s="1673"/>
      <c r="I229" s="1673"/>
      <c r="J229" s="1673"/>
      <c r="K229" s="1674">
        <f>SUM(K215:K228)</f>
        <v>907647</v>
      </c>
      <c r="L229" s="1674">
        <f>SUM(L215:L228)</f>
        <v>903481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43654</v>
      </c>
      <c r="E232" s="1673"/>
      <c r="F232" s="1673"/>
      <c r="G232" s="1673"/>
      <c r="H232" s="1673"/>
      <c r="I232" s="1673"/>
      <c r="J232" s="1673"/>
      <c r="K232" s="1672">
        <f t="shared" ref="K232:K237" si="20">D232</f>
        <v>43654</v>
      </c>
      <c r="L232" s="1573">
        <v>49713</v>
      </c>
    </row>
    <row r="233" spans="1:12" x14ac:dyDescent="0.2">
      <c r="A233" s="1274" t="s">
        <v>1081</v>
      </c>
      <c r="B233" s="503">
        <v>2120</v>
      </c>
      <c r="C233" s="1673"/>
      <c r="D233" s="1573">
        <v>61747</v>
      </c>
      <c r="E233" s="1673"/>
      <c r="F233" s="1673"/>
      <c r="G233" s="1673"/>
      <c r="H233" s="1673"/>
      <c r="I233" s="1673"/>
      <c r="J233" s="1673"/>
      <c r="K233" s="1672">
        <f t="shared" si="20"/>
        <v>61747</v>
      </c>
      <c r="L233" s="1573">
        <v>58342</v>
      </c>
    </row>
    <row r="234" spans="1:12" x14ac:dyDescent="0.2">
      <c r="A234" s="1274" t="s">
        <v>196</v>
      </c>
      <c r="B234" s="503">
        <v>2130</v>
      </c>
      <c r="C234" s="1673"/>
      <c r="D234" s="1573">
        <v>95974</v>
      </c>
      <c r="E234" s="1673"/>
      <c r="F234" s="1673"/>
      <c r="G234" s="1673"/>
      <c r="H234" s="1673"/>
      <c r="I234" s="1673"/>
      <c r="J234" s="1673"/>
      <c r="K234" s="1672">
        <f t="shared" si="20"/>
        <v>95974</v>
      </c>
      <c r="L234" s="1573">
        <v>100923</v>
      </c>
    </row>
    <row r="235" spans="1:12" x14ac:dyDescent="0.2">
      <c r="A235" s="1274" t="s">
        <v>197</v>
      </c>
      <c r="B235" s="503">
        <v>2140</v>
      </c>
      <c r="C235" s="1673"/>
      <c r="D235" s="1573">
        <v>10520</v>
      </c>
      <c r="E235" s="1673"/>
      <c r="F235" s="1673"/>
      <c r="G235" s="1673"/>
      <c r="H235" s="1673"/>
      <c r="I235" s="1673"/>
      <c r="J235" s="1673"/>
      <c r="K235" s="1672">
        <f t="shared" si="20"/>
        <v>10520</v>
      </c>
      <c r="L235" s="1573">
        <v>10548</v>
      </c>
    </row>
    <row r="236" spans="1:12" x14ac:dyDescent="0.2">
      <c r="A236" s="1274" t="s">
        <v>198</v>
      </c>
      <c r="B236" s="503">
        <v>2150</v>
      </c>
      <c r="C236" s="1673"/>
      <c r="D236" s="1573">
        <v>10656</v>
      </c>
      <c r="E236" s="1673"/>
      <c r="F236" s="1673"/>
      <c r="G236" s="1673"/>
      <c r="H236" s="1673"/>
      <c r="I236" s="1673"/>
      <c r="J236" s="1673"/>
      <c r="K236" s="1672">
        <f t="shared" si="20"/>
        <v>10656</v>
      </c>
      <c r="L236" s="1573">
        <v>10529</v>
      </c>
    </row>
    <row r="237" spans="1:12" x14ac:dyDescent="0.2">
      <c r="A237" s="1274" t="s">
        <v>164</v>
      </c>
      <c r="B237" s="503">
        <v>2190</v>
      </c>
      <c r="C237" s="1673"/>
      <c r="D237" s="1573">
        <v>9508</v>
      </c>
      <c r="E237" s="1673"/>
      <c r="F237" s="1673"/>
      <c r="G237" s="1673"/>
      <c r="H237" s="1673"/>
      <c r="I237" s="1673"/>
      <c r="J237" s="1673"/>
      <c r="K237" s="1672">
        <f t="shared" si="20"/>
        <v>9508</v>
      </c>
      <c r="L237" s="1573">
        <v>6130</v>
      </c>
    </row>
    <row r="238" spans="1:12" ht="12.75" customHeight="1" thickBot="1" x14ac:dyDescent="0.25">
      <c r="A238" s="1380" t="s">
        <v>556</v>
      </c>
      <c r="B238" s="1383" t="s">
        <v>711</v>
      </c>
      <c r="C238" s="1673"/>
      <c r="D238" s="1674">
        <f>SUM(D232:D237)</f>
        <v>232059</v>
      </c>
      <c r="E238" s="1673"/>
      <c r="F238" s="1673"/>
      <c r="G238" s="1673"/>
      <c r="H238" s="1673"/>
      <c r="I238" s="1673"/>
      <c r="J238" s="1673"/>
      <c r="K238" s="1674">
        <f>SUM(K232:K237)</f>
        <v>232059</v>
      </c>
      <c r="L238" s="1674">
        <f>SUM(L232:L237)</f>
        <v>236185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6469</v>
      </c>
      <c r="E240" s="1673"/>
      <c r="F240" s="1673"/>
      <c r="G240" s="1673"/>
      <c r="H240" s="1673"/>
      <c r="I240" s="1673"/>
      <c r="J240" s="1673"/>
      <c r="K240" s="1678">
        <f>D240</f>
        <v>6469</v>
      </c>
      <c r="L240" s="1586">
        <v>7154</v>
      </c>
    </row>
    <row r="241" spans="1:12" x14ac:dyDescent="0.2">
      <c r="A241" s="1274" t="s">
        <v>810</v>
      </c>
      <c r="B241" s="503">
        <v>2220</v>
      </c>
      <c r="C241" s="1673"/>
      <c r="D241" s="1573">
        <v>31776</v>
      </c>
      <c r="E241" s="1673"/>
      <c r="F241" s="1673"/>
      <c r="G241" s="1673"/>
      <c r="H241" s="1673"/>
      <c r="I241" s="1673"/>
      <c r="J241" s="1673"/>
      <c r="K241" s="1678">
        <f>D241</f>
        <v>31776</v>
      </c>
      <c r="L241" s="1573">
        <v>41901</v>
      </c>
    </row>
    <row r="242" spans="1:12" x14ac:dyDescent="0.2">
      <c r="A242" s="1274" t="s">
        <v>811</v>
      </c>
      <c r="B242" s="503">
        <v>2230</v>
      </c>
      <c r="C242" s="1673"/>
      <c r="D242" s="1573">
        <v>270</v>
      </c>
      <c r="E242" s="1673"/>
      <c r="F242" s="1673"/>
      <c r="G242" s="1673"/>
      <c r="H242" s="1673"/>
      <c r="I242" s="1673"/>
      <c r="J242" s="1673"/>
      <c r="K242" s="1678">
        <f>D242</f>
        <v>270</v>
      </c>
      <c r="L242" s="1573">
        <v>332</v>
      </c>
    </row>
    <row r="243" spans="1:12" ht="12.75" customHeight="1" thickBot="1" x14ac:dyDescent="0.25">
      <c r="A243" s="1396" t="s">
        <v>557</v>
      </c>
      <c r="B243" s="1397">
        <v>2200</v>
      </c>
      <c r="C243" s="1673"/>
      <c r="D243" s="1674">
        <f>SUM(D240:D242)</f>
        <v>38515</v>
      </c>
      <c r="E243" s="1673"/>
      <c r="F243" s="1673"/>
      <c r="G243" s="1673"/>
      <c r="H243" s="1673"/>
      <c r="I243" s="1673"/>
      <c r="J243" s="1673"/>
      <c r="K243" s="1674">
        <f>SUM(K240:K242)</f>
        <v>38515</v>
      </c>
      <c r="L243" s="1674">
        <f>SUM(L240:L242)</f>
        <v>49387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80</v>
      </c>
    </row>
    <row r="246" spans="1:12" x14ac:dyDescent="0.2">
      <c r="A246" s="1274" t="s">
        <v>813</v>
      </c>
      <c r="B246" s="503">
        <v>2320</v>
      </c>
      <c r="C246" s="1673"/>
      <c r="D246" s="1573">
        <v>12609</v>
      </c>
      <c r="E246" s="1673"/>
      <c r="F246" s="1673"/>
      <c r="G246" s="1673"/>
      <c r="H246" s="1673"/>
      <c r="I246" s="1673"/>
      <c r="J246" s="1673"/>
      <c r="K246" s="1678">
        <f t="shared" ref="K246:K256" si="21">D246</f>
        <v>12609</v>
      </c>
      <c r="L246" s="1573">
        <v>15667</v>
      </c>
    </row>
    <row r="247" spans="1:12" x14ac:dyDescent="0.2">
      <c r="A247" s="1274" t="s">
        <v>814</v>
      </c>
      <c r="B247" s="503">
        <v>2330</v>
      </c>
      <c r="C247" s="1673"/>
      <c r="D247" s="1573">
        <v>312</v>
      </c>
      <c r="E247" s="1673"/>
      <c r="F247" s="1673"/>
      <c r="G247" s="1673"/>
      <c r="H247" s="1673"/>
      <c r="I247" s="1673"/>
      <c r="J247" s="1673"/>
      <c r="K247" s="1678">
        <f t="shared" si="21"/>
        <v>312</v>
      </c>
      <c r="L247" s="1573">
        <v>270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12921</v>
      </c>
      <c r="E257" s="1673"/>
      <c r="F257" s="1673"/>
      <c r="G257" s="1673"/>
      <c r="H257" s="1673"/>
      <c r="I257" s="1673"/>
      <c r="J257" s="1673"/>
      <c r="K257" s="1674">
        <f>SUM(K245:K256)</f>
        <v>12921</v>
      </c>
      <c r="L257" s="1674">
        <f>SUM(L245:L256)</f>
        <v>16017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163878</v>
      </c>
      <c r="E259" s="1673"/>
      <c r="F259" s="1673"/>
      <c r="G259" s="1673"/>
      <c r="H259" s="1673"/>
      <c r="I259" s="1673"/>
      <c r="J259" s="1673"/>
      <c r="K259" s="1678">
        <f>D259</f>
        <v>163878</v>
      </c>
      <c r="L259" s="1586">
        <v>196093</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163878</v>
      </c>
      <c r="E261" s="1673"/>
      <c r="F261" s="1673"/>
      <c r="G261" s="1673"/>
      <c r="H261" s="1673"/>
      <c r="I261" s="1673"/>
      <c r="J261" s="1673"/>
      <c r="K261" s="1674">
        <f>SUM(K259:K260)</f>
        <v>163878</v>
      </c>
      <c r="L261" s="1674">
        <f>SUM(L259:L260)</f>
        <v>196093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7727</v>
      </c>
      <c r="E263" s="1673"/>
      <c r="F263" s="1673"/>
      <c r="G263" s="1673"/>
      <c r="H263" s="1673"/>
      <c r="I263" s="1673"/>
      <c r="J263" s="1673"/>
      <c r="K263" s="1678">
        <f>D263</f>
        <v>7727</v>
      </c>
      <c r="L263" s="1586">
        <v>8282</v>
      </c>
    </row>
    <row r="264" spans="1:14" x14ac:dyDescent="0.2">
      <c r="A264" s="1274" t="s">
        <v>460</v>
      </c>
      <c r="B264" s="559">
        <v>2520</v>
      </c>
      <c r="C264" s="1673"/>
      <c r="D264" s="1573">
        <v>48538</v>
      </c>
      <c r="E264" s="1673"/>
      <c r="F264" s="1673"/>
      <c r="G264" s="1673"/>
      <c r="H264" s="1673"/>
      <c r="I264" s="1673"/>
      <c r="J264" s="1673"/>
      <c r="K264" s="1678">
        <f t="shared" ref="K264:K269" si="22">D264</f>
        <v>48538</v>
      </c>
      <c r="L264" s="1573">
        <v>46732</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430356</v>
      </c>
      <c r="E266" s="1673"/>
      <c r="F266" s="1673"/>
      <c r="G266" s="1673"/>
      <c r="H266" s="1673"/>
      <c r="I266" s="1673"/>
      <c r="J266" s="1673"/>
      <c r="K266" s="1678">
        <f t="shared" si="22"/>
        <v>430356</v>
      </c>
      <c r="L266" s="1573">
        <v>535125</v>
      </c>
    </row>
    <row r="267" spans="1:14" x14ac:dyDescent="0.2">
      <c r="A267" s="1274" t="s">
        <v>947</v>
      </c>
      <c r="B267" s="503">
        <v>2550</v>
      </c>
      <c r="C267" s="1673"/>
      <c r="D267" s="1573">
        <v>382</v>
      </c>
      <c r="E267" s="1673"/>
      <c r="F267" s="1673"/>
      <c r="G267" s="1673"/>
      <c r="H267" s="1673"/>
      <c r="I267" s="1673"/>
      <c r="J267" s="1673"/>
      <c r="K267" s="1678">
        <f t="shared" si="22"/>
        <v>382</v>
      </c>
      <c r="L267" s="1573">
        <v>1042</v>
      </c>
    </row>
    <row r="268" spans="1:14" x14ac:dyDescent="0.2">
      <c r="A268" s="1274" t="s">
        <v>100</v>
      </c>
      <c r="B268" s="503">
        <v>2560</v>
      </c>
      <c r="C268" s="1673"/>
      <c r="D268" s="1573">
        <v>172779</v>
      </c>
      <c r="E268" s="1673"/>
      <c r="F268" s="1673"/>
      <c r="G268" s="1673"/>
      <c r="H268" s="1673"/>
      <c r="I268" s="1673"/>
      <c r="J268" s="1673"/>
      <c r="K268" s="1678">
        <f t="shared" si="22"/>
        <v>172779</v>
      </c>
      <c r="L268" s="1573">
        <v>240643</v>
      </c>
    </row>
    <row r="269" spans="1:14" x14ac:dyDescent="0.2">
      <c r="A269" s="1274" t="s">
        <v>101</v>
      </c>
      <c r="B269" s="503">
        <v>2570</v>
      </c>
      <c r="C269" s="1673"/>
      <c r="D269" s="1573">
        <v>9909</v>
      </c>
      <c r="E269" s="1673"/>
      <c r="F269" s="1673"/>
      <c r="G269" s="1673"/>
      <c r="H269" s="1673"/>
      <c r="I269" s="1673"/>
      <c r="J269" s="1673"/>
      <c r="K269" s="1678">
        <f t="shared" si="22"/>
        <v>9909</v>
      </c>
      <c r="L269" s="1573">
        <v>10375</v>
      </c>
    </row>
    <row r="270" spans="1:14" ht="12.75" customHeight="1" thickBot="1" x14ac:dyDescent="0.25">
      <c r="A270" s="1380" t="s">
        <v>714</v>
      </c>
      <c r="B270" s="1383" t="s">
        <v>35</v>
      </c>
      <c r="C270" s="1673"/>
      <c r="D270" s="1674">
        <f>SUM(D263:D269)</f>
        <v>669691</v>
      </c>
      <c r="E270" s="1673"/>
      <c r="F270" s="1673"/>
      <c r="G270" s="1673"/>
      <c r="H270" s="1673"/>
      <c r="I270" s="1673"/>
      <c r="J270" s="1673"/>
      <c r="K270" s="1674">
        <f>SUM(K263:K269)</f>
        <v>669691</v>
      </c>
      <c r="L270" s="1674">
        <f>SUM(L263:L269)</f>
        <v>842199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19566</v>
      </c>
      <c r="E274" s="1673"/>
      <c r="F274" s="1673"/>
      <c r="G274" s="1673"/>
      <c r="H274" s="1673"/>
      <c r="I274" s="1673"/>
      <c r="J274" s="1673"/>
      <c r="K274" s="1678">
        <f>D274</f>
        <v>19566</v>
      </c>
      <c r="L274" s="1573">
        <v>14605</v>
      </c>
    </row>
    <row r="275" spans="1:12" x14ac:dyDescent="0.2">
      <c r="A275" s="1274" t="s">
        <v>400</v>
      </c>
      <c r="B275" s="503">
        <v>2640</v>
      </c>
      <c r="C275" s="1673"/>
      <c r="D275" s="1573">
        <v>33884</v>
      </c>
      <c r="E275" s="1673"/>
      <c r="F275" s="1673"/>
      <c r="G275" s="1673"/>
      <c r="H275" s="1673"/>
      <c r="I275" s="1673"/>
      <c r="J275" s="1673"/>
      <c r="K275" s="1678">
        <f>D275</f>
        <v>33884</v>
      </c>
      <c r="L275" s="1573">
        <v>19187</v>
      </c>
    </row>
    <row r="276" spans="1:12" x14ac:dyDescent="0.2">
      <c r="A276" s="1274" t="s">
        <v>401</v>
      </c>
      <c r="B276" s="503">
        <v>2660</v>
      </c>
      <c r="C276" s="1673"/>
      <c r="D276" s="1573">
        <v>71249</v>
      </c>
      <c r="E276" s="1673"/>
      <c r="F276" s="1673"/>
      <c r="G276" s="1673"/>
      <c r="H276" s="1673"/>
      <c r="I276" s="1673"/>
      <c r="J276" s="1673"/>
      <c r="K276" s="1678">
        <f>D276</f>
        <v>71249</v>
      </c>
      <c r="L276" s="1573">
        <v>69724</v>
      </c>
    </row>
    <row r="277" spans="1:12" ht="12.75" customHeight="1" thickBot="1" x14ac:dyDescent="0.25">
      <c r="A277" s="1393" t="s">
        <v>37</v>
      </c>
      <c r="B277" s="1381" t="s">
        <v>36</v>
      </c>
      <c r="C277" s="1673"/>
      <c r="D277" s="1674">
        <f>SUM(D272:D276)</f>
        <v>124699</v>
      </c>
      <c r="E277" s="1673"/>
      <c r="F277" s="1673"/>
      <c r="G277" s="1673"/>
      <c r="H277" s="1673"/>
      <c r="I277" s="1673"/>
      <c r="J277" s="1673"/>
      <c r="K277" s="1674">
        <f>SUM(K272:K276)</f>
        <v>124699</v>
      </c>
      <c r="L277" s="1674">
        <f>SUM(L272:L276)</f>
        <v>103516</v>
      </c>
    </row>
    <row r="278" spans="1:12" ht="13.5" customHeight="1" thickTop="1" x14ac:dyDescent="0.2">
      <c r="A278" s="1280" t="s">
        <v>973</v>
      </c>
      <c r="B278" s="531" t="s">
        <v>570</v>
      </c>
      <c r="C278" s="1673"/>
      <c r="D278" s="1695"/>
      <c r="E278" s="1673"/>
      <c r="F278" s="1673"/>
      <c r="G278" s="1673"/>
      <c r="H278" s="1673"/>
      <c r="I278" s="1673"/>
      <c r="J278" s="1673"/>
      <c r="K278" s="1696">
        <f>D278</f>
        <v>0</v>
      </c>
      <c r="L278" s="1695">
        <v>3791</v>
      </c>
    </row>
    <row r="279" spans="1:12" ht="12.75" customHeight="1" thickBot="1" x14ac:dyDescent="0.25">
      <c r="A279" s="1400" t="s">
        <v>806</v>
      </c>
      <c r="B279" s="1387">
        <v>2000</v>
      </c>
      <c r="C279" s="1673"/>
      <c r="D279" s="1681">
        <f>SUM(D238,D243,D257,D261,D270,D277,D278)</f>
        <v>1241763</v>
      </c>
      <c r="E279" s="1673"/>
      <c r="F279" s="1673"/>
      <c r="G279" s="1673"/>
      <c r="H279" s="1673"/>
      <c r="I279" s="1673"/>
      <c r="J279" s="1673"/>
      <c r="K279" s="1681">
        <f>SUM(K238,K243,K257,K261,K270,K277,K278)</f>
        <v>1241763</v>
      </c>
      <c r="L279" s="1681">
        <f>SUM(L238,L243,L257,L261,L270,L277,L278)</f>
        <v>1447188</v>
      </c>
    </row>
    <row r="280" spans="1:12" ht="15.75" customHeight="1" thickTop="1" thickBot="1" x14ac:dyDescent="0.25">
      <c r="A280" s="1362" t="s">
        <v>870</v>
      </c>
      <c r="B280" s="1351">
        <v>3000</v>
      </c>
      <c r="C280" s="1673"/>
      <c r="D280" s="1651">
        <v>3782</v>
      </c>
      <c r="E280" s="1673"/>
      <c r="F280" s="1673"/>
      <c r="G280" s="1673"/>
      <c r="H280" s="1673"/>
      <c r="I280" s="1673"/>
      <c r="J280" s="1673"/>
      <c r="K280" s="1687">
        <f>D280</f>
        <v>3782</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6" t="s">
        <v>502</v>
      </c>
      <c r="B295" s="2287"/>
      <c r="C295" s="1673"/>
      <c r="D295" s="1674">
        <f>SUM(D229,D279,D280,D285)</f>
        <v>2153192</v>
      </c>
      <c r="E295" s="1673"/>
      <c r="F295" s="1673"/>
      <c r="G295" s="1673"/>
      <c r="H295" s="1674">
        <f>H293</f>
        <v>0</v>
      </c>
      <c r="I295" s="1673"/>
      <c r="J295" s="1673"/>
      <c r="K295" s="1674">
        <f>SUM(K229,K279,K280,K285,K293,K294)</f>
        <v>2153192</v>
      </c>
      <c r="L295" s="1674">
        <f>SUM(L229,L279,L280,L285,L293,L294)</f>
        <v>2350669</v>
      </c>
    </row>
    <row r="296" spans="1:14" ht="13.5" thickTop="1" x14ac:dyDescent="0.2">
      <c r="A296" s="2295" t="s">
        <v>989</v>
      </c>
      <c r="B296" s="2296"/>
      <c r="C296" s="1673"/>
      <c r="D296" s="1675"/>
      <c r="E296" s="1673"/>
      <c r="F296" s="1673"/>
      <c r="G296" s="1673"/>
      <c r="H296" s="1707"/>
      <c r="I296" s="1673"/>
      <c r="J296" s="1673"/>
      <c r="K296" s="1689">
        <f>'Revenues 9-14'!G268-'Expenditures 15-22'!K295</f>
        <v>229024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8" t="s">
        <v>142</v>
      </c>
      <c r="B298" s="227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4239035</v>
      </c>
      <c r="H301" s="1573"/>
      <c r="I301" s="1574"/>
      <c r="J301" s="1574"/>
      <c r="K301" s="1672">
        <f>SUM(C301:J301)</f>
        <v>4239035</v>
      </c>
      <c r="L301" s="1574">
        <v>3400000</v>
      </c>
    </row>
    <row r="302" spans="1:14" ht="13.5" customHeight="1" x14ac:dyDescent="0.2">
      <c r="A302" s="1287" t="s">
        <v>973</v>
      </c>
      <c r="B302" s="503" t="s">
        <v>570</v>
      </c>
      <c r="C302" s="1573"/>
      <c r="D302" s="1573"/>
      <c r="E302" s="1573">
        <v>197243</v>
      </c>
      <c r="F302" s="1573"/>
      <c r="G302" s="1573"/>
      <c r="H302" s="1573"/>
      <c r="I302" s="1574"/>
      <c r="J302" s="1574"/>
      <c r="K302" s="1672">
        <f>SUM(C302:J302)</f>
        <v>197243</v>
      </c>
      <c r="L302" s="1573"/>
    </row>
    <row r="303" spans="1:14" ht="12.75" customHeight="1" thickBot="1" x14ac:dyDescent="0.25">
      <c r="A303" s="1380" t="s">
        <v>806</v>
      </c>
      <c r="B303" s="1381" t="s">
        <v>565</v>
      </c>
      <c r="C303" s="1681">
        <f>SUM(C301:C302)</f>
        <v>0</v>
      </c>
      <c r="D303" s="1681">
        <f t="shared" ref="D303:L303" si="23">SUM(D301:D302)</f>
        <v>0</v>
      </c>
      <c r="E303" s="1681">
        <f t="shared" si="23"/>
        <v>197243</v>
      </c>
      <c r="F303" s="1681">
        <f t="shared" si="23"/>
        <v>0</v>
      </c>
      <c r="G303" s="1681">
        <f t="shared" si="23"/>
        <v>4239035</v>
      </c>
      <c r="H303" s="1681">
        <f t="shared" si="23"/>
        <v>0</v>
      </c>
      <c r="I303" s="1681">
        <f t="shared" si="23"/>
        <v>0</v>
      </c>
      <c r="J303" s="1681">
        <f t="shared" si="23"/>
        <v>0</v>
      </c>
      <c r="K303" s="1681">
        <f t="shared" si="23"/>
        <v>4436278</v>
      </c>
      <c r="L303" s="1681">
        <f t="shared" si="23"/>
        <v>3400000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3" t="s">
        <v>275</v>
      </c>
      <c r="B312" s="2284"/>
      <c r="C312" s="1674">
        <f>SUM(C303)</f>
        <v>0</v>
      </c>
      <c r="D312" s="1674">
        <f>SUM(D303)</f>
        <v>0</v>
      </c>
      <c r="E312" s="1674">
        <f>SUM(E303,E310)</f>
        <v>197243</v>
      </c>
      <c r="F312" s="1674">
        <f>SUM(F303)</f>
        <v>0</v>
      </c>
      <c r="G312" s="1674">
        <f>SUM(G303)</f>
        <v>4239035</v>
      </c>
      <c r="H312" s="1674">
        <f>SUM(H303,H310)</f>
        <v>0</v>
      </c>
      <c r="I312" s="1674">
        <f>SUM(I303)</f>
        <v>0</v>
      </c>
      <c r="J312" s="1674">
        <f>SUM(J303)</f>
        <v>0</v>
      </c>
      <c r="K312" s="1674">
        <f>SUM(K303,K310,K311)</f>
        <v>4436278</v>
      </c>
      <c r="L312" s="1674">
        <f>SUM(L303,L310,L311)</f>
        <v>3400000</v>
      </c>
      <c r="M312" s="539"/>
      <c r="N312" s="539"/>
    </row>
    <row r="313" spans="1:14" ht="13.5" thickTop="1" x14ac:dyDescent="0.2">
      <c r="A313" s="2279" t="s">
        <v>989</v>
      </c>
      <c r="B313" s="2280"/>
      <c r="C313" s="1677"/>
      <c r="D313" s="1677"/>
      <c r="E313" s="1677"/>
      <c r="F313" s="1677"/>
      <c r="G313" s="1677"/>
      <c r="H313" s="1677"/>
      <c r="I313" s="1677"/>
      <c r="J313" s="1677"/>
      <c r="K313" s="1696">
        <f>'Revenues 9-14'!H268-'Expenditures 15-22'!K312</f>
        <v>-1194593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2" t="s">
        <v>148</v>
      </c>
      <c r="B315" s="229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4" t="s">
        <v>892</v>
      </c>
      <c r="B317" s="229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535928</v>
      </c>
      <c r="F320" s="1574"/>
      <c r="G320" s="1574"/>
      <c r="H320" s="1574"/>
      <c r="I320" s="1574"/>
      <c r="J320" s="1574"/>
      <c r="K320" s="1672">
        <f t="shared" ref="K320:K327" si="24">SUM(C320:J320)</f>
        <v>535928</v>
      </c>
      <c r="L320" s="1574">
        <v>450555</v>
      </c>
      <c r="M320" s="539"/>
      <c r="N320" s="539"/>
    </row>
    <row r="321" spans="1:14" s="548" customFormat="1" x14ac:dyDescent="0.2">
      <c r="A321" s="1289" t="s">
        <v>297</v>
      </c>
      <c r="B321" s="567" t="s">
        <v>281</v>
      </c>
      <c r="C321" s="1574"/>
      <c r="D321" s="1574"/>
      <c r="E321" s="1574">
        <v>62169</v>
      </c>
      <c r="F321" s="1574"/>
      <c r="G321" s="1574"/>
      <c r="H321" s="1574"/>
      <c r="I321" s="1574"/>
      <c r="J321" s="1574"/>
      <c r="K321" s="1672">
        <f t="shared" si="24"/>
        <v>62169</v>
      </c>
      <c r="L321" s="1574">
        <v>89640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v>285209</v>
      </c>
      <c r="F323" s="1574"/>
      <c r="G323" s="1574"/>
      <c r="H323" s="1574"/>
      <c r="I323" s="1574"/>
      <c r="J323" s="1574"/>
      <c r="K323" s="1672">
        <f t="shared" si="24"/>
        <v>285209</v>
      </c>
      <c r="L323" s="1574">
        <v>227000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f>4650+3200</f>
        <v>7850</v>
      </c>
      <c r="F325" s="1574">
        <v>12030</v>
      </c>
      <c r="G325" s="1574"/>
      <c r="H325" s="1574"/>
      <c r="I325" s="1574"/>
      <c r="J325" s="1574"/>
      <c r="K325" s="1672">
        <f t="shared" si="24"/>
        <v>19880</v>
      </c>
      <c r="L325" s="1574">
        <v>9500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80248</v>
      </c>
      <c r="F327" s="1574"/>
      <c r="G327" s="1574"/>
      <c r="H327" s="1574"/>
      <c r="I327" s="1574"/>
      <c r="J327" s="1574"/>
      <c r="K327" s="1672">
        <f t="shared" si="24"/>
        <v>80248</v>
      </c>
      <c r="L327" s="1574">
        <v>45000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971404</v>
      </c>
      <c r="F330" s="1674">
        <f t="shared" si="25"/>
        <v>12030</v>
      </c>
      <c r="G330" s="1674">
        <f t="shared" si="25"/>
        <v>0</v>
      </c>
      <c r="H330" s="1674">
        <f t="shared" si="25"/>
        <v>0</v>
      </c>
      <c r="I330" s="1674">
        <f t="shared" si="25"/>
        <v>0</v>
      </c>
      <c r="J330" s="1674">
        <f t="shared" si="25"/>
        <v>0</v>
      </c>
      <c r="K330" s="1674">
        <f>SUM(K319:K329)</f>
        <v>983434</v>
      </c>
      <c r="L330" s="1674">
        <f>SUM(L319:L329)</f>
        <v>821695</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971404</v>
      </c>
      <c r="F342" s="1674">
        <f>SUM(F330)</f>
        <v>12030</v>
      </c>
      <c r="G342" s="1674">
        <f>SUM(G330)</f>
        <v>0</v>
      </c>
      <c r="H342" s="1674">
        <f>SUM(H330,H334,H340)</f>
        <v>0</v>
      </c>
      <c r="I342" s="1674">
        <f>SUM(I330)</f>
        <v>0</v>
      </c>
      <c r="J342" s="1674">
        <f>SUM(J330)</f>
        <v>0</v>
      </c>
      <c r="K342" s="1674">
        <f>SUM(K330,K334,K340)</f>
        <v>983434</v>
      </c>
      <c r="L342" s="1681">
        <f>SUM(L330,L334,L340,L341)</f>
        <v>821695</v>
      </c>
    </row>
    <row r="343" spans="1:14" ht="12.75" customHeight="1" thickTop="1" x14ac:dyDescent="0.2">
      <c r="A343" s="2281" t="s">
        <v>989</v>
      </c>
      <c r="B343" s="2282"/>
      <c r="C343" s="1673"/>
      <c r="D343" s="1673"/>
      <c r="E343" s="1673"/>
      <c r="F343" s="1673"/>
      <c r="G343" s="1673"/>
      <c r="H343" s="1673"/>
      <c r="I343" s="1673"/>
      <c r="J343" s="1673"/>
      <c r="K343" s="1689">
        <f>'Revenues 9-14'!J268-'Expenditures 15-22'!K342</f>
        <v>-139750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1" t="s">
        <v>960</v>
      </c>
      <c r="B345" s="227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5" t="s">
        <v>989</v>
      </c>
      <c r="B368" s="2296"/>
      <c r="C368" s="1694"/>
      <c r="D368" s="1694"/>
      <c r="E368" s="1677"/>
      <c r="F368" s="1677"/>
      <c r="G368" s="1677"/>
      <c r="H368" s="1677"/>
      <c r="I368" s="1677"/>
      <c r="J368" s="1676"/>
      <c r="K368" s="1672">
        <f>'Revenues 9-14'!K268-'Expenditures 15-22'!K367</f>
        <v>2098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schemas.microsoft.com/sharepoint/v3"/>
    <ds:schemaRef ds:uri="d21dc803-237d-4c68-8692-8d731fd29118"/>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2020-10-14T20:38:39Z</cp:lastPrinted>
  <dcterms:created xsi:type="dcterms:W3CDTF">2003-10-29T19:06:34Z</dcterms:created>
  <dcterms:modified xsi:type="dcterms:W3CDTF">2020-10-30T20:25:03Z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