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6B02AE6-A152-4E5D-BD19-A6FE6ADA3666}" xr6:coauthVersionLast="36" xr6:coauthVersionMax="36" xr10:uidLastSave="{00000000-0000-0000-0000-000000000000}"/>
  <bookViews>
    <workbookView xWindow="2293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8"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69" i="5" l="1"/>
  <c r="C32" i="3"/>
  <c r="K32" i="3"/>
  <c r="E46" i="188" l="1"/>
  <c r="F46" i="188"/>
  <c r="E45" i="188"/>
  <c r="E157" i="188"/>
  <c r="E143" i="188"/>
  <c r="M19" i="3" l="1"/>
  <c r="E150" i="188" l="1"/>
  <c r="F150" i="188" s="1"/>
  <c r="A15" i="188" l="1"/>
  <c r="E17" i="188"/>
  <c r="F17" i="188" s="1"/>
  <c r="E18" i="188"/>
  <c r="F18" i="188"/>
  <c r="E19" i="188"/>
  <c r="F19" i="188"/>
  <c r="E20" i="188"/>
  <c r="F20" i="188"/>
  <c r="E21" i="188"/>
  <c r="F21" i="188"/>
  <c r="E22" i="188"/>
  <c r="F22" i="188"/>
  <c r="E23" i="188"/>
  <c r="F23" i="188"/>
  <c r="E24" i="188"/>
  <c r="F24" i="188"/>
  <c r="E25" i="188"/>
  <c r="F25" i="188"/>
  <c r="E26" i="188"/>
  <c r="F26" i="188"/>
  <c r="E27" i="188"/>
  <c r="F27" i="188"/>
  <c r="E28" i="188"/>
  <c r="F28" i="188"/>
  <c r="E29" i="188"/>
  <c r="F29" i="188"/>
  <c r="E30" i="188"/>
  <c r="F30" i="188"/>
  <c r="E31" i="188"/>
  <c r="F31" i="188"/>
  <c r="E32" i="188"/>
  <c r="F32" i="188"/>
  <c r="E33" i="188"/>
  <c r="F33" i="188" s="1"/>
  <c r="E34" i="188"/>
  <c r="F34" i="188"/>
  <c r="E35" i="188"/>
  <c r="F35" i="188"/>
  <c r="E36" i="188"/>
  <c r="F36" i="188"/>
  <c r="E37" i="188"/>
  <c r="F37" i="188"/>
  <c r="E38" i="188"/>
  <c r="F38" i="188"/>
  <c r="E39" i="188"/>
  <c r="F39" i="188"/>
  <c r="E40" i="188"/>
  <c r="F40" i="188"/>
  <c r="E41" i="188"/>
  <c r="F41" i="188" s="1"/>
  <c r="E42" i="188"/>
  <c r="F42" i="188" s="1"/>
  <c r="E43" i="188"/>
  <c r="F43" i="188" s="1"/>
  <c r="E44" i="188"/>
  <c r="F44" i="188"/>
  <c r="F45" i="188"/>
  <c r="E47" i="188"/>
  <c r="F47" i="188"/>
  <c r="E48" i="188"/>
  <c r="F48" i="188"/>
  <c r="E49" i="188"/>
  <c r="F49" i="188"/>
  <c r="E50" i="188"/>
  <c r="F50" i="188"/>
  <c r="E51" i="188"/>
  <c r="F51" i="188" s="1"/>
  <c r="E52" i="188"/>
  <c r="F52" i="188" s="1"/>
  <c r="E53" i="188"/>
  <c r="F53" i="188"/>
  <c r="E54" i="188"/>
  <c r="F54" i="188"/>
  <c r="E55" i="188"/>
  <c r="F55" i="188"/>
  <c r="E56" i="188"/>
  <c r="F56" i="188"/>
  <c r="E57" i="188"/>
  <c r="F57" i="188"/>
  <c r="E58" i="188"/>
  <c r="F58" i="188"/>
  <c r="E59" i="188"/>
  <c r="F59" i="188"/>
  <c r="E60" i="188"/>
  <c r="F60" i="188"/>
  <c r="E61" i="188"/>
  <c r="F61" i="188"/>
  <c r="E62" i="188"/>
  <c r="F62" i="188"/>
  <c r="E63" i="188"/>
  <c r="F63" i="188"/>
  <c r="E64" i="188"/>
  <c r="F64" i="188"/>
  <c r="E65" i="188"/>
  <c r="F65" i="188"/>
  <c r="E66" i="188"/>
  <c r="F66" i="188"/>
  <c r="E67" i="188"/>
  <c r="F67" i="188"/>
  <c r="E68" i="188"/>
  <c r="F68" i="188"/>
  <c r="E69" i="188"/>
  <c r="F69" i="188"/>
  <c r="E70" i="188"/>
  <c r="F70" i="188"/>
  <c r="E71" i="188"/>
  <c r="F71" i="188"/>
  <c r="E72" i="188"/>
  <c r="F72" i="188"/>
  <c r="E73" i="188"/>
  <c r="F73" i="188"/>
  <c r="E74" i="188"/>
  <c r="F74" i="188"/>
  <c r="E75" i="188"/>
  <c r="F75" i="188"/>
  <c r="E76" i="188"/>
  <c r="F76" i="188"/>
  <c r="E77" i="188"/>
  <c r="F77" i="188"/>
  <c r="E78" i="188"/>
  <c r="F78" i="188"/>
  <c r="E79" i="188"/>
  <c r="F79" i="188" s="1"/>
  <c r="E80" i="188"/>
  <c r="F80" i="188"/>
  <c r="E81" i="188"/>
  <c r="F81" i="188"/>
  <c r="E82" i="188"/>
  <c r="F82" i="188"/>
  <c r="E83" i="188"/>
  <c r="F83" i="188"/>
  <c r="E84" i="188"/>
  <c r="F84" i="188"/>
  <c r="E85" i="188"/>
  <c r="F85" i="188"/>
  <c r="E86" i="188"/>
  <c r="F86" i="188" s="1"/>
  <c r="E87" i="188"/>
  <c r="F87" i="188"/>
  <c r="E88" i="188"/>
  <c r="F88" i="188" s="1"/>
  <c r="E89" i="188"/>
  <c r="F89" i="188"/>
  <c r="E90" i="188"/>
  <c r="F90" i="188" s="1"/>
  <c r="E91" i="188"/>
  <c r="F91" i="188"/>
  <c r="E92" i="188"/>
  <c r="F92" i="188"/>
  <c r="E93" i="188"/>
  <c r="F93" i="188"/>
  <c r="E94" i="188"/>
  <c r="F94" i="188"/>
  <c r="E95" i="188"/>
  <c r="F95" i="188"/>
  <c r="E96" i="188"/>
  <c r="F96" i="188"/>
  <c r="E97" i="188"/>
  <c r="F97" i="188"/>
  <c r="E98" i="188"/>
  <c r="F98" i="188"/>
  <c r="E99" i="188"/>
  <c r="F99" i="188"/>
  <c r="E100" i="188"/>
  <c r="F100" i="188"/>
  <c r="E101" i="188"/>
  <c r="F101" i="188"/>
  <c r="E102" i="188"/>
  <c r="F102" i="188" s="1"/>
  <c r="E103" i="188"/>
  <c r="F103" i="188"/>
  <c r="E104" i="188"/>
  <c r="F104" i="188"/>
  <c r="E105" i="188"/>
  <c r="F105" i="188"/>
  <c r="E106" i="188"/>
  <c r="F106" i="188"/>
  <c r="E107" i="188"/>
  <c r="F107" i="188"/>
  <c r="E108" i="188"/>
  <c r="F108" i="188"/>
  <c r="E109" i="188"/>
  <c r="F109" i="188"/>
  <c r="E110" i="188"/>
  <c r="F110" i="188"/>
  <c r="E111" i="188"/>
  <c r="F111" i="188" s="1"/>
  <c r="E112" i="188"/>
  <c r="F112" i="188"/>
  <c r="E113" i="188"/>
  <c r="F113" i="188"/>
  <c r="E114" i="188"/>
  <c r="F114" i="188" s="1"/>
  <c r="E115" i="188"/>
  <c r="F115" i="188"/>
  <c r="E116" i="188"/>
  <c r="F116" i="188"/>
  <c r="E117" i="188"/>
  <c r="F117" i="188"/>
  <c r="E118" i="188"/>
  <c r="F118" i="188"/>
  <c r="E119" i="188"/>
  <c r="F119" i="188"/>
  <c r="E120" i="188"/>
  <c r="F120" i="188"/>
  <c r="E121" i="188"/>
  <c r="F121" i="188"/>
  <c r="E122" i="188"/>
  <c r="F122" i="188"/>
  <c r="E123" i="188"/>
  <c r="F123" i="188"/>
  <c r="E124" i="188"/>
  <c r="F124" i="188"/>
  <c r="E125" i="188"/>
  <c r="F125" i="188"/>
  <c r="E126" i="188"/>
  <c r="F126" i="188" s="1"/>
  <c r="E127" i="188"/>
  <c r="F127" i="188"/>
  <c r="E128" i="188"/>
  <c r="F128" i="188"/>
  <c r="E129" i="188"/>
  <c r="F129" i="188"/>
  <c r="E130" i="188"/>
  <c r="F130" i="188" s="1"/>
  <c r="E131" i="188"/>
  <c r="F131" i="188"/>
  <c r="E132" i="188"/>
  <c r="F132" i="188"/>
  <c r="E133" i="188"/>
  <c r="F133" i="188"/>
  <c r="E134" i="188"/>
  <c r="F134" i="188"/>
  <c r="E135" i="188"/>
  <c r="F135" i="188"/>
  <c r="E136" i="188"/>
  <c r="F136" i="188"/>
  <c r="E137" i="188"/>
  <c r="F137" i="188"/>
  <c r="E138" i="188"/>
  <c r="F138" i="188"/>
  <c r="E139" i="188"/>
  <c r="F139" i="188"/>
  <c r="E140" i="188"/>
  <c r="F140" i="188"/>
  <c r="E141" i="188"/>
  <c r="F141" i="188"/>
  <c r="E142" i="188"/>
  <c r="F142" i="188"/>
  <c r="F143" i="188"/>
  <c r="E144" i="188"/>
  <c r="F144" i="188"/>
  <c r="E145" i="188"/>
  <c r="F145" i="188"/>
  <c r="E146" i="188"/>
  <c r="F146" i="188"/>
  <c r="E147" i="188"/>
  <c r="F147" i="188" s="1"/>
  <c r="E148" i="188"/>
  <c r="F148" i="188" s="1"/>
  <c r="E149" i="188"/>
  <c r="F149" i="188"/>
  <c r="E151" i="188"/>
  <c r="F151" i="188"/>
  <c r="E152" i="188"/>
  <c r="F152" i="188"/>
  <c r="E153" i="188"/>
  <c r="F153" i="188"/>
  <c r="E154" i="188"/>
  <c r="F154" i="188"/>
  <c r="E155" i="188"/>
  <c r="F155" i="188"/>
  <c r="E156" i="188"/>
  <c r="F156" i="188"/>
  <c r="D157" i="188"/>
  <c r="F157" i="188" l="1"/>
  <c r="E40" i="108" l="1"/>
  <c r="G40" i="108"/>
  <c r="L19" i="186"/>
  <c r="I24" i="185"/>
  <c r="I15" i="186" s="1"/>
  <c r="I21" i="186" s="1"/>
  <c r="D45" i="174" s="1"/>
  <c r="F24" i="185"/>
  <c r="F15" i="186" s="1"/>
  <c r="I19" i="185"/>
  <c r="G19" i="185"/>
  <c r="G15" i="186" s="1"/>
  <c r="G21" i="186" s="1"/>
  <c r="F19" i="185"/>
  <c r="E19" i="185"/>
  <c r="I15" i="185"/>
  <c r="G15" i="185"/>
  <c r="F15" i="185"/>
  <c r="E15" i="185"/>
  <c r="E15" i="186" s="1"/>
  <c r="E21" i="186" s="1"/>
  <c r="I22" i="179"/>
  <c r="G21" i="179"/>
  <c r="G22" i="179" s="1"/>
  <c r="F21" i="179"/>
  <c r="F22" i="179" s="1"/>
  <c r="E21" i="179"/>
  <c r="E22" i="179" s="1"/>
  <c r="F21" i="186" l="1"/>
  <c r="D35" i="171" s="1"/>
  <c r="J15" i="184"/>
  <c r="L27" i="186" l="1"/>
  <c r="L26" i="186"/>
  <c r="L25" i="186"/>
  <c r="L24" i="186"/>
  <c r="L23" i="186"/>
  <c r="L22" i="186"/>
  <c r="L21" i="186"/>
  <c r="L20"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K9" i="12" l="1"/>
  <c r="K7" i="12"/>
  <c r="J8" i="12"/>
  <c r="J6" i="12"/>
  <c r="H5" i="12"/>
  <c r="H14" i="12" s="1"/>
  <c r="C213" i="5" l="1"/>
  <c r="E4" i="3" l="1"/>
  <c r="F4" i="3"/>
  <c r="G4" i="3"/>
  <c r="I4" i="3"/>
  <c r="E325" i="29"/>
  <c r="E322" i="29"/>
  <c r="E321" i="29"/>
  <c r="E320" i="29"/>
  <c r="J4" i="3"/>
  <c r="F9" i="3"/>
  <c r="C4" i="3"/>
  <c r="D9" i="3"/>
  <c r="C9"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B7885" i="106" l="1"/>
  <c r="D7885" i="106" s="1"/>
  <c r="B7884" i="106"/>
  <c r="D7884" i="106" s="1"/>
  <c r="B7883" i="106"/>
  <c r="B7882" i="106"/>
  <c r="D7882" i="106" s="1"/>
  <c r="D7883" i="106"/>
  <c r="D7836" i="106" l="1"/>
  <c r="J88" i="28" l="1"/>
  <c r="J85" i="28"/>
  <c r="J90" i="28" l="1"/>
  <c r="B7819" i="106"/>
  <c r="D7819" i="106" s="1"/>
  <c r="B7818" i="106"/>
  <c r="D7818" i="106" s="1"/>
  <c r="D82" i="36" l="1"/>
  <c r="D81" i="36"/>
  <c r="B7820" i="106" l="1"/>
  <c r="D7820" i="106" s="1"/>
  <c r="B7821" i="106"/>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C33" i="173" s="1"/>
  <c r="L18" i="179"/>
  <c r="L17" i="179"/>
  <c r="L16" i="179"/>
  <c r="L15" i="179"/>
  <c r="L14" i="179"/>
  <c r="L13" i="179"/>
  <c r="L12" i="179"/>
  <c r="L11" i="179"/>
  <c r="E11" i="108" l="1"/>
  <c r="C34" i="173"/>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39" i="3"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J15" i="12" s="1"/>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J49" i="8" s="1"/>
  <c r="B4172" i="106" s="1"/>
  <c r="D4172" i="106"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3725" i="106"/>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B77" i="106" l="1"/>
  <c r="D77" i="106" s="1"/>
  <c r="C39" i="3"/>
  <c r="B92" i="106" s="1"/>
  <c r="D92" i="106" s="1"/>
  <c r="J23" i="12"/>
  <c r="B6124" i="106"/>
  <c r="D6124" i="106" s="1"/>
  <c r="J38" i="3"/>
  <c r="B6214" i="106" s="1"/>
  <c r="D6214" i="106" s="1"/>
  <c r="H342" i="29"/>
  <c r="D76" i="36"/>
  <c r="D24" i="37"/>
  <c r="B4270" i="106" s="1"/>
  <c r="D4270" i="106" s="1"/>
  <c r="F50" i="34"/>
  <c r="F77" i="4"/>
  <c r="B3255" i="106" s="1"/>
  <c r="D3255" i="106" s="1"/>
  <c r="F42" i="34"/>
  <c r="I129" i="29"/>
  <c r="B7037" i="106" s="1"/>
  <c r="D7037" i="106" s="1"/>
  <c r="C129" i="29"/>
  <c r="H33" i="118"/>
  <c r="B6995" i="106"/>
  <c r="D6995" i="106" s="1"/>
  <c r="G39" i="108"/>
  <c r="F52" i="34"/>
  <c r="B7831" i="106" s="1"/>
  <c r="D7831" i="106" s="1"/>
  <c r="D36" i="108"/>
  <c r="B123" i="106"/>
  <c r="D123" i="106" s="1"/>
  <c r="B131" i="106"/>
  <c r="D131" i="106" s="1"/>
  <c r="E38" i="3"/>
  <c r="B157" i="106"/>
  <c r="D157" i="106" s="1"/>
  <c r="F38" i="3"/>
  <c r="B2475" i="106" s="1"/>
  <c r="D2475" i="106" s="1"/>
  <c r="B180" i="106"/>
  <c r="D180" i="106" s="1"/>
  <c r="G38" i="3"/>
  <c r="B2477" i="106" s="1"/>
  <c r="D2477" i="106" s="1"/>
  <c r="G14" i="4"/>
  <c r="B2609" i="106" s="1"/>
  <c r="D2609" i="106" s="1"/>
  <c r="F67" i="34"/>
  <c r="B203" i="106"/>
  <c r="D203" i="106" s="1"/>
  <c r="H38" i="3"/>
  <c r="B2888" i="106"/>
  <c r="D2888" i="106" s="1"/>
  <c r="I38" i="3"/>
  <c r="B2911" i="106" s="1"/>
  <c r="D2911" i="106" s="1"/>
  <c r="B3565" i="106"/>
  <c r="D3565" i="106" s="1"/>
  <c r="K38" i="3"/>
  <c r="B3566" i="106" s="1"/>
  <c r="D3566" i="106" s="1"/>
  <c r="B7696" i="106"/>
  <c r="D7696" i="106" s="1"/>
  <c r="E66" i="184"/>
  <c r="N66" i="184" s="1"/>
  <c r="B7135" i="106"/>
  <c r="D7135" i="106" s="1"/>
  <c r="E58" i="184"/>
  <c r="N58" i="184" s="1"/>
  <c r="F37" i="34"/>
  <c r="B7829" i="106" s="1"/>
  <c r="D7829" i="106" s="1"/>
  <c r="F34" i="34"/>
  <c r="B7826" i="106" s="1"/>
  <c r="D7826" i="106" s="1"/>
  <c r="D68" i="36"/>
  <c r="B7189" i="106"/>
  <c r="D7189" i="106" s="1"/>
  <c r="E64" i="184"/>
  <c r="N64" i="184" s="1"/>
  <c r="C352" i="29"/>
  <c r="H76" i="4"/>
  <c r="B3298" i="106" s="1"/>
  <c r="D3298" i="106" s="1"/>
  <c r="D31" i="108"/>
  <c r="E16" i="184"/>
  <c r="H16" i="184" s="1"/>
  <c r="B7198" i="106"/>
  <c r="D7198" i="106" s="1"/>
  <c r="E65" i="184"/>
  <c r="N65" i="184" s="1"/>
  <c r="B7180" i="106"/>
  <c r="D7180" i="106" s="1"/>
  <c r="E63" i="184"/>
  <c r="N63" i="184" s="1"/>
  <c r="B7171" i="106"/>
  <c r="D7171" i="106" s="1"/>
  <c r="E62" i="184"/>
  <c r="N62" i="184" s="1"/>
  <c r="F72" i="34"/>
  <c r="F36" i="34"/>
  <c r="B7828" i="106" s="1"/>
  <c r="D7828" i="106" s="1"/>
  <c r="B7162" i="106"/>
  <c r="D7162" i="106" s="1"/>
  <c r="E61" i="184"/>
  <c r="N61" i="184" s="1"/>
  <c r="H365" i="29"/>
  <c r="B7242" i="106" s="1"/>
  <c r="D7242" i="106" s="1"/>
  <c r="B7126" i="106"/>
  <c r="D7126" i="106" s="1"/>
  <c r="E57" i="184"/>
  <c r="H12" i="184"/>
  <c r="G33" i="108"/>
  <c r="E17" i="184"/>
  <c r="H17" i="184" s="1"/>
  <c r="D22" i="37"/>
  <c r="F64" i="34"/>
  <c r="G30" i="108"/>
  <c r="B7153" i="106"/>
  <c r="D7153" i="106" s="1"/>
  <c r="E60" i="184"/>
  <c r="N60" i="184" s="1"/>
  <c r="B6289" i="106"/>
  <c r="D6289" i="106" s="1"/>
  <c r="B1274" i="106"/>
  <c r="D1274" i="106" s="1"/>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J25" i="12" s="1"/>
  <c r="B7737" i="106" s="1"/>
  <c r="D7737" i="106" s="1"/>
  <c r="B7730" i="106"/>
  <c r="D7730" i="106" s="1"/>
  <c r="K41" i="3" l="1"/>
  <c r="B3568" i="106" s="1"/>
  <c r="D3568" i="106" s="1"/>
  <c r="B5770" i="106"/>
  <c r="D5770" i="106" s="1"/>
  <c r="B2504" i="106"/>
  <c r="D2504" i="106" s="1"/>
  <c r="N21" i="3"/>
  <c r="B282" i="106" s="1"/>
  <c r="D282" i="106" s="1"/>
  <c r="I41" i="3"/>
  <c r="B5527" i="106"/>
  <c r="D5527" i="106" s="1"/>
  <c r="B1381" i="106"/>
  <c r="D1381" i="106" s="1"/>
  <c r="F41" i="108"/>
  <c r="G43" i="108" s="1"/>
  <c r="B2535" i="106"/>
  <c r="D2535" i="106" s="1"/>
  <c r="D75" i="36"/>
  <c r="B6216" i="106"/>
  <c r="D6216" i="106" s="1"/>
  <c r="E367" i="29"/>
  <c r="B3636" i="106" s="1"/>
  <c r="D3636" i="106" s="1"/>
  <c r="B3635" i="106"/>
  <c r="N23" i="3"/>
  <c r="B284" i="106" s="1"/>
  <c r="D284" i="106" s="1"/>
  <c r="B7220" i="106"/>
  <c r="D7220" i="106" s="1"/>
  <c r="F75" i="34"/>
  <c r="B7886" i="106" s="1"/>
  <c r="D7886" i="106" s="1"/>
  <c r="L114" i="29"/>
  <c r="B7222" i="106"/>
  <c r="D7222" i="106" s="1"/>
  <c r="F76" i="34"/>
  <c r="B7887" i="106" s="1"/>
  <c r="D7887" i="106" s="1"/>
  <c r="E19" i="184"/>
  <c r="L16" i="11"/>
  <c r="B2061" i="106" s="1"/>
  <c r="D2061" i="106" s="1"/>
  <c r="K342" i="29"/>
  <c r="F13" i="34" s="1"/>
  <c r="H19" i="184"/>
  <c r="L20" i="184" s="1"/>
  <c r="B7235" i="106"/>
  <c r="D7235"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D52" i="36" l="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J20" i="4"/>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<sst xmlns="http://schemas.openxmlformats.org/spreadsheetml/2006/main" count="5622" uniqueCount="2259">
  <si>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</si>
  <si>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</si>
  <si>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</si>
  <si>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</si>
  <si>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</si>
  <si>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</si>
  <si>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</si>
  <si>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</si>
  <si>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</si>
  <si>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</si>
  <si>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</si>
  <si>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</si>
  <si>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</si>
  <si>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</si>
  <si>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</si>
  <si>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</si>
  <si>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</si>
  <si>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</si>
  <si>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</si>
  <si>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</si>
  <si>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</si>
  <si>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</si>
  <si>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</si>
  <si>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</si>
  <si>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</si>
  <si>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</si>
  <si>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</si>
  <si>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</si>
  <si>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</si>
  <si>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</si>
  <si>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</si>
  <si>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</si>
  <si>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</si>
  <si>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</si>
  <si>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</si>
  <si>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</si>
  <si>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</si>
  <si>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</si>
  <si>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</si>
  <si>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</si>
  <si>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</si>
  <si>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</si>
  <si>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</si>
  <si>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</si>
  <si>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</si>
  <si>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</si>
  <si>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</si>
  <si>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</si>
  <si>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</si>
  <si>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</si>
  <si>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</si>
  <si>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</si>
  <si>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</si>
  <si>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</si>
  <si>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</si>
  <si>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</si>
  <si>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</si>
  <si>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</si>
  <si>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</si>
  <si>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</si>
  <si>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</si>
  <si>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</si>
  <si>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</si>
  <si>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</si>
  <si>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</si>
  <si>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</si>
  <si>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</si>
  <si>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</si>
  <si>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</si>
  <si>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</si>
  <si>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</si>
  <si>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</si>
  <si>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</si>
  <si>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</si>
  <si>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</si>
  <si>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</si>
  <si>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</si>
  <si>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</si>
  <si>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</si>
  <si>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</si>
  <si>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</si>
  <si>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</si>
  <si>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</si>
  <si>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</si>
  <si>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</si>
  <si>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</si>
  <si>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</si>
  <si>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</si>
  <si>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</si>
  <si>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</si>
  <si>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</si>
  <si>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</si>
  <si>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</si>
  <si>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</si>
  <si>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</si>
  <si>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</si>
  <si>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</si>
  <si>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</si>
  <si>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</si>
  <si>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</si>
  <si>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</si>
  <si>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</si>
  <si>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</si>
  <si>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</si>
  <si>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</si>
  <si>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</si>
  <si>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</si>
  <si>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</si>
  <si>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</si>
  <si>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</si>
  <si>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</si>
  <si>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</si>
  <si>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</si>
  <si>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</si>
  <si>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</si>
  <si>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</si>
  <si>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</si>
  <si>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</si>
  <si>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</si>
  <si>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</si>
  <si>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</si>
  <si>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</si>
  <si>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</si>
  <si>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</si>
  <si>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</si>
  <si>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</si>
  <si>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</si>
  <si>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</si>
  <si>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</si>
  <si>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</si>
  <si>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</si>
  <si>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</si>
  <si>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</si>
  <si>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</si>
  <si>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</si>
  <si>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</si>
  <si>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</si>
  <si>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</si>
  <si>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</si>
  <si>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</si>
  <si>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</si>
  <si>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</si>
  <si>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</si>
  <si>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</si>
  <si>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</si>
  <si>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</si>
  <si>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</si>
  <si>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</si>
  <si>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</si>
  <si>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</si>
  <si>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</si>
  <si>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</si>
  <si>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</si>
  <si>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</si>
  <si>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</si>
  <si>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</si>
  <si>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</si>
  <si>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</si>
  <si>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</si>
  <si>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</si>
  <si>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</si>
  <si>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</si>
  <si>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</si>
  <si>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</si>
  <si>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</si>
  <si>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</si>
  <si>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</si>
  <si>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</si>
  <si>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</si>
  <si>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</si>
  <si>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</si>
  <si>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</si>
  <si>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</si>
  <si>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</si>
  <si>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</si>
  <si>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</si>
  <si>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</si>
  <si>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</si>
  <si>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</si>
  <si>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</si>
  <si>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</si>
  <si>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</si>
  <si>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</si>
  <si>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</si>
  <si>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</si>
  <si>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</si>
  <si>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</si>
  <si>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</si>
  <si>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</si>
  <si>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</si>
  <si>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</si>
  <si>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</si>
  <si>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</si>
  <si>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</si>
  <si>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</si>
  <si>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</si>
  <si>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</si>
  <si>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</si>
  <si>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</si>
  <si>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</si>
  <si>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</si>
  <si>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</si>
  <si>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</si>
  <si>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</si>
  <si>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</si>
  <si>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</si>
  <si>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</si>
  <si>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</si>
  <si>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</si>
  <si>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</si>
  <si>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</si>
  <si>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</si>
  <si>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</si>
  <si>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</si>
  <si>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</si>
  <si>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</si>
  <si>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</si>
  <si>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</si>
  <si>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</si>
  <si>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</si>
  <si>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</si>
  <si>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</si>
  <si>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</si>
  <si>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</si>
  <si>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</si>
  <si>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</si>
  <si>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</si>
  <si>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</si>
  <si>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</si>
  <si>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</si>
  <si>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</si>
  <si>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</si>
  <si>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</si>
  <si>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</si>
  <si>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</si>
  <si>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</si>
  <si>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</si>
  <si>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</si>
  <si>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</si>
  <si>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</si>
  <si>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</si>
  <si>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</si>
  <si>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</si>
  <si>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</si>
  <si>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</si>
  <si>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</si>
  <si>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</si>
  <si>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</si>
  <si>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</si>
  <si>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</si>
  <si>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</si>
  <si>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</si>
  <si>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</si>
  <si>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</si>
  <si>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</si>
  <si>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</si>
  <si>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</si>
  <si>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</si>
  <si>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</si>
  <si>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</si>
  <si>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</si>
  <si>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</si>
  <si>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</si>
  <si>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</si>
  <si>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</si>
  <si>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</si>
  <si>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</si>
  <si>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</si>
  <si>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</si>
  <si>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</si>
  <si>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</si>
  <si>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</si>
  <si>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</si>
  <si>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</si>
  <si>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</si>
  <si>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</si>
  <si>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</si>
  <si>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</si>
  <si>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</si>
  <si>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</si>
  <si>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</si>
  <si>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</si>
  <si>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</si>
  <si>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</si>
  <si>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</si>
  <si>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</si>
  <si>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</si>
  <si>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</si>
  <si>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</si>
  <si>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</si>
  <si>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</si>
  <si>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</si>
  <si>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</si>
  <si>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</si>
  <si>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</si>
  <si>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</si>
  <si>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</si>
  <si>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</si>
  <si>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</si>
  <si>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</si>
  <si>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</si>
  <si>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</si>
  <si>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</si>
  <si>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</si>
  <si>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</si>
  <si>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</si>
  <si>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</si>
  <si>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</si>
  <si>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</si>
  <si>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</si>
  <si>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</si>
  <si>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</si>
  <si>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</si>
  <si>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</si>
  <si>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</si>
  <si>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</si>
  <si>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</si>
  <si>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</si>
  <si>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</si>
  <si>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</si>
  <si>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</si>
  <si>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</si>
  <si>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</si>
  <si>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</si>
  <si>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</si>
  <si>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</si>
  <si>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</si>
  <si>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</si>
  <si>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</si>
  <si>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</si>
  <si>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</si>
  <si>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</si>
  <si>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</si>
  <si>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</si>
  <si>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</si>
  <si>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</si>
  <si>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</si>
  <si>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</si>
  <si>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</si>
  <si>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</si>
  <si>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</si>
  <si>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</si>
  <si>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</si>
  <si>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</si>
  <si>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</si>
  <si>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</si>
  <si>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</si>
  <si>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</si>
  <si>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</si>
  <si>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</si>
  <si>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</si>
  <si>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</si>
  <si>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</si>
  <si>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</si>
  <si>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</si>
  <si>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</si>
  <si>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</si>
  <si>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</si>
  <si>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</si>
  <si>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</si>
  <si>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</si>
  <si>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</si>
  <si>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</si>
  <si>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</si>
  <si>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</si>
  <si>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</si>
  <si>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</si>
  <si>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</si>
  <si>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</si>
  <si>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</si>
  <si>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</si>
  <si>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</si>
  <si>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</si>
  <si>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</si>
  <si>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</si>
  <si>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</si>
  <si>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</si>
  <si>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</si>
  <si>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</si>
  <si>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</si>
  <si>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</si>
  <si>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</si>
  <si>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</si>
  <si>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</si>
  <si>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</si>
  <si>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</si>
  <si>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</si>
  <si>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</si>
  <si>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</si>
  <si>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</si>
  <si>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</si>
  <si>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</si>
  <si>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</si>
  <si>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</si>
  <si>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</si>
  <si>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</si>
  <si>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</si>
  <si>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</si>
  <si>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</si>
  <si>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</si>
  <si>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</si>
  <si>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</si>
  <si>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</si>
  <si>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</si>
  <si>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</si>
  <si>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</si>
  <si>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</si>
  <si>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</si>
  <si>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</si>
  <si>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</si>
  <si>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</si>
  <si>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</si>
  <si>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</si>
  <si>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</si>
  <si>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</si>
  <si>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</si>
  <si>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</si>
  <si>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</si>
  <si>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</si>
  <si>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</si>
  <si>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</si>
  <si>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</si>
  <si>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</si>
  <si>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</si>
  <si>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</si>
  <si>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</si>
  <si>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</si>
  <si>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</si>
  <si>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</si>
  <si>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</si>
  <si>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</si>
  <si>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</si>
  <si>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</si>
  <si>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</si>
  <si>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</si>
  <si>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</si>
  <si>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</si>
  <si>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</si>
  <si>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</si>
  <si>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</si>
  <si>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</si>
  <si>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</si>
  <si>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</si>
  <si>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</si>
  <si>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</si>
  <si>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</si>
  <si>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</si>
  <si>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</si>
  <si>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</si>
  <si>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</si>
  <si>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</si>
  <si>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</si>
  <si>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</si>
  <si>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</si>
  <si>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</si>
  <si>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</si>
  <si>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</si>
  <si>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</si>
  <si>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</si>
  <si>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</si>
  <si>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</si>
  <si>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</si>
  <si>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</si>
  <si>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</si>
  <si>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</si>
  <si>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</si>
  <si>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</si>
  <si>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</si>
  <si>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</si>
  <si>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</si>
  <si>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</si>
  <si>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</si>
  <si>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</si>
  <si>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</si>
  <si>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</si>
  <si>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</si>
  <si>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</si>
  <si>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</si>
  <si>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</si>
  <si>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</si>
  <si>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</si>
  <si>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</si>
  <si>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</si>
  <si>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</si>
  <si>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</si>
  <si>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</si>
  <si>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</si>
  <si>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</si>
  <si>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</si>
  <si>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</si>
  <si>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</si>
  <si>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</si>
  <si>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</si>
  <si>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</si>
  <si>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</si>
  <si>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</si>
  <si>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</si>
  <si>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</si>
  <si>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</si>
  <si>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</si>
  <si>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</si>
  <si>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</si>
  <si>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</si>
  <si>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</si>
  <si>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</si>
  <si>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</si>
  <si>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</si>
  <si>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</si>
  <si>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</si>
  <si>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</si>
  <si>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</si>
  <si>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</si>
  <si>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</si>
  <si>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</si>
  <si>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</si>
  <si>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</si>
  <si>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</si>
  <si>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</si>
  <si>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</si>
  <si>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</si>
  <si>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</si>
  <si>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</si>
  <si>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</si>
  <si>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</si>
  <si>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</si>
  <si>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</si>
  <si>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</si>
  <si>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</si>
  <si>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</si>
  <si>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</si>
  <si>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</si>
  <si>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</si>
  <si>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</si>
  <si>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</si>
  <si>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</si>
  <si>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</si>
  <si>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</si>
  <si>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</si>
  <si>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</si>
  <si>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</si>
  <si>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</si>
  <si>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</si>
  <si>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</si>
  <si>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</si>
  <si>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</si>
  <si>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</si>
  <si>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</si>
  <si>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</si>
  <si>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</si>
  <si>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</si>
  <si>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</si>
  <si>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</si>
  <si>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</si>
  <si>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</si>
  <si>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</si>
  <si>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</si>
  <si>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</si>
  <si>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</si>
  <si>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</si>
  <si>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</si>
  <si>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</si>
  <si>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</si>
  <si>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</si>
  <si>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</si>
  <si>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</si>
  <si>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</si>
  <si>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</si>
  <si>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</si>
  <si>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</si>
  <si>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</si>
  <si>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</si>
  <si>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</si>
  <si>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</si>
  <si>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</si>
  <si>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</si>
  <si>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</si>
  <si>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</si>
  <si>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</si>
  <si>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</si>
  <si>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</si>
  <si>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</si>
  <si>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</si>
  <si>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</si>
  <si>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</si>
  <si>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</si>
  <si>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</si>
  <si>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</si>
  <si>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</si>
  <si>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</si>
  <si>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</si>
  <si>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</si>
  <si>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</si>
  <si>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</si>
  <si>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</si>
  <si>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</si>
  <si>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</si>
  <si>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</si>
  <si>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</si>
  <si>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</si>
  <si>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</si>
  <si>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</si>
  <si>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</si>
  <si>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</si>
  <si>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</si>
  <si>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</si>
  <si>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</si>
  <si>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</si>
  <si>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</si>
  <si>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</si>
  <si>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</si>
  <si>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</si>
  <si>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</si>
  <si>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</si>
  <si>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</si>
  <si>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</si>
  <si>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</si>
  <si>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</si>
  <si>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</si>
  <si>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</si>
  <si>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</si>
  <si>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</si>
  <si>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</si>
  <si>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</si>
  <si>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</si>
  <si>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</si>
  <si>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</si>
  <si>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</si>
  <si>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</si>
  <si>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</si>
  <si>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</si>
  <si>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</si>
  <si>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</si>
  <si>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</si>
  <si>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</si>
  <si>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</si>
  <si>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</si>
  <si>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</si>
  <si>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</si>
  <si>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</si>
  <si>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</si>
  <si>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</si>
  <si>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</si>
  <si>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</si>
  <si>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</si>
  <si>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</si>
  <si>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</si>
  <si>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</si>
  <si>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</si>
  <si>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</si>
  <si>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</si>
  <si>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</si>
  <si>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</si>
  <si>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</si>
  <si>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</si>
  <si>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</si>
  <si>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</si>
  <si>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</si>
  <si>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</si>
  <si>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</si>
  <si>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</si>
  <si>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</si>
  <si>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</si>
  <si>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</si>
  <si>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</si>
  <si>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</si>
  <si>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</si>
  <si>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</si>
  <si>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</si>
  <si>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</si>
  <si>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</si>
  <si>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</si>
  <si>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</si>
  <si>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</si>
  <si>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</si>
  <si>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</si>
  <si>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</si>
  <si>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</si>
  <si>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</si>
  <si>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</si>
  <si>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</si>
  <si>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</si>
  <si>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</si>
  <si>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</si>
  <si>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</si>
  <si>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</si>
  <si>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</si>
  <si>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</si>
  <si>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</si>
  <si>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</si>
  <si>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</si>
  <si>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</si>
  <si>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</si>
  <si>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</si>
  <si>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</si>
  <si>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</si>
  <si>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</si>
  <si>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</si>
  <si>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</si>
  <si>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</si>
  <si>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</si>
  <si>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</si>
  <si>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</si>
  <si>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</si>
  <si>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</si>
  <si>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</si>
  <si>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</si>
  <si>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</si>
  <si>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</si>
  <si>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</si>
  <si>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</si>
  <si>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</si>
  <si>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</si>
  <si>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</si>
  <si>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</si>
  <si>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</si>
  <si>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</si>
  <si>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</si>
  <si>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</si>
  <si>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</si>
  <si>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</si>
  <si>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</si>
  <si>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</si>
  <si>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</si>
  <si>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</si>
  <si>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</si>
  <si>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</si>
  <si>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</si>
  <si>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</si>
  <si>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</si>
  <si>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</si>
  <si>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</si>
  <si>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</si>
  <si>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</si>
  <si>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</si>
  <si>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</si>
  <si>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</si>
  <si>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</si>
  <si>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</si>
  <si>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</si>
  <si>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</si>
  <si>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</si>
  <si>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</si>
  <si>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</si>
  <si>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</si>
  <si>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</si>
  <si>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</si>
  <si>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</si>
  <si>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</si>
  <si>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</si>
  <si>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</si>
  <si>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</si>
  <si>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</si>
  <si>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</si>
  <si>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</si>
  <si>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</si>
  <si>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</si>
  <si>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</si>
  <si>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</si>
  <si>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</si>
  <si>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</si>
  <si>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</si>
  <si>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</si>
  <si>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</si>
  <si>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</si>
  <si>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</si>
  <si>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</si>
  <si>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</si>
  <si>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</si>
  <si>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</si>
  <si>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</si>
  <si>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</si>
  <si>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</si>
  <si>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</si>
  <si>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</si>
  <si>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</si>
  <si>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</si>
  <si>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</si>
  <si>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</si>
  <si>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</si>
  <si>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</si>
  <si>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</si>
  <si>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</si>
  <si>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</si>
  <si>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</si>
  <si>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</si>
  <si>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</si>
  <si>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</si>
  <si>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</si>
  <si>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</si>
  <si>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</si>
  <si>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</si>
  <si>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</si>
  <si>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</si>
  <si>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</si>
  <si>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</si>
  <si>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</si>
  <si>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</si>
  <si>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</si>
  <si>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</si>
  <si>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</si>
  <si>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</si>
  <si>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</si>
  <si>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</si>
  <si>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</si>
  <si>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</si>
  <si>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</si>
  <si>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</si>
  <si>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</si>
  <si>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</si>
  <si>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</si>
  <si>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</si>
  <si>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</si>
  <si>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</si>
  <si>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</si>
  <si>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</si>
  <si>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</si>
  <si>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</si>
  <si>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</si>
  <si>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</si>
  <si>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</si>
  <si>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</si>
  <si>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</si>
  <si>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</si>
  <si>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</si>
  <si>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</si>
  <si>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</si>
  <si>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</si>
  <si>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</si>
  <si>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</si>
  <si>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</si>
  <si>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</si>
  <si>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</si>
  <si>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</si>
  <si>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</si>
  <si>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</si>
  <si>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</si>
  <si>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</si>
  <si>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</si>
  <si>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</si>
  <si>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</si>
  <si>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</si>
  <si>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</si>
  <si>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</si>
  <si>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</si>
  <si>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</si>
  <si>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</si>
  <si>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</si>
  <si>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</si>
  <si>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</si>
  <si>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</si>
  <si>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</si>
  <si>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</si>
  <si>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</si>
  <si>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</si>
  <si>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</si>
  <si>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</si>
  <si>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</si>
  <si>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</si>
  <si>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</si>
  <si>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</si>
  <si>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</si>
  <si>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</si>
  <si>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</si>
  <si>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</si>
  <si>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</si>
  <si>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</si>
  <si>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</si>
  <si>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</si>
  <si>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</si>
  <si>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</si>
  <si>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</si>
  <si>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</si>
  <si>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</si>
  <si>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</si>
  <si>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</si>
  <si>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</si>
  <si>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</si>
  <si>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</si>
  <si>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</si>
  <si>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</si>
  <si>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</si>
  <si>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</si>
  <si>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</si>
  <si>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</si>
  <si>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</si>
  <si>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</si>
  <si>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</si>
  <si>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</si>
  <si>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</si>
  <si>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</si>
  <si>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</si>
  <si>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</si>
  <si>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</si>
  <si>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</si>
  <si>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</si>
  <si>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</si>
  <si>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</si>
  <si>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</si>
  <si>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</si>
  <si>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</si>
  <si>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</si>
  <si>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</si>
  <si>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</si>
  <si>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</si>
  <si>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</si>
  <si>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</si>
  <si>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</si>
  <si>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</si>
  <si>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</si>
  <si>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</si>
  <si>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</si>
  <si>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</si>
  <si>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</si>
  <si>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</si>
  <si>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</si>
  <si>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</si>
  <si>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</si>
  <si>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</si>
  <si>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</si>
  <si>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</si>
  <si>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</si>
  <si>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</si>
  <si>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</si>
  <si>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</si>
  <si>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</si>
  <si>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</si>
  <si>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</si>
  <si>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</si>
  <si>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</si>
  <si>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</si>
  <si>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</si>
  <si>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</si>
  <si>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</si>
  <si>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</si>
  <si>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</si>
  <si>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</si>
  <si>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</si>
  <si>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</si>
  <si>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</si>
  <si>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</si>
  <si>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</si>
  <si>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</si>
  <si>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</si>
  <si>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</si>
  <si>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</si>
  <si>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</si>
  <si>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</si>
  <si>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</si>
  <si>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</si>
  <si>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</si>
  <si>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</si>
  <si>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</si>
  <si>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</si>
  <si>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</si>
  <si>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</si>
  <si>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</si>
  <si>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</si>
  <si>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</si>
  <si>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</si>
  <si>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</si>
  <si>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</si>
  <si>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</si>
  <si>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</si>
  <si>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</si>
  <si>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</si>
  <si>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</si>
  <si>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</si>
  <si>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</si>
  <si>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</si>
  <si>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</si>
  <si>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</si>
  <si>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</si>
  <si>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</si>
  <si>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</si>
  <si>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</si>
  <si>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</si>
  <si>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</si>
  <si>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</si>
  <si>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</si>
  <si>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</si>
  <si>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</si>
  <si>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</si>
  <si>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</si>
  <si>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</si>
  <si>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</si>
  <si>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</si>
  <si>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</si>
  <si>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</si>
  <si>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</si>
  <si>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</si>
  <si>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</si>
  <si>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</si>
  <si>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</si>
  <si>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</si>
  <si>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</si>
  <si>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</si>
  <si>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</si>
  <si>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</si>
  <si>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</si>
  <si>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</si>
  <si>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</si>
  <si>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</si>
  <si>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</si>
  <si>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</si>
  <si>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</si>
  <si>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</si>
  <si>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</si>
  <si>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</si>
  <si>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</si>
  <si>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</si>
  <si>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</si>
  <si>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</si>
  <si>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</si>
  <si>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</si>
  <si>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</si>
  <si>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</si>
  <si>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</si>
  <si>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</si>
  <si>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</si>
  <si>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</si>
  <si>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</si>
  <si>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</si>
  <si>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</si>
  <si>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</si>
  <si>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</si>
  <si>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</si>
  <si>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</si>
  <si>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</si>
  <si>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</si>
  <si>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</si>
  <si>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</si>
  <si>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</si>
  <si>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</si>
  <si>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</si>
  <si>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</si>
  <si>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</si>
  <si>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</si>
  <si>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</si>
  <si>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</si>
  <si>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</si>
  <si>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</si>
  <si>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</si>
  <si>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</si>
  <si>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</si>
  <si>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</si>
  <si>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</si>
  <si>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</si>
  <si>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</si>
  <si>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</si>
  <si>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</si>
  <si>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</si>
  <si>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</si>
  <si>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</si>
  <si>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</si>
  <si>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</si>
  <si>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</si>
  <si>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</si>
  <si>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</si>
  <si>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</si>
  <si>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</si>
  <si>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</si>
  <si>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</si>
  <si>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</si>
  <si>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</si>
  <si>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</si>
  <si>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</si>
  <si>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</si>
  <si>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</si>
  <si>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</si>
  <si>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</si>
  <si>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</si>
  <si>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</si>
  <si>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</si>
  <si>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</si>
  <si>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</si>
  <si>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</si>
  <si>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</si>
  <si>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</si>
  <si>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</si>
  <si>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</si>
  <si>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</si>
  <si>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</si>
  <si>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</si>
  <si>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</si>
  <si>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</si>
  <si>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</si>
  <si>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</si>
  <si>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</si>
  <si>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</si>
  <si>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</si>
  <si>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</si>
  <si>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</si>
  <si>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</si>
  <si>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</si>
  <si>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</si>
  <si>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</si>
  <si>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</si>
  <si>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</si>
  <si>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</si>
  <si>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</si>
  <si>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</si>
  <si>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</si>
  <si>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</si>
  <si>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</si>
  <si>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</si>
  <si>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</si>
  <si>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</si>
  <si>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</si>
  <si>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</si>
  <si>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</si>
  <si>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</si>
  <si>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</si>
  <si>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</si>
  <si>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</si>
  <si>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</si>
  <si>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</si>
  <si>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</si>
  <si>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</si>
  <si>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</si>
  <si>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</si>
  <si>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</si>
  <si>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</si>
  <si>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</si>
  <si>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</si>
  <si>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</si>
  <si>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</si>
  <si>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</si>
  <si>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</si>
  <si>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</si>
  <si>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</si>
  <si>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</si>
  <si>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</si>
  <si>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</si>
  <si>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</si>
  <si>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</si>
  <si>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</si>
  <si>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</si>
  <si>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</si>
  <si>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</si>
  <si>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</si>
  <si>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</si>
  <si>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</si>
  <si>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</si>
  <si>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</si>
  <si>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</si>
  <si>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</si>
  <si>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</si>
  <si>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</si>
  <si>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</si>
  <si>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</si>
  <si>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</si>
  <si>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</si>
  <si>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</si>
  <si>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</si>
  <si>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</si>
  <si>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</si>
  <si>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</si>
  <si>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</si>
  <si>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</si>
  <si>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</si>
  <si>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</si>
  <si>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</si>
  <si>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</si>
  <si>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</si>
  <si>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</si>
  <si>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</si>
  <si>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</si>
  <si>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</si>
  <si>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</si>
  <si>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</si>
  <si>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</si>
  <si>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</si>
  <si>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</si>
  <si>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</si>
  <si>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</si>
  <si>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</si>
  <si>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</si>
  <si>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</si>
  <si>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</si>
  <si>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</si>
  <si>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</si>
  <si>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</si>
  <si>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</si>
  <si>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</si>
  <si>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</si>
  <si>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</si>
  <si>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</si>
  <si>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</si>
  <si>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</si>
  <si>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</si>
  <si>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</si>
  <si>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</si>
  <si>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</si>
  <si>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</si>
  <si>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</si>
  <si>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</si>
  <si>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</si>
  <si>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</si>
  <si>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</si>
  <si>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</si>
  <si>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</si>
  <si>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</si>
  <si>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</si>
  <si>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</si>
  <si>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</si>
  <si>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</si>
  <si>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</si>
  <si>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</si>
  <si>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</si>
  <si>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</si>
  <si>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</si>
  <si>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</si>
  <si>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</si>
  <si>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</si>
  <si>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</si>
  <si>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</si>
  <si>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</si>
  <si>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</si>
  <si>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</si>
  <si>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</si>
  <si>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</si>
  <si>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</si>
  <si>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</si>
  <si>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</si>
  <si>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</si>
  <si>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</si>
  <si>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</si>
  <si>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</si>
  <si>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</si>
  <si>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</si>
  <si>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</si>
  <si>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</si>
  <si>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</si>
  <si>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</si>
  <si>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</si>
  <si>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</si>
  <si>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</si>
  <si>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</si>
  <si>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</si>
  <si>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</si>
  <si>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</si>
  <si>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</si>
  <si>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</si>
  <si>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</si>
  <si>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</si>
  <si>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</si>
  <si>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</si>
  <si>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</si>
  <si>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</si>
  <si>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</si>
  <si>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</si>
  <si>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</si>
  <si>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</si>
  <si>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</si>
  <si>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</si>
  <si>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</si>
  <si>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</si>
  <si>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</si>
  <si>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</si>
  <si>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</si>
  <si>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</si>
  <si>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</si>
  <si>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</si>
  <si>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</si>
  <si>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</si>
  <si>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</si>
  <si>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</si>
  <si>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</si>
  <si>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</si>
  <si>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</si>
  <si>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</si>
  <si>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</si>
  <si>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</si>
  <si>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</si>
  <si>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</si>
  <si>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</si>
  <si>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</si>
  <si>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</si>
  <si>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</si>
  <si>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</si>
  <si>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</si>
  <si>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</si>
  <si>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</si>
  <si>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</si>
  <si>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</si>
  <si>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</si>
  <si>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</si>
  <si>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</si>
  <si>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</si>
  <si>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</si>
  <si>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</si>
  <si>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</si>
  <si>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</si>
  <si>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</si>
  <si>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</si>
  <si>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</si>
  <si>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</si>
  <si>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</si>
  <si>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</si>
  <si>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</si>
  <si>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</si>
  <si>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</si>
  <si>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</si>
  <si>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</si>
  <si>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</si>
  <si>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</si>
  <si>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</si>
  <si>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</si>
  <si>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</si>
  <si>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</si>
  <si>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</si>
  <si>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</si>
  <si>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</si>
  <si>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</si>
  <si>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</si>
  <si>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</si>
  <si>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</si>
  <si>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</si>
  <si>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</si>
  <si>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</si>
  <si>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</si>
  <si>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</si>
  <si>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</si>
  <si>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</si>
  <si>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</si>
  <si>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</si>
  <si>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</si>
  <si>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</si>
  <si>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</si>
  <si>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</si>
  <si>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</si>
  <si>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</si>
  <si>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</si>
  <si>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</si>
  <si>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</si>
  <si>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</si>
  <si>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</si>
  <si>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</si>
  <si>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</si>
  <si>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</si>
  <si>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</si>
  <si>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</si>
  <si>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</si>
  <si>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</si>
  <si>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</si>
  <si>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</si>
  <si>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</si>
  <si>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</si>
  <si>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</si>
  <si>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</si>
  <si>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</si>
  <si>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</si>
  <si>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</si>
  <si>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</si>
  <si>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</si>
  <si>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</si>
  <si>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</si>
  <si>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</si>
  <si>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</si>
  <si>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</si>
  <si>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</si>
  <si>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</si>
  <si>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</si>
  <si>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</si>
  <si>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</si>
  <si>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</si>
  <si>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</si>
  <si>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</si>
  <si>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</si>
  <si>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</si>
  <si>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</si>
  <si>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</si>
  <si>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</si>
  <si>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</si>
  <si>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</si>
  <si>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</si>
  <si>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</si>
  <si>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</si>
  <si>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</si>
  <si>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</si>
  <si>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</si>
  <si>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</si>
  <si>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</si>
  <si>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</si>
  <si>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</si>
  <si>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</si>
  <si>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</si>
  <si>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</si>
  <si>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</si>
  <si>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</si>
  <si>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</si>
  <si>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</si>
  <si>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</si>
  <si>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</si>
  <si>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</si>
  <si>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</si>
  <si>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</si>
  <si>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</si>
  <si>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</si>
  <si>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</si>
  <si>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</si>
  <si>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</si>
  <si>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</si>
  <si>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</si>
  <si>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</si>
  <si>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</si>
  <si>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</si>
  <si>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</si>
  <si>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</si>
  <si>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</si>
  <si>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</si>
  <si>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</si>
  <si>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</si>
  <si>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</si>
  <si>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</si>
  <si>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</si>
  <si>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</si>
  <si>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</si>
  <si>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</si>
  <si>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</si>
  <si>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</si>
  <si>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</si>
  <si>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</si>
  <si>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</si>
  <si>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</si>
  <si>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</si>
  <si>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</si>
  <si>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</si>
  <si>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</si>
  <si>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</si>
  <si>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</si>
  <si>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</si>
  <si>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</si>
  <si>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</si>
  <si>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</si>
  <si>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</si>
  <si>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</si>
  <si>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</si>
  <si>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</si>
  <si>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</si>
  <si>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</si>
  <si>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</si>
  <si>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</si>
  <si>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</si>
  <si>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</si>
  <si>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</si>
  <si>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</si>
  <si>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</si>
  <si>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</si>
  <si>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</si>
  <si>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</si>
  <si>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</si>
  <si>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</si>
  <si>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</si>
  <si>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</si>
  <si>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</si>
  <si>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</si>
  <si>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</si>
  <si>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</si>
  <si>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</si>
  <si>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</si>
  <si>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</si>
  <si>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</si>
  <si>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</si>
  <si>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</si>
  <si>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</si>
  <si>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</si>
  <si>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</si>
  <si>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</si>
  <si>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</si>
  <si>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</si>
  <si>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</si>
  <si>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</si>
  <si>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</si>
  <si>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</si>
  <si>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</si>
  <si>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</si>
  <si>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</si>
  <si>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</si>
  <si>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</si>
  <si>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</si>
  <si>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</si>
  <si>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</si>
  <si>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</si>
  <si>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</si>
  <si>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</si>
  <si>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</si>
  <si>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</si>
  <si>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</si>
  <si>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</si>
  <si>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</si>
  <si>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</si>
  <si>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</si>
  <si>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</si>
  <si>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</si>
  <si>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</si>
  <si>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</si>
  <si>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</si>
  <si>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</si>
  <si>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</si>
  <si>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</si>
  <si>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</si>
  <si>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</si>
  <si>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</si>
  <si>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</si>
  <si>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</si>
  <si>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</si>
  <si>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</si>
  <si>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</si>
  <si>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</si>
  <si>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</si>
  <si>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</si>
  <si>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</si>
  <si>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</si>
  <si>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</si>
  <si>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</si>
  <si>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</si>
  <si>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</si>
  <si>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</si>
  <si>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</si>
  <si>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</si>
  <si>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</si>
  <si>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</si>
  <si>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</si>
  <si>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</si>
  <si>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</si>
  <si>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</si>
  <si>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</si>
  <si>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</si>
  <si>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</si>
  <si>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</si>
  <si>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</si>
  <si>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</si>
  <si>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</si>
  <si>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</si>
  <si>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</si>
  <si>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</si>
  <si>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</si>
  <si>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</si>
  <si>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</si>
  <si>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</si>
  <si>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</si>
  <si>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</si>
  <si>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</si>
  <si>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</si>
  <si>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</si>
  <si>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</si>
  <si>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</si>
  <si>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</si>
  <si>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</si>
  <si>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</si>
  <si>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</si>
  <si>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</si>
  <si>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</si>
  <si>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</si>
  <si>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</si>
  <si>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</si>
  <si>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</si>
  <si>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</si>
  <si>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</si>
  <si>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</si>
  <si>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</si>
  <si>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</si>
  <si>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</si>
  <si>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</si>
  <si>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</si>
  <si>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</si>
  <si>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</si>
  <si>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</si>
  <si>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</si>
  <si>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</si>
  <si>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</si>
  <si>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</si>
  <si>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</si>
  <si>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</si>
  <si>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</si>
  <si>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</si>
  <si>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</si>
  <si>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</si>
  <si>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</si>
  <si>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</si>
  <si>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</si>
  <si>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</si>
  <si>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</si>
  <si>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</si>
  <si>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</si>
  <si>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</si>
  <si>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</si>
  <si>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</si>
  <si>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</si>
  <si>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</si>
  <si>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</si>
  <si>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</si>
  <si>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</si>
  <si>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</si>
  <si>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</si>
  <si>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</si>
  <si>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</si>
  <si>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</si>
  <si>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</si>
  <si>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</si>
  <si>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</si>
  <si>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</si>
  <si>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</si>
  <si>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</si>
  <si>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</si>
  <si>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</si>
  <si>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</si>
  <si>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</si>
  <si>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</si>
  <si>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</si>
  <si>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</si>
  <si>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</si>
  <si>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</si>
  <si>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</si>
  <si>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</si>
  <si>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</si>
  <si>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</si>
  <si>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</si>
  <si>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</si>
  <si>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</si>
  <si>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</si>
  <si>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</si>
  <si>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</si>
  <si>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</si>
  <si>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</si>
  <si>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</si>
  <si>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</si>
  <si>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</si>
  <si>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</si>
  <si>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</si>
  <si>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</si>
  <si>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</si>
  <si>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</si>
  <si>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</si>
  <si>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</si>
  <si>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</si>
  <si>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</si>
  <si>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</si>
  <si>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</si>
  <si>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</si>
  <si>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</si>
  <si>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</si>
  <si>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</si>
  <si>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</si>
  <si>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</si>
  <si>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</si>
  <si>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</si>
  <si>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</si>
  <si>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</si>
  <si>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</si>
  <si>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</si>
  <si>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</si>
  <si>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</si>
  <si>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</si>
  <si>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</si>
  <si>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</si>
  <si>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</si>
  <si>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</si>
  <si>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</si>
  <si>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</si>
  <si>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</si>
  <si>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</si>
  <si>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</si>
  <si>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</si>
  <si>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</si>
  <si>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</si>
  <si>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</si>
  <si>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</si>
  <si>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</si>
  <si>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</si>
  <si>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</si>
  <si>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</si>
  <si>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</si>
  <si>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</si>
  <si>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</si>
  <si>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</si>
  <si>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</si>
  <si>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</si>
  <si>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</si>
  <si>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</si>
  <si>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</si>
  <si>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</si>
  <si>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</si>
  <si>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</si>
  <si>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</si>
  <si>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</si>
  <si>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</si>
  <si>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</si>
  <si>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</si>
  <si>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</si>
  <si>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</si>
  <si>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</si>
  <si>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</si>
  <si>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</si>
  <si>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</si>
  <si>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</si>
  <si>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</si>
  <si>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</si>
  <si>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</si>
  <si>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</si>
  <si>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</si>
  <si>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</si>
  <si>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</si>
  <si>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</si>
  <si>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</si>
  <si>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</si>
  <si>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</si>
  <si>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</si>
  <si>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</si>
  <si>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</si>
  <si>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</si>
  <si>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</si>
  <si>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</si>
  <si>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</si>
  <si>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</si>
  <si>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</si>
  <si>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</si>
  <si>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</si>
  <si>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</si>
  <si>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</si>
  <si>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</si>
  <si>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</si>
  <si>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</si>
  <si>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</si>
  <si>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</si>
  <si>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</si>
  <si>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</si>
  <si>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</si>
  <si>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</si>
  <si>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</si>
  <si>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</si>
  <si>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</si>
  <si>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</si>
  <si>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</si>
  <si>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</si>
  <si>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</si>
  <si>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</si>
  <si>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</si>
  <si>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</si>
  <si>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</si>
  <si>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</si>
  <si>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</si>
  <si>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</si>
  <si>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</si>
  <si>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</si>
  <si>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</si>
  <si>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</si>
  <si>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</si>
  <si>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</si>
  <si>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</si>
  <si>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</si>
  <si>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</si>
  <si>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</si>
  <si>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</si>
  <si>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</si>
  <si>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</si>
  <si>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</si>
  <si>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</si>
  <si>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</si>
  <si>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</si>
  <si>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</si>
  <si>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</si>
  <si>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</si>
  <si>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</si>
  <si>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</si>
  <si>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</si>
  <si>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</si>
  <si>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</si>
  <si>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</si>
  <si>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</si>
  <si>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</si>
  <si>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</si>
  <si>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</si>
  <si>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</si>
  <si>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</si>
  <si>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</si>
  <si>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</si>
  <si>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</si>
  <si>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</si>
  <si>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</si>
  <si>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</si>
  <si>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</si>
  <si>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</si>
  <si>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</si>
  <si>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</si>
  <si>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</si>
  <si>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</si>
  <si>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</si>
  <si>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</si>
  <si>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</si>
  <si>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</si>
  <si>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</si>
  <si>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</si>
  <si>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</si>
  <si>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</si>
  <si>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</si>
  <si>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</si>
  <si>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</si>
  <si>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</si>
  <si>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</si>
  <si>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</si>
  <si>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</si>
  <si>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</si>
  <si>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</si>
  <si>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</si>
  <si>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</si>
  <si>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</si>
  <si>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</si>
  <si>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</si>
  <si>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</si>
  <si>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</si>
  <si>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</si>
  <si>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</si>
  <si>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</si>
  <si>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</si>
  <si>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</si>
  <si>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</si>
  <si>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</si>
  <si>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</si>
  <si>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</si>
  <si>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</si>
  <si>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</si>
  <si>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</si>
  <si>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</si>
  <si>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</si>
  <si>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</si>
  <si>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</si>
  <si>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</si>
  <si>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</si>
  <si>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</si>
  <si>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</si>
  <si>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</si>
  <si>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</si>
  <si>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</si>
  <si>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</si>
  <si>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</si>
  <si>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</si>
  <si>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</si>
  <si>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</si>
  <si>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</si>
  <si>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</si>
  <si>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</si>
  <si>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</si>
  <si>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</si>
  <si>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</si>
  <si>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</si>
  <si>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</si>
  <si>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</si>
  <si>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</si>
  <si>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</si>
  <si>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</si>
  <si>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</si>
  <si>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</si>
  <si>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</si>
  <si>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</si>
  <si>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</si>
  <si>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</si>
  <si>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</si>
  <si>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</si>
  <si>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</si>
  <si>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</si>
  <si>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</si>
  <si>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</si>
  <si>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</si>
  <si>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</si>
  <si>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</si>
  <si>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</si>
  <si>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</si>
  <si>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</si>
  <si>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</si>
  <si>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</si>
  <si>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</si>
  <si>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</si>
  <si>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</si>
  <si>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</si>
  <si>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</si>
  <si>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</si>
  <si>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</si>
  <si>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</si>
  <si>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</si>
  <si>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</si>
  <si>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</si>
  <si>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</si>
  <si>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</si>
  <si>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</si>
  <si>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</si>
  <si>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</si>
  <si>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</si>
  <si>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</si>
  <si>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</si>
  <si>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</si>
  <si>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</si>
  <si>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</si>
  <si>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</si>
  <si>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</si>
  <si>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</si>
  <si>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</si>
  <si>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</si>
  <si>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</si>
  <si>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</si>
  <si>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</si>
  <si>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</si>
  <si>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</si>
  <si>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</si>
  <si>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</si>
  <si>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</si>
  <si>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</si>
  <si>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</si>
  <si>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</si>
  <si>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</si>
  <si>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</si>
  <si>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</si>
  <si>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</si>
  <si>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</si>
  <si>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</si>
  <si>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</si>
  <si>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</si>
  <si>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</si>
  <si>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</si>
  <si>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</si>
  <si>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</si>
  <si>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</si>
  <si>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</si>
  <si>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</si>
  <si>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</si>
  <si>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</si>
  <si>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</si>
  <si>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</si>
  <si>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</si>
  <si>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</si>
  <si>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</si>
  <si>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</si>
  <si>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</si>
  <si>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</si>
  <si>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</si>
  <si>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</si>
  <si>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</si>
  <si>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</si>
  <si>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</si>
  <si>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</si>
  <si>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</si>
  <si>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</si>
  <si>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</si>
  <si>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</si>
  <si>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</si>
  <si>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</si>
  <si>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</si>
  <si>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</si>
  <si>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</si>
  <si>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</si>
  <si>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</si>
  <si>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</si>
  <si>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</si>
  <si>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</si>
  <si>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</si>
  <si>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</si>
  <si>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</si>
  <si>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</si>
  <si>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</si>
  <si>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</si>
  <si>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</si>
  <si>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</si>
  <si>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</si>
  <si>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</si>
  <si>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</si>
  <si>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</si>
  <si>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</si>
  <si>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</si>
  <si>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</si>
  <si>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</si>
  <si>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</si>
  <si>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</si>
  <si>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</si>
  <si>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</si>
  <si>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</si>
  <si>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</si>
  <si>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</si>
  <si>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</si>
  <si>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</si>
  <si>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</si>
  <si>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</si>
  <si>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</si>
  <si>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</si>
  <si>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</si>
  <si>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</si>
  <si>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</si>
  <si>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</si>
  <si>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</si>
  <si>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</si>
  <si>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</si>
  <si>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</si>
  <si>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</si>
  <si>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</si>
  <si>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</si>
  <si>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</si>
  <si>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</si>
  <si>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</si>
  <si>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</si>
  <si>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</si>
  <si>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</si>
  <si>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</si>
  <si>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</si>
  <si>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</si>
  <si>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</si>
  <si>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</si>
  <si>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</si>
  <si>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</si>
  <si>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</si>
  <si>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</si>
  <si>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</si>
  <si>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</si>
  <si>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</si>
  <si>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</si>
  <si>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</si>
  <si>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</si>
  <si>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</si>
  <si>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</si>
  <si>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</si>
  <si>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</si>
  <si>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</si>
  <si>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</si>
  <si>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</si>
  <si>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</si>
  <si>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</si>
  <si>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</si>
  <si>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</si>
  <si>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</si>
  <si>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</si>
  <si>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</si>
  <si>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</si>
  <si>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</si>
  <si>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</si>
  <si>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</si>
  <si>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</si>
  <si>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</si>
  <si>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</si>
  <si>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</si>
  <si>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</si>
  <si>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</si>
  <si>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</si>
  <si>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</si>
  <si>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</si>
  <si>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</si>
  <si>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</si>
  <si>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</si>
  <si>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</si>
  <si>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</si>
  <si>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</si>
  <si>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Rock Island</t>
  </si>
  <si>
    <t>1275 Avenue of the Cities</t>
  </si>
  <si>
    <t>East Moline</t>
  </si>
  <si>
    <t>jmorrow@uths.net</t>
  </si>
  <si>
    <t>Dr. Jay Morrow</t>
  </si>
  <si>
    <t>309-752-1622</t>
  </si>
  <si>
    <t>309-752-1615</t>
  </si>
  <si>
    <t>Bohnsack &amp; Frommelt, LLP</t>
  </si>
  <si>
    <t>Sarah Bohnsack</t>
  </si>
  <si>
    <t>1500 River Drive, Suite 200</t>
  </si>
  <si>
    <t>Moline</t>
  </si>
  <si>
    <t>IL</t>
  </si>
  <si>
    <t>563-343-9595</t>
  </si>
  <si>
    <t>066.004397</t>
  </si>
  <si>
    <t>11//30/2021</t>
  </si>
  <si>
    <t>sarah@bohnsackfrommelt.com</t>
  </si>
  <si>
    <t>2018 General Obligation Bonds</t>
  </si>
  <si>
    <t>2019 General Obligation Bonds</t>
  </si>
  <si>
    <t>X</t>
  </si>
  <si>
    <t>ACC Joint Agreement Members</t>
  </si>
  <si>
    <t>Blackhawk Area Special Education</t>
  </si>
  <si>
    <t>BHASED Coop Members</t>
  </si>
  <si>
    <t>Rock Island County ROE Members</t>
  </si>
  <si>
    <t>Blackhawk Area Special Education, ACC J.A. Members</t>
  </si>
  <si>
    <t>(1) Carbon Cliff #36, Silvis #34</t>
  </si>
  <si>
    <t>Revenues 1614:  Student breakfast ala carte</t>
  </si>
  <si>
    <t>Revenues 1690:  Other food services revenues</t>
  </si>
  <si>
    <t>Revenues 1999:  Various misc. revenue</t>
  </si>
  <si>
    <t>Expenditures 2190:  Student supervisors</t>
  </si>
  <si>
    <t>Revenues 4998:  Title II</t>
  </si>
  <si>
    <t>U.S. Department of Education</t>
  </si>
  <si>
    <t>Pass-Through East Moline School District #37</t>
  </si>
  <si>
    <t>U.S. Department of Agriculture</t>
  </si>
  <si>
    <t>Pass-Through Illinois State Board of Education</t>
  </si>
  <si>
    <t>Child Nutrition Cluster:</t>
  </si>
  <si>
    <t>Commodities- NonCash- DOD Fruits &amp; Vegetables</t>
  </si>
  <si>
    <t xml:space="preserve">Commodities- NonCash  </t>
  </si>
  <si>
    <t>Total Child Nutrition Cluster</t>
  </si>
  <si>
    <t>Total U.S. Department of Agriculture</t>
  </si>
  <si>
    <t>20-4220-00</t>
  </si>
  <si>
    <t>19-4220-00</t>
  </si>
  <si>
    <t>20-4210-00</t>
  </si>
  <si>
    <t>19-4210-00</t>
  </si>
  <si>
    <t>4908130017A1</t>
  </si>
  <si>
    <t>20-4225-00</t>
  </si>
  <si>
    <t>N/A</t>
  </si>
  <si>
    <t>Title 1 Low Income (M)</t>
  </si>
  <si>
    <t>Total Title 1 Low Income</t>
  </si>
  <si>
    <t>Title II Teacher Quality</t>
  </si>
  <si>
    <t>Total Title II</t>
  </si>
  <si>
    <t>Pass-Through Blackhawk Area Special Education District</t>
  </si>
  <si>
    <t>Special Education- Grants to States, IDEA Part B</t>
  </si>
  <si>
    <t>Total Special Education- Grants to States IDEA Part B</t>
  </si>
  <si>
    <t>84.010A</t>
  </si>
  <si>
    <t>84.367A</t>
  </si>
  <si>
    <t>84.027A</t>
  </si>
  <si>
    <t>20-4300-00</t>
  </si>
  <si>
    <t>19-4300-00</t>
  </si>
  <si>
    <t>20-4932-00</t>
  </si>
  <si>
    <t>19-4932-00</t>
  </si>
  <si>
    <t>20-4620-00</t>
  </si>
  <si>
    <t>Total U.S. Department of Education</t>
  </si>
  <si>
    <t>U.S. Department of Health and Human Services</t>
  </si>
  <si>
    <t>Pass-Through Illinois Department of Healthcare and Family Services</t>
  </si>
  <si>
    <t>Medicaid Administrative Outreach</t>
  </si>
  <si>
    <t>Total Schedule of Federal Awards</t>
  </si>
  <si>
    <t>84.365A</t>
  </si>
  <si>
    <t>20-4909</t>
  </si>
  <si>
    <t>20-4991-00</t>
  </si>
  <si>
    <t>Unmodified</t>
  </si>
  <si>
    <t>Title I Low Income</t>
  </si>
  <si>
    <t>None</t>
  </si>
  <si>
    <t>Vendor payment for job coaching from source 4998</t>
  </si>
  <si>
    <t>Illinois School for the Deaf</t>
  </si>
  <si>
    <t>Tri-State Travel</t>
  </si>
  <si>
    <t>AT&amp;T</t>
  </si>
  <si>
    <t>Thymet Pest Control</t>
  </si>
  <si>
    <t>Ed-Instruction-Purchased Service</t>
  </si>
  <si>
    <t>Frontline Technologies</t>
  </si>
  <si>
    <t>Franczek</t>
  </si>
  <si>
    <t>Tort-Support Services-Gen Admin-Purchased Service</t>
  </si>
  <si>
    <t>Lawrence E. Smith &amp; Associates</t>
  </si>
  <si>
    <t>Ramza Insurance Group</t>
  </si>
  <si>
    <t>Gerber Life Insurance</t>
  </si>
  <si>
    <t>State National Insurance</t>
  </si>
  <si>
    <t>IPRF</t>
  </si>
  <si>
    <t>Syscloud, Inc.</t>
  </si>
  <si>
    <t>Twin State Technical</t>
  </si>
  <si>
    <t>Genesis Outpatient Rehabilitation</t>
  </si>
  <si>
    <t>City of East Moline</t>
  </si>
  <si>
    <t>Johnson Controls Security</t>
  </si>
  <si>
    <t>R3 Environmental Management, Inc.</t>
  </si>
  <si>
    <t>Firm Systems/Verify</t>
  </si>
  <si>
    <t>IL Depte of Public Health</t>
  </si>
  <si>
    <t>Kone</t>
  </si>
  <si>
    <t>J &amp; D Enterprises</t>
  </si>
  <si>
    <t>Per Mar</t>
  </si>
  <si>
    <t>Raptor Technologies</t>
  </si>
  <si>
    <t>State Fire Marshall</t>
  </si>
  <si>
    <t>Company One Fire</t>
  </si>
  <si>
    <t>Ahern Fire Protection</t>
  </si>
  <si>
    <t>MidAmerican Energy</t>
  </si>
  <si>
    <t>Transp.-Pupil Transp. Services.-Purchased Services</t>
  </si>
  <si>
    <t xml:space="preserve">Blick &amp; Blick Oil, Inc. </t>
  </si>
  <si>
    <t>Genseis Occupational Health</t>
  </si>
  <si>
    <t>Aramark</t>
  </si>
  <si>
    <t>Kansas State Bank</t>
  </si>
  <si>
    <t>Republic Services</t>
  </si>
  <si>
    <t>TSS, Inc.</t>
  </si>
  <si>
    <t>Genesis Occupational Health</t>
  </si>
  <si>
    <t>Verizon</t>
  </si>
  <si>
    <t>Arborists Advantage Tree Service</t>
  </si>
  <si>
    <t>O &amp; M - Support Services-Business-Purchased Services</t>
  </si>
  <si>
    <t>Mechanical Sales, Inc.</t>
  </si>
  <si>
    <t>Daniel DePorter</t>
  </si>
  <si>
    <t>City of Silvis</t>
  </si>
  <si>
    <t>Rock Island County Fair Association</t>
  </si>
  <si>
    <t>Emerick Pest Control</t>
  </si>
  <si>
    <t>Tremco, Inc.</t>
  </si>
  <si>
    <t>Chemsearch</t>
  </si>
  <si>
    <t>Crawford Company</t>
  </si>
  <si>
    <t>Iowa MS Inc.</t>
  </si>
  <si>
    <t>Ryan &amp; Associates, Inc.</t>
  </si>
  <si>
    <t>Johnson Controls, Inc.</t>
  </si>
  <si>
    <t>Tri-City Electric</t>
  </si>
  <si>
    <t>Phelps Uniform</t>
  </si>
  <si>
    <t>Shred IT</t>
  </si>
  <si>
    <t>Mediacom Business</t>
  </si>
  <si>
    <t>Crown Lift</t>
  </si>
  <si>
    <t>E-Rate Funding Services</t>
  </si>
  <si>
    <t>OPN Architects</t>
  </si>
  <si>
    <t>Shive Hattery</t>
  </si>
  <si>
    <t>EM Pool</t>
  </si>
  <si>
    <t>IL/IA Center for Independent Living</t>
  </si>
  <si>
    <t>Ed-Community Srevices-Purchased Service</t>
  </si>
  <si>
    <t>I-JAG</t>
  </si>
  <si>
    <t>ISCorp</t>
  </si>
  <si>
    <t>Ed-Support Services-Central-Purchased Services</t>
  </si>
  <si>
    <t>Skyward</t>
  </si>
  <si>
    <t>Go Daddy</t>
  </si>
  <si>
    <t>Edilio</t>
  </si>
  <si>
    <t>Gennytech Solutions</t>
  </si>
  <si>
    <t>Talx/Equifax</t>
  </si>
  <si>
    <t>Pitney Bowes</t>
  </si>
  <si>
    <t>Ed Support Services-Internal Services-Purchased Services</t>
  </si>
  <si>
    <t>Ed Support Services-Food Service-Purchased Services</t>
  </si>
  <si>
    <t>Ed-Support Services-Food Service-Purchased Services</t>
  </si>
  <si>
    <t>Advanced Business Systems</t>
  </si>
  <si>
    <t>Ed-Support Services-School Administration-Purchased Services</t>
  </si>
  <si>
    <t>Ed-Support Services-General Admin-Purchased Services</t>
  </si>
  <si>
    <t>Sandner Group</t>
  </si>
  <si>
    <t>Fred Segura</t>
  </si>
  <si>
    <t>Gordon Cornelius</t>
  </si>
  <si>
    <t>Pepping, Balk, Kincaid &amp; Olson</t>
  </si>
  <si>
    <t>IASB</t>
  </si>
  <si>
    <t>Reliance Communications/West 
Interactive Services Corp.</t>
  </si>
  <si>
    <t>Literacy Leadership</t>
  </si>
  <si>
    <t>Ed-Support Services-Instructional Staff-Supplies&amp;Materials</t>
  </si>
  <si>
    <t>Ebsco Information Services</t>
  </si>
  <si>
    <t>USA today</t>
  </si>
  <si>
    <t>Ed-Support Services-Instructional Staff-Purchased Serv</t>
  </si>
  <si>
    <t>Vista Learning</t>
  </si>
  <si>
    <t>Prairiecat</t>
  </si>
  <si>
    <t>Rails</t>
  </si>
  <si>
    <t>Gale Cengage Learning</t>
  </si>
  <si>
    <t>Tierney</t>
  </si>
  <si>
    <t>College Board</t>
  </si>
  <si>
    <t>Avant Assessment, LLC</t>
  </si>
  <si>
    <t>Performance Matters/Unify/Powerschool Group</t>
  </si>
  <si>
    <t>Turn it in/Iparadigms</t>
  </si>
  <si>
    <t>KS State Bank</t>
  </si>
  <si>
    <t>PDQ.Com Corp</t>
  </si>
  <si>
    <t>Bell Techlogix, Inc.</t>
  </si>
  <si>
    <t>Securly, Inc.</t>
  </si>
  <si>
    <t>Ed-Support Services-Pupil-Purchased Service</t>
  </si>
  <si>
    <t>Gorenz &amp; Associates, LTD</t>
  </si>
  <si>
    <t>Bethany For Children &amp; Families</t>
  </si>
  <si>
    <t>Nexus-Indian Oaks Family Healing</t>
  </si>
  <si>
    <t>Ed-Instruction-Other Objects</t>
  </si>
  <si>
    <t>Camelot Therapeutic School</t>
  </si>
  <si>
    <t>Arrowhead Ranch, Inc.</t>
  </si>
  <si>
    <t>MobyMax, LLC</t>
  </si>
  <si>
    <t>Ed-Instruction-Supplies &amp; Materials</t>
  </si>
  <si>
    <t>Fuse, LLC</t>
  </si>
  <si>
    <t>Ed-Insruction-Supplies &amp; Materials</t>
  </si>
  <si>
    <t>HM Receivables Co., LLC</t>
  </si>
  <si>
    <t>A &amp; A Air Conditioning &amp; Refrigeration</t>
  </si>
  <si>
    <t xml:space="preserve">Hi-Nee Huts </t>
  </si>
  <si>
    <t>Sexton Ford Sales, Inc.</t>
  </si>
  <si>
    <t>Sue Ickes</t>
  </si>
  <si>
    <t>Project Lead The Way</t>
  </si>
  <si>
    <t>Quad Cities Arts</t>
  </si>
  <si>
    <t>Craig Fitzpatrick</t>
  </si>
  <si>
    <t>Adrienne Evans</t>
  </si>
  <si>
    <t>Isaiah Gonzalez</t>
  </si>
  <si>
    <t>Kayci Hines</t>
  </si>
  <si>
    <t>Michael Wells</t>
  </si>
  <si>
    <t>Streamwood Behavioral Health System</t>
  </si>
  <si>
    <t>Doorway to College Foundation</t>
  </si>
  <si>
    <t>Lincoln Prairie Behavior Health Center</t>
  </si>
  <si>
    <t>Cengage Learning</t>
  </si>
  <si>
    <t>Rosetta Stone</t>
  </si>
  <si>
    <t>Edmentum</t>
  </si>
  <si>
    <t>NONE</t>
  </si>
  <si>
    <t>The accompanying Schedule of Expenditures of Federal Awards includes the federal grant activity of  United Township High School District and is presented on the GAAP.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</si>
  <si>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</si>
  <si>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</si>
  <si>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Revenues 3999: Library school system grant</t>
  </si>
  <si>
    <t>Title III Language Instruction Program</t>
  </si>
  <si>
    <t xml:space="preserve">   United Twp HSD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</si>
</sst>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4" fillId="0" borderId="0"/>
    <xf numFmtId="0" fontId="2" fillId="0" borderId="0"/>
  </cellStyleXfs>
  <cellXfs count="26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183" fontId="5" fillId="0" borderId="0" xfId="19" applyNumberFormat="1"/>
    <xf numFmtId="0" fontId="138" fillId="0" borderId="0" xfId="0" applyFont="1"/>
    <xf numFmtId="0" fontId="85" fillId="0" borderId="2" xfId="0" applyFont="1" applyBorder="1" applyAlignment="1">
      <alignment horizontal="left" wrapText="1"/>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0" fontId="57" fillId="0" borderId="126" xfId="3" applyNumberFormat="1" applyFont="1" applyBorder="1" applyAlignment="1">
      <alignmen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0" xfId="21"/>
    <xf numFmtId="0" fontId="2" fillId="0" borderId="0" xfId="21" applyAlignment="1">
      <alignment vertical="top"/>
    </xf>
    <xf numFmtId="38" fontId="2" fillId="0" borderId="0" xfId="21" applyNumberFormat="1" applyAlignment="1">
      <alignment horizontal="right" vertical="top"/>
    </xf>
    <xf numFmtId="182" fontId="2" fillId="0" borderId="0" xfId="21" applyNumberFormat="1" applyAlignment="1">
      <alignment vertical="top"/>
    </xf>
    <xf numFmtId="0" fontId="2" fillId="0" borderId="0" xfId="21" applyAlignment="1">
      <alignment horizontal="left" vertical="top" wrapText="1"/>
    </xf>
    <xf numFmtId="38" fontId="2" fillId="16" borderId="156" xfId="21" applyNumberFormat="1" applyFill="1" applyBorder="1" applyAlignment="1">
      <alignment vertical="top"/>
    </xf>
    <xf numFmtId="38" fontId="2" fillId="16" borderId="156" xfId="21" applyNumberFormat="1" applyFill="1" applyBorder="1" applyAlignment="1">
      <alignment horizontal="right" vertical="top"/>
    </xf>
    <xf numFmtId="0" fontId="2" fillId="16" borderId="156" xfId="21" applyFill="1" applyBorder="1" applyAlignment="1">
      <alignment vertical="top"/>
    </xf>
    <xf numFmtId="184" fontId="2" fillId="16" borderId="156" xfId="21" applyNumberFormat="1" applyFill="1" applyBorder="1" applyAlignment="1">
      <alignment vertical="top"/>
    </xf>
    <xf numFmtId="0" fontId="2" fillId="16" borderId="156" xfId="21" applyFill="1" applyBorder="1" applyAlignment="1">
      <alignment horizontal="left" vertical="top" wrapText="1"/>
    </xf>
    <xf numFmtId="38" fontId="2" fillId="16" borderId="155" xfId="21" applyNumberFormat="1" applyFill="1" applyBorder="1" applyAlignment="1">
      <alignment horizontal="right" vertical="top"/>
    </xf>
    <xf numFmtId="38" fontId="2" fillId="0" borderId="155" xfId="21" applyNumberFormat="1" applyBorder="1" applyAlignment="1" applyProtection="1">
      <alignment horizontal="right" vertical="top"/>
      <protection locked="0"/>
    </xf>
    <xf numFmtId="0" fontId="2" fillId="0" borderId="155" xfId="21" applyBorder="1" applyAlignment="1" applyProtection="1">
      <alignment vertical="top"/>
      <protection locked="0"/>
    </xf>
    <xf numFmtId="184" fontId="2" fillId="0" borderId="155" xfId="21" applyNumberFormat="1" applyBorder="1" applyAlignment="1" applyProtection="1">
      <alignment horizontal="center" vertical="center"/>
      <protection locked="0"/>
    </xf>
    <xf numFmtId="0" fontId="2" fillId="0" borderId="155" xfId="21" applyBorder="1" applyAlignment="1" applyProtection="1">
      <alignment horizontal="left" vertical="top" wrapText="1"/>
      <protection locked="0"/>
    </xf>
    <xf numFmtId="0" fontId="2" fillId="0" borderId="0" xfId="21" quotePrefix="1"/>
    <xf numFmtId="38" fontId="127" fillId="20" borderId="155" xfId="21" applyNumberFormat="1" applyFont="1" applyFill="1" applyBorder="1" applyAlignment="1">
      <alignment vertical="top"/>
    </xf>
    <xf numFmtId="38" fontId="127" fillId="20" borderId="155" xfId="21" applyNumberFormat="1" applyFont="1" applyFill="1" applyBorder="1" applyAlignment="1">
      <alignment horizontal="right" vertical="top"/>
    </xf>
    <xf numFmtId="0" fontId="127" fillId="20" borderId="155" xfId="21" applyFont="1" applyFill="1" applyBorder="1" applyAlignment="1">
      <alignment vertical="top"/>
    </xf>
    <xf numFmtId="184" fontId="127" fillId="20" borderId="155" xfId="21" applyNumberFormat="1" applyFont="1" applyFill="1" applyBorder="1" applyAlignment="1">
      <alignment horizontal="center" vertical="top"/>
    </xf>
    <xf numFmtId="0" fontId="127" fillId="20" borderId="155" xfId="21" applyFont="1" applyFill="1" applyBorder="1" applyAlignment="1">
      <alignment horizontal="left" vertical="top" wrapText="1"/>
    </xf>
    <xf numFmtId="38" fontId="125" fillId="22" borderId="154" xfId="21" applyNumberFormat="1" applyFont="1" applyFill="1" applyBorder="1" applyAlignment="1">
      <alignment horizontal="center" vertical="center" wrapText="1"/>
    </xf>
    <xf numFmtId="0" fontId="125" fillId="22" borderId="154" xfId="21" applyFont="1" applyFill="1" applyBorder="1" applyAlignment="1">
      <alignment horizontal="center" vertical="center" wrapText="1"/>
    </xf>
    <xf numFmtId="182" fontId="125" fillId="22" borderId="154" xfId="21" applyNumberFormat="1" applyFont="1" applyFill="1" applyBorder="1" applyAlignment="1">
      <alignment horizontal="center" vertical="center" wrapText="1"/>
    </xf>
    <xf numFmtId="0" fontId="127" fillId="0" borderId="97" xfId="21" applyFont="1" applyBorder="1" applyAlignment="1">
      <alignment vertical="top"/>
    </xf>
    <xf numFmtId="0" fontId="127" fillId="0" borderId="0" xfId="21" applyFont="1" applyAlignment="1">
      <alignment vertical="top"/>
    </xf>
    <xf numFmtId="182" fontId="127" fillId="0" borderId="0" xfId="21" applyNumberFormat="1" applyFont="1" applyAlignment="1">
      <alignment vertical="top"/>
    </xf>
    <xf numFmtId="0" fontId="127" fillId="0" borderId="96" xfId="21" applyFont="1" applyBorder="1" applyAlignment="1">
      <alignment vertical="top"/>
    </xf>
    <xf numFmtId="0" fontId="127" fillId="0" borderId="97" xfId="21" applyFont="1" applyBorder="1" applyAlignment="1">
      <alignment vertical="top" wrapText="1"/>
    </xf>
    <xf numFmtId="0" fontId="127" fillId="0" borderId="0" xfId="21" applyFont="1" applyAlignment="1">
      <alignment vertical="top" wrapText="1"/>
    </xf>
    <xf numFmtId="0" fontId="140" fillId="0" borderId="0" xfId="21" applyFont="1" applyAlignment="1">
      <alignment vertical="top"/>
    </xf>
    <xf numFmtId="0" fontId="140" fillId="0" borderId="96" xfId="21" applyFont="1" applyBorder="1" applyAlignment="1">
      <alignment vertical="top"/>
    </xf>
    <xf numFmtId="0" fontId="126" fillId="0" borderId="140" xfId="21" applyFont="1" applyBorder="1" applyAlignment="1">
      <alignment horizontal="center" vertical="top"/>
    </xf>
    <xf numFmtId="0" fontId="126" fillId="0" borderId="139" xfId="21" applyFont="1" applyBorder="1" applyAlignment="1">
      <alignment horizontal="center" vertical="top"/>
    </xf>
    <xf numFmtId="182" fontId="126" fillId="0" borderId="139" xfId="21" applyNumberFormat="1" applyFont="1" applyBorder="1" applyAlignment="1">
      <alignment horizontal="center" vertical="top"/>
    </xf>
    <xf numFmtId="0" fontId="99" fillId="0" borderId="138" xfId="21" applyFont="1" applyBorder="1" applyAlignment="1">
      <alignment horizontal="left" vertical="top"/>
    </xf>
    <xf numFmtId="0" fontId="2" fillId="0" borderId="0" xfId="21" applyAlignment="1">
      <alignment horizontal="center" vertical="top" wrapText="1"/>
    </xf>
    <xf numFmtId="182" fontId="2" fillId="0" borderId="0" xfId="21" applyNumberFormat="1" applyAlignment="1">
      <alignment horizontal="center" vertical="top" wrapText="1"/>
    </xf>
    <xf numFmtId="0" fontId="2" fillId="0" borderId="0" xfId="21" applyAlignment="1">
      <alignment horizontal="center" vertical="center" wrapText="1"/>
    </xf>
    <xf numFmtId="0" fontId="2" fillId="0" borderId="0" xfId="21" applyAlignment="1">
      <alignment horizontal="left" vertical="center"/>
    </xf>
    <xf numFmtId="182" fontId="2" fillId="0" borderId="0" xfId="21" applyNumberFormat="1" applyAlignment="1">
      <alignment horizontal="center" vertical="center" wrapText="1"/>
    </xf>
    <xf numFmtId="0" fontId="2" fillId="0" borderId="0" xfId="21" applyAlignment="1">
      <alignment vertical="center"/>
    </xf>
    <xf numFmtId="182" fontId="2" fillId="0" borderId="0" xfId="21" applyNumberFormat="1" applyAlignment="1">
      <alignment vertical="center"/>
    </xf>
    <xf numFmtId="38" fontId="2" fillId="27" borderId="155" xfId="21" applyNumberFormat="1" applyFill="1" applyBorder="1" applyAlignment="1" applyProtection="1">
      <alignment horizontal="right" vertical="top"/>
      <protection locked="0"/>
    </xf>
    <xf numFmtId="184" fontId="2" fillId="0" borderId="155" xfId="21" applyNumberFormat="1" applyBorder="1" applyAlignment="1" applyProtection="1">
      <alignment horizontal="center" vertical="top"/>
      <protection locked="0"/>
    </xf>
    <xf numFmtId="0" fontId="2" fillId="0" borderId="155" xfId="21" applyBorder="1" applyAlignment="1" applyProtection="1">
      <alignment vertical="top" wrapText="1"/>
      <protection locked="0"/>
    </xf>
    <xf numFmtId="0" fontId="2" fillId="0" borderId="0" xfId="21" applyProtection="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21" applyFont="1" applyBorder="1" applyAlignment="1" applyProtection="1">
      <alignment horizontal="left" vertical="top" wrapText="1"/>
      <protection hidden="1"/>
    </xf>
    <xf numFmtId="0" fontId="127" fillId="0" borderId="0" xfId="21" applyFont="1" applyAlignment="1" applyProtection="1">
      <alignment horizontal="left" vertical="top" wrapText="1"/>
      <protection hidden="1"/>
    </xf>
    <xf numFmtId="0" fontId="127" fillId="0" borderId="97" xfId="21" applyFont="1" applyBorder="1" applyAlignment="1" applyProtection="1">
      <alignment horizontal="left" vertical="top" wrapText="1"/>
      <protection hidden="1"/>
    </xf>
    <xf numFmtId="0" fontId="126" fillId="22" borderId="138" xfId="21" applyFont="1" applyFill="1" applyBorder="1" applyAlignment="1">
      <alignment horizontal="center" vertical="center"/>
    </xf>
    <xf numFmtId="0" fontId="126" fillId="22" borderId="139" xfId="21" applyFont="1" applyFill="1" applyBorder="1" applyAlignment="1">
      <alignment horizontal="center" vertical="center"/>
    </xf>
    <xf numFmtId="0" fontId="126" fillId="22" borderId="140" xfId="21" applyFont="1" applyFill="1" applyBorder="1" applyAlignment="1">
      <alignment horizontal="center" vertical="center"/>
    </xf>
    <xf numFmtId="0" fontId="126" fillId="22" borderId="98" xfId="21" applyFont="1" applyFill="1" applyBorder="1" applyAlignment="1">
      <alignment horizontal="center" vertical="center"/>
    </xf>
    <xf numFmtId="0" fontId="126" fillId="22" borderId="78" xfId="21" applyFont="1" applyFill="1" applyBorder="1" applyAlignment="1">
      <alignment horizontal="center" vertical="center"/>
    </xf>
    <xf numFmtId="0" fontId="126" fillId="22" borderId="99" xfId="21" applyFont="1" applyFill="1" applyBorder="1" applyAlignment="1">
      <alignment horizontal="center" vertical="center"/>
    </xf>
    <xf numFmtId="0" fontId="127" fillId="0" borderId="96" xfId="21" applyFont="1" applyBorder="1" applyAlignment="1">
      <alignment vertical="top" wrapText="1"/>
    </xf>
    <xf numFmtId="0" fontId="127" fillId="0" borderId="0" xfId="21" applyFont="1" applyAlignment="1">
      <alignment vertical="top" wrapText="1"/>
    </xf>
    <xf numFmtId="0" fontId="127" fillId="0" borderId="97" xfId="21" applyFont="1" applyBorder="1" applyAlignment="1">
      <alignment vertical="top" wrapText="1"/>
    </xf>
    <xf numFmtId="0" fontId="127" fillId="0" borderId="96" xfId="21" applyFont="1" applyBorder="1" applyAlignment="1">
      <alignment vertical="top"/>
    </xf>
    <xf numFmtId="0" fontId="127" fillId="0" borderId="0" xfId="21" applyFont="1" applyAlignment="1">
      <alignment vertical="top"/>
    </xf>
    <xf numFmtId="0" fontId="127" fillId="0" borderId="97" xfId="21"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1" xr:uid="{E6B3D0D6-A110-4515-9DEA-28F450E4E78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76200</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00000000-0008-0000-0E00-0000010801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67586" name="Object 2" hidden="1">
              <a:extLst>
                <a:ext uri="{63B3BB69-23CF-44E3-9099-C40C66FF867C}">
                  <a14:compatExt spid="_x0000_s67586"/>
                </a:ext>
                <a:ext uri="{FF2B5EF4-FFF2-40B4-BE49-F238E27FC236}">
                  <a16:creationId xmlns:a16="http://schemas.microsoft.com/office/drawing/2014/main" id="{00000000-0008-0000-0E00-0000020801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285750</xdr:colOff>
          <xdr:row>9</xdr:row>
          <xdr:rowOff>95250</xdr:rowOff>
        </xdr:to>
        <xdr:sp macro="" textlink="">
          <xdr:nvSpPr>
            <xdr:cNvPr id="74754" name="Object 2" hidden="1">
              <a:extLst>
                <a:ext uri="{63B3BB69-23CF-44E3-9099-C40C66FF867C}">
                  <a14:compatExt spid="_x0000_s74754"/>
                </a:ext>
                <a:ext uri="{FF2B5EF4-FFF2-40B4-BE49-F238E27FC236}">
                  <a16:creationId xmlns:a16="http://schemas.microsoft.com/office/drawing/2014/main" id="{00000000-0008-0000-1400-000002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285750</xdr:colOff>
          <xdr:row>9</xdr:row>
          <xdr:rowOff>95250</xdr:rowOff>
        </xdr:to>
        <xdr:sp macro="" textlink="">
          <xdr:nvSpPr>
            <xdr:cNvPr id="74755" name="Object 3" hidden="1">
              <a:extLst>
                <a:ext uri="{63B3BB69-23CF-44E3-9099-C40C66FF867C}">
                  <a14:compatExt spid="_x0000_s74755"/>
                </a:ext>
                <a:ext uri="{FF2B5EF4-FFF2-40B4-BE49-F238E27FC236}">
                  <a16:creationId xmlns:a16="http://schemas.microsoft.com/office/drawing/2014/main" id="{00000000-0008-0000-1400-000003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8</xdr:col>
          <xdr:colOff>285750</xdr:colOff>
          <xdr:row>9</xdr:row>
          <xdr:rowOff>95250</xdr:rowOff>
        </xdr:to>
        <xdr:sp macro="" textlink="">
          <xdr:nvSpPr>
            <xdr:cNvPr id="74756" name="Object 4" hidden="1">
              <a:extLst>
                <a:ext uri="{63B3BB69-23CF-44E3-9099-C40C66FF867C}">
                  <a14:compatExt spid="_x0000_s74756"/>
                </a:ext>
                <a:ext uri="{FF2B5EF4-FFF2-40B4-BE49-F238E27FC236}">
                  <a16:creationId xmlns:a16="http://schemas.microsoft.com/office/drawing/2014/main" id="{00000000-0008-0000-1400-000004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0</xdr:rowOff>
        </xdr:from>
        <xdr:to>
          <xdr:col>10</xdr:col>
          <xdr:colOff>285750</xdr:colOff>
          <xdr:row>9</xdr:row>
          <xdr:rowOff>95250</xdr:rowOff>
        </xdr:to>
        <xdr:sp macro="" textlink="">
          <xdr:nvSpPr>
            <xdr:cNvPr id="74757" name="Object 5" hidden="1">
              <a:extLst>
                <a:ext uri="{63B3BB69-23CF-44E3-9099-C40C66FF867C}">
                  <a14:compatExt spid="_x0000_s74757"/>
                </a:ext>
                <a:ext uri="{FF2B5EF4-FFF2-40B4-BE49-F238E27FC236}">
                  <a16:creationId xmlns:a16="http://schemas.microsoft.com/office/drawing/2014/main" id="{00000000-0008-0000-1400-000005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a\Desktop\Copy%20of%20afr-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E2">
            <v>2020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6">
        <f>+'AFR20'!E4</f>
        <v>44119</v>
      </c>
      <c r="C1" s="2116"/>
      <c r="D1" s="2117"/>
      <c r="I1" s="2075" t="s">
        <v>402</v>
      </c>
      <c r="J1" s="2076"/>
      <c r="K1" s="2076"/>
      <c r="L1" s="2076"/>
      <c r="M1" s="2076"/>
      <c r="N1" s="2076"/>
      <c r="O1" s="2076"/>
      <c r="P1" s="2076"/>
      <c r="Q1" s="2076"/>
      <c r="R1" s="2076"/>
      <c r="S1" s="2076"/>
    </row>
    <row r="2" spans="1:32" ht="12" customHeight="1" x14ac:dyDescent="0.2">
      <c r="A2" s="1831" t="str">
        <f>"Due to ISBE on "</f>
        <v xml:space="preserve">Due to ISBE on </v>
      </c>
      <c r="B2" s="2118">
        <f>+'AFR20'!F4</f>
        <v>44151</v>
      </c>
      <c r="C2" s="2118"/>
      <c r="D2" s="2119"/>
      <c r="I2" s="2077" t="s">
        <v>2000</v>
      </c>
      <c r="J2" s="2076"/>
      <c r="K2" s="2076"/>
      <c r="L2" s="2076"/>
      <c r="M2" s="2076"/>
      <c r="N2" s="2076"/>
      <c r="O2" s="2076"/>
      <c r="P2" s="2076"/>
      <c r="Q2" s="2076"/>
      <c r="R2" s="2076"/>
      <c r="S2" s="2076"/>
    </row>
    <row r="3" spans="1:32" ht="12" customHeight="1" x14ac:dyDescent="0.2">
      <c r="A3" s="1834" t="str">
        <f>"SD/JA"&amp;MID('AFR20'!E2,3,2)</f>
        <v>SD/JA20</v>
      </c>
      <c r="B3" s="151"/>
      <c r="C3" s="151"/>
      <c r="D3" s="152"/>
      <c r="I3" s="2077" t="s">
        <v>52</v>
      </c>
      <c r="J3" s="2076"/>
      <c r="K3" s="2076"/>
      <c r="L3" s="2076"/>
      <c r="M3" s="2076"/>
      <c r="N3" s="2076"/>
      <c r="O3" s="2076"/>
      <c r="P3" s="2076"/>
      <c r="Q3" s="2076"/>
      <c r="R3" s="2076"/>
      <c r="S3" s="2076"/>
    </row>
    <row r="4" spans="1:32" ht="12" customHeight="1" x14ac:dyDescent="0.2">
      <c r="A4" s="37"/>
      <c r="I4" s="2077" t="s">
        <v>521</v>
      </c>
      <c r="J4" s="2076"/>
      <c r="K4" s="2076"/>
      <c r="L4" s="2076"/>
      <c r="M4" s="2076"/>
      <c r="N4" s="2076"/>
      <c r="O4" s="2076"/>
      <c r="P4" s="2076"/>
      <c r="Q4" s="2076"/>
      <c r="R4" s="2076"/>
      <c r="S4" s="2076"/>
    </row>
    <row r="5" spans="1:32" ht="14.1" customHeight="1" x14ac:dyDescent="0.2">
      <c r="B5" s="101" t="s">
        <v>2048</v>
      </c>
      <c r="C5" s="26" t="s">
        <v>904</v>
      </c>
      <c r="D5" s="81"/>
      <c r="E5" s="81"/>
      <c r="H5" s="38"/>
      <c r="I5" s="2085" t="s">
        <v>675</v>
      </c>
      <c r="J5" s="2084"/>
      <c r="K5" s="2084"/>
      <c r="L5" s="2084"/>
      <c r="M5" s="2084"/>
      <c r="N5" s="2084"/>
      <c r="O5" s="2084"/>
      <c r="P5" s="2084"/>
      <c r="Q5" s="2084"/>
      <c r="R5" s="2084"/>
      <c r="S5" s="2084"/>
      <c r="AF5" s="1827"/>
    </row>
    <row r="6" spans="1:32" ht="14.1" customHeight="1" x14ac:dyDescent="0.2">
      <c r="B6" s="101"/>
      <c r="C6" s="26" t="s">
        <v>905</v>
      </c>
      <c r="D6" s="81"/>
      <c r="E6" s="81"/>
      <c r="I6" s="2083" t="s">
        <v>877</v>
      </c>
      <c r="J6" s="2084"/>
      <c r="K6" s="2084"/>
      <c r="L6" s="2084"/>
      <c r="M6" s="2084"/>
      <c r="N6" s="2084"/>
      <c r="O6" s="2084"/>
      <c r="P6" s="2084"/>
      <c r="Q6" s="2084"/>
      <c r="R6" s="2084"/>
      <c r="S6" s="2084"/>
    </row>
    <row r="7" spans="1:32" ht="12.2" customHeight="1" x14ac:dyDescent="0.2">
      <c r="I7" s="2078" t="str">
        <f>"June 30, "&amp;'AFR20'!E2</f>
        <v>June 30, 2020</v>
      </c>
      <c r="J7" s="2079"/>
      <c r="K7" s="2079"/>
      <c r="L7" s="2079"/>
      <c r="M7" s="2079"/>
      <c r="N7" s="2079"/>
      <c r="O7" s="2079"/>
      <c r="P7" s="2079"/>
      <c r="Q7" s="2079"/>
      <c r="R7" s="2079"/>
      <c r="S7" s="207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0" t="s">
        <v>669</v>
      </c>
      <c r="J9" s="2081"/>
      <c r="K9" s="2081"/>
      <c r="L9" s="2081"/>
      <c r="M9" s="2081"/>
      <c r="N9" s="2081"/>
      <c r="O9" s="2081"/>
      <c r="P9" s="2081"/>
      <c r="Q9" s="2081"/>
      <c r="R9" s="2081"/>
      <c r="S9" s="2082"/>
      <c r="T9" s="2134" t="s">
        <v>530</v>
      </c>
      <c r="U9" s="2135"/>
      <c r="V9" s="2135"/>
      <c r="W9" s="2135"/>
      <c r="X9" s="2135"/>
      <c r="Y9" s="2135"/>
      <c r="Z9" s="2135"/>
      <c r="AA9" s="2136"/>
    </row>
    <row r="10" spans="1:32" ht="13.5" customHeight="1" x14ac:dyDescent="0.2">
      <c r="A10" s="2141" t="s">
        <v>670</v>
      </c>
      <c r="B10" s="2142"/>
      <c r="C10" s="2142"/>
      <c r="D10" s="2142"/>
      <c r="E10" s="2142"/>
      <c r="F10" s="2142"/>
      <c r="G10" s="2142"/>
      <c r="H10" s="2143"/>
      <c r="I10" s="29"/>
      <c r="J10" s="30"/>
      <c r="K10" s="28"/>
      <c r="R10" s="30"/>
      <c r="S10" s="30"/>
      <c r="T10" s="2137"/>
      <c r="U10" s="2084"/>
      <c r="V10" s="2084"/>
      <c r="W10" s="2084"/>
      <c r="X10" s="2084"/>
      <c r="Y10" s="2084"/>
      <c r="Z10" s="2084"/>
      <c r="AA10" s="2090"/>
    </row>
    <row r="11" spans="1:32" ht="14.25" customHeight="1" x14ac:dyDescent="0.2">
      <c r="A11" s="2144" t="s">
        <v>949</v>
      </c>
      <c r="B11" s="2145"/>
      <c r="C11" s="2145"/>
      <c r="D11" s="2145"/>
      <c r="E11" s="2145"/>
      <c r="F11" s="2145"/>
      <c r="G11" s="2145"/>
      <c r="H11" s="2146"/>
      <c r="I11" s="27"/>
      <c r="J11" s="71"/>
      <c r="K11" s="27"/>
      <c r="O11" s="144"/>
      <c r="P11" s="97" t="s">
        <v>199</v>
      </c>
      <c r="Q11" s="30"/>
      <c r="R11" s="28"/>
      <c r="S11" s="27"/>
      <c r="T11" s="2138"/>
      <c r="U11" s="2139"/>
      <c r="V11" s="2139"/>
      <c r="W11" s="2139"/>
      <c r="X11" s="2139"/>
      <c r="Y11" s="2139"/>
      <c r="Z11" s="2139"/>
      <c r="AA11" s="2140"/>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96">
        <v>49081030017</v>
      </c>
      <c r="B13" s="2097"/>
      <c r="C13" s="2097"/>
      <c r="D13" s="2097"/>
      <c r="E13" s="2097"/>
      <c r="F13" s="2097"/>
      <c r="G13" s="2097"/>
      <c r="H13" s="2098"/>
      <c r="I13" s="31"/>
      <c r="J13" s="30"/>
      <c r="K13" s="28"/>
      <c r="L13" s="30"/>
      <c r="M13" s="30"/>
      <c r="N13" s="30"/>
      <c r="O13" s="30"/>
      <c r="P13" s="30"/>
      <c r="Q13" s="30"/>
      <c r="R13" s="30"/>
      <c r="S13" s="30"/>
      <c r="T13" s="2102" t="s">
        <v>2056</v>
      </c>
      <c r="U13" s="2103"/>
      <c r="V13" s="2103"/>
      <c r="W13" s="2103"/>
      <c r="X13" s="2103"/>
      <c r="Y13" s="2104"/>
      <c r="Z13" s="2104"/>
      <c r="AA13" s="210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9" t="s">
        <v>2049</v>
      </c>
      <c r="B15" s="2100"/>
      <c r="C15" s="2100"/>
      <c r="D15" s="2100"/>
      <c r="E15" s="2100"/>
      <c r="F15" s="2100"/>
      <c r="G15" s="2100"/>
      <c r="H15" s="2101"/>
      <c r="T15" s="2106" t="s">
        <v>2057</v>
      </c>
      <c r="U15" s="2063"/>
      <c r="V15" s="2063"/>
      <c r="W15" s="2063"/>
      <c r="X15" s="2063"/>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9" t="s">
        <v>2258</v>
      </c>
      <c r="B17" s="2070"/>
      <c r="C17" s="2070"/>
      <c r="D17" s="2070"/>
      <c r="E17" s="2070"/>
      <c r="F17" s="2070"/>
      <c r="G17" s="2070"/>
      <c r="H17" s="2095"/>
      <c r="T17" s="2113" t="s">
        <v>2058</v>
      </c>
      <c r="U17" s="2114"/>
      <c r="V17" s="2114"/>
      <c r="W17" s="2114"/>
      <c r="X17" s="2114"/>
      <c r="Y17" s="2114"/>
      <c r="Z17" s="2114"/>
      <c r="AA17" s="2115"/>
    </row>
    <row r="18" spans="1:27" ht="13.5" customHeight="1" x14ac:dyDescent="0.2">
      <c r="A18" s="82" t="s">
        <v>527</v>
      </c>
      <c r="B18" s="73"/>
      <c r="C18" s="69"/>
      <c r="D18" s="73"/>
      <c r="E18" s="73"/>
      <c r="F18" s="73"/>
      <c r="G18" s="73"/>
      <c r="H18" s="53"/>
      <c r="I18" s="2094" t="s">
        <v>671</v>
      </c>
      <c r="J18" s="2045"/>
      <c r="K18" s="2045"/>
      <c r="L18" s="2045"/>
      <c r="M18" s="2045"/>
      <c r="N18" s="2045"/>
      <c r="O18" s="2045"/>
      <c r="P18" s="2045"/>
      <c r="Q18" s="2045"/>
      <c r="R18" s="2045"/>
      <c r="S18" s="2046"/>
      <c r="T18" s="82" t="s">
        <v>706</v>
      </c>
      <c r="U18" s="48"/>
      <c r="V18" s="69"/>
      <c r="W18" s="47"/>
      <c r="X18" s="82" t="s">
        <v>264</v>
      </c>
      <c r="Y18" s="78"/>
      <c r="Z18" s="154" t="s">
        <v>672</v>
      </c>
      <c r="AA18" s="44"/>
    </row>
    <row r="19" spans="1:27" ht="13.5" customHeight="1" x14ac:dyDescent="0.2">
      <c r="A19" s="2099" t="s">
        <v>2050</v>
      </c>
      <c r="B19" s="2055"/>
      <c r="C19" s="2055"/>
      <c r="D19" s="2055"/>
      <c r="E19" s="2055"/>
      <c r="F19" s="2055"/>
      <c r="G19" s="2055"/>
      <c r="H19" s="2035"/>
      <c r="I19" s="30"/>
      <c r="J19" s="96"/>
      <c r="K19" s="40"/>
      <c r="L19" s="38"/>
      <c r="M19" s="109" t="s">
        <v>312</v>
      </c>
      <c r="P19" s="27"/>
      <c r="Q19" s="27"/>
      <c r="R19" s="27"/>
      <c r="S19" s="31"/>
      <c r="T19" s="2099" t="s">
        <v>2059</v>
      </c>
      <c r="U19" s="2034"/>
      <c r="V19" s="2034"/>
      <c r="W19" s="2035"/>
      <c r="X19" s="2111" t="s">
        <v>2060</v>
      </c>
      <c r="Y19" s="2112"/>
      <c r="Z19" s="2109">
        <v>61265</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3" t="s">
        <v>2051</v>
      </c>
      <c r="B21" s="2034"/>
      <c r="C21" s="2034"/>
      <c r="D21" s="2034"/>
      <c r="E21" s="2034"/>
      <c r="F21" s="2034"/>
      <c r="G21" s="2034"/>
      <c r="H21" s="2035"/>
      <c r="I21" s="2089" t="s">
        <v>673</v>
      </c>
      <c r="J21" s="2084"/>
      <c r="K21" s="2084"/>
      <c r="L21" s="2084"/>
      <c r="M21" s="2084"/>
      <c r="N21" s="2084"/>
      <c r="O21" s="2084"/>
      <c r="P21" s="2084"/>
      <c r="Q21" s="2084"/>
      <c r="R21" s="2084"/>
      <c r="S21" s="2090"/>
      <c r="T21" s="2125" t="s">
        <v>2061</v>
      </c>
      <c r="U21" s="2126"/>
      <c r="V21" s="2126"/>
      <c r="W21" s="2126"/>
      <c r="X21" s="2131"/>
      <c r="Y21" s="2132"/>
      <c r="Z21" s="2132"/>
      <c r="AA21" s="2133"/>
    </row>
    <row r="22" spans="1:27" ht="13.5" customHeight="1" x14ac:dyDescent="0.2">
      <c r="A22" s="84" t="s">
        <v>528</v>
      </c>
      <c r="B22" s="56"/>
      <c r="C22" s="56"/>
      <c r="D22" s="56"/>
      <c r="E22" s="56"/>
      <c r="F22" s="56"/>
      <c r="G22" s="56"/>
      <c r="H22" s="57"/>
      <c r="I22" s="2091" t="s">
        <v>1412</v>
      </c>
      <c r="J22" s="2092"/>
      <c r="K22" s="2092"/>
      <c r="L22" s="2092"/>
      <c r="M22" s="2092"/>
      <c r="N22" s="2092"/>
      <c r="O22" s="2092"/>
      <c r="P22" s="2092"/>
      <c r="Q22" s="2092"/>
      <c r="R22" s="2092"/>
      <c r="S22" s="2093"/>
      <c r="T22" s="82" t="s">
        <v>1499</v>
      </c>
      <c r="U22" s="48"/>
      <c r="V22" s="69"/>
      <c r="W22" s="48"/>
      <c r="X22" s="155" t="s">
        <v>1307</v>
      </c>
      <c r="Z22" s="43"/>
      <c r="AA22" s="44"/>
    </row>
    <row r="23" spans="1:27" ht="13.5" customHeight="1" x14ac:dyDescent="0.2">
      <c r="A23" s="2086" t="s">
        <v>2052</v>
      </c>
      <c r="B23" s="2087"/>
      <c r="C23" s="2087"/>
      <c r="D23" s="2087"/>
      <c r="E23" s="2087"/>
      <c r="F23" s="2087"/>
      <c r="G23" s="2087"/>
      <c r="H23" s="2088"/>
      <c r="T23" s="2123" t="s">
        <v>2062</v>
      </c>
      <c r="U23" s="2124"/>
      <c r="V23" s="2124"/>
      <c r="W23" s="2124"/>
      <c r="X23" s="2128" t="s">
        <v>2063</v>
      </c>
      <c r="Y23" s="2129"/>
      <c r="Z23" s="2129"/>
      <c r="AA23" s="2130"/>
    </row>
    <row r="24" spans="1:27" ht="14.1" customHeight="1" x14ac:dyDescent="0.2">
      <c r="A24" s="85" t="s">
        <v>672</v>
      </c>
      <c r="B24" s="46"/>
      <c r="C24" s="46"/>
      <c r="D24" s="46"/>
      <c r="E24" s="46"/>
      <c r="F24" s="46"/>
      <c r="G24" s="46"/>
      <c r="H24" s="58"/>
      <c r="J24" s="2056">
        <f>IF(B5="x",IF(AUDITCHECK!D29="AFR form Incomplete.","",IF(AUDITCHECK!D29="Deficit reduction plan is required.","School District must complete a deficit reduction plan in the 2020-2021 Budget",)),"")</f>
        <v>0</v>
      </c>
      <c r="K24" s="2056"/>
      <c r="L24" s="2056"/>
      <c r="M24" s="2056"/>
      <c r="N24" s="2056"/>
      <c r="O24" s="2056"/>
      <c r="P24" s="2056"/>
      <c r="Q24" s="2056"/>
      <c r="R24" s="2056"/>
      <c r="S24" s="2057"/>
      <c r="T24" s="102" t="s">
        <v>528</v>
      </c>
      <c r="U24" s="103"/>
      <c r="V24" s="103"/>
      <c r="W24" s="103"/>
      <c r="X24" s="104"/>
      <c r="Y24" s="104"/>
      <c r="Z24" s="104"/>
      <c r="AA24" s="105"/>
    </row>
    <row r="25" spans="1:27" ht="14.1" customHeight="1" x14ac:dyDescent="0.2">
      <c r="A25" s="2033">
        <v>61244</v>
      </c>
      <c r="B25" s="2034"/>
      <c r="C25" s="2034"/>
      <c r="D25" s="2034"/>
      <c r="E25" s="2034"/>
      <c r="F25" s="2034"/>
      <c r="G25" s="2034"/>
      <c r="H25" s="2035"/>
      <c r="I25" s="110"/>
      <c r="J25" s="2058"/>
      <c r="K25" s="2058"/>
      <c r="L25" s="2058"/>
      <c r="M25" s="2058"/>
      <c r="N25" s="2058"/>
      <c r="O25" s="2058"/>
      <c r="P25" s="2058"/>
      <c r="Q25" s="2058"/>
      <c r="R25" s="2058"/>
      <c r="S25" s="2059"/>
      <c r="T25" s="2120" t="s">
        <v>2064</v>
      </c>
      <c r="U25" s="2121"/>
      <c r="V25" s="2121"/>
      <c r="W25" s="2121"/>
      <c r="X25" s="2121"/>
      <c r="Y25" s="2121"/>
      <c r="Z25" s="2121"/>
      <c r="AA25" s="212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4" t="s">
        <v>1494</v>
      </c>
      <c r="J27" s="2045"/>
      <c r="K27" s="2045"/>
      <c r="L27" s="2045"/>
      <c r="M27" s="2045"/>
      <c r="N27" s="2045"/>
      <c r="O27" s="2045"/>
      <c r="P27" s="2045"/>
      <c r="Q27" s="2045"/>
      <c r="R27" s="2045"/>
      <c r="S27" s="204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5"/>
      <c r="Q35" s="2034"/>
      <c r="R35" s="203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9" t="s">
        <v>2053</v>
      </c>
      <c r="B38" s="2070"/>
      <c r="C38" s="2070"/>
      <c r="D38" s="2070"/>
      <c r="E38" s="2070"/>
      <c r="F38" s="2034"/>
      <c r="G38" s="2034"/>
      <c r="H38" s="2035"/>
      <c r="I38" s="2062"/>
      <c r="J38" s="2063"/>
      <c r="K38" s="2063"/>
      <c r="L38" s="2063"/>
      <c r="M38" s="2063"/>
      <c r="N38" s="2063"/>
      <c r="O38" s="2063"/>
      <c r="P38" s="2064"/>
      <c r="Q38" s="2064"/>
      <c r="R38" s="2064"/>
      <c r="S38" s="2065"/>
      <c r="T38" s="2106"/>
      <c r="U38" s="2063"/>
      <c r="V38" s="2063"/>
      <c r="W38" s="2063"/>
      <c r="X38" s="2064"/>
      <c r="Y38" s="2064"/>
      <c r="Z38" s="2064"/>
      <c r="AA38" s="2065"/>
    </row>
    <row r="39" spans="1:27" ht="12" customHeight="1" x14ac:dyDescent="0.2">
      <c r="A39" s="2039" t="s">
        <v>528</v>
      </c>
      <c r="B39" s="2040"/>
      <c r="C39" s="69"/>
      <c r="D39" s="66"/>
      <c r="E39" s="66"/>
      <c r="F39" s="76"/>
      <c r="G39" s="66"/>
      <c r="H39" s="53"/>
      <c r="I39" s="2039" t="s">
        <v>528</v>
      </c>
      <c r="J39" s="2040"/>
      <c r="K39" s="2040"/>
      <c r="L39" s="2040"/>
      <c r="M39" s="2040"/>
      <c r="N39" s="64"/>
      <c r="O39" s="69"/>
      <c r="P39" s="69"/>
      <c r="Q39" s="75"/>
      <c r="R39" s="69"/>
      <c r="S39" s="53"/>
      <c r="T39" s="69" t="s">
        <v>528</v>
      </c>
      <c r="U39" s="48"/>
      <c r="V39" s="69"/>
      <c r="W39" s="47"/>
      <c r="X39" s="75"/>
      <c r="Y39" s="43"/>
      <c r="Z39" s="43"/>
      <c r="AA39" s="44"/>
    </row>
    <row r="40" spans="1:27" ht="13.5" customHeight="1" x14ac:dyDescent="0.2">
      <c r="A40" s="2047" t="s">
        <v>2052</v>
      </c>
      <c r="B40" s="2048"/>
      <c r="C40" s="2049"/>
      <c r="D40" s="2049"/>
      <c r="E40" s="2049"/>
      <c r="F40" s="2050"/>
      <c r="G40" s="2050"/>
      <c r="H40" s="2051"/>
      <c r="I40" s="2072"/>
      <c r="J40" s="2073"/>
      <c r="K40" s="2073"/>
      <c r="L40" s="2073"/>
      <c r="M40" s="2073"/>
      <c r="N40" s="2073"/>
      <c r="O40" s="2073"/>
      <c r="P40" s="2073"/>
      <c r="Q40" s="2073"/>
      <c r="R40" s="2073"/>
      <c r="S40" s="2074"/>
      <c r="T40" s="2072"/>
      <c r="U40" s="2127"/>
      <c r="V40" s="2073"/>
      <c r="W40" s="2073"/>
      <c r="X40" s="2073"/>
      <c r="Y40" s="2073"/>
      <c r="Z40" s="2073"/>
      <c r="AA40" s="207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1" t="s">
        <v>2054</v>
      </c>
      <c r="B42" s="2053"/>
      <c r="C42" s="2054"/>
      <c r="D42" s="2052" t="s">
        <v>2055</v>
      </c>
      <c r="E42" s="2053"/>
      <c r="F42" s="2053"/>
      <c r="G42" s="2053"/>
      <c r="H42" s="2054"/>
      <c r="I42" s="2036"/>
      <c r="J42" s="2037"/>
      <c r="K42" s="2037"/>
      <c r="L42" s="2037"/>
      <c r="M42" s="2037"/>
      <c r="N42" s="2037"/>
      <c r="O42" s="2038"/>
      <c r="P42" s="2071"/>
      <c r="Q42" s="2037"/>
      <c r="R42" s="2037"/>
      <c r="S42" s="2038"/>
      <c r="T42" s="2036"/>
      <c r="U42" s="2037"/>
      <c r="V42" s="2037"/>
      <c r="W42" s="2038"/>
      <c r="X42" s="2071"/>
      <c r="Y42" s="2037"/>
      <c r="Z42" s="2037"/>
      <c r="AA42" s="203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6"/>
      <c r="B44" s="2067"/>
      <c r="C44" s="2067"/>
      <c r="D44" s="2067"/>
      <c r="E44" s="2067"/>
      <c r="F44" s="2067"/>
      <c r="G44" s="2067"/>
      <c r="H44" s="2068"/>
      <c r="I44" s="2041"/>
      <c r="J44" s="2042"/>
      <c r="K44" s="2042"/>
      <c r="L44" s="2042"/>
      <c r="M44" s="2042"/>
      <c r="N44" s="2042"/>
      <c r="O44" s="2042"/>
      <c r="P44" s="2042"/>
      <c r="Q44" s="2042"/>
      <c r="R44" s="2042"/>
      <c r="S44" s="2043"/>
      <c r="T44" s="2041"/>
      <c r="U44" s="2060"/>
      <c r="V44" s="2060"/>
      <c r="W44" s="2060"/>
      <c r="X44" s="2060"/>
      <c r="Y44" s="2060"/>
      <c r="Z44" s="2042"/>
      <c r="AA44" s="204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F23" sqref="F2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5"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6"/>
      <c r="B3" s="1294"/>
      <c r="C3" s="1295"/>
      <c r="D3" s="1296" t="s">
        <v>254</v>
      </c>
      <c r="E3" s="1295"/>
      <c r="F3" s="1296" t="s">
        <v>255</v>
      </c>
    </row>
    <row r="4" spans="1:8" ht="13.7" customHeight="1" x14ac:dyDescent="0.2">
      <c r="A4" s="579" t="s">
        <v>1145</v>
      </c>
      <c r="B4" s="1721">
        <v>5197908</v>
      </c>
      <c r="C4" s="1722">
        <v>1935644</v>
      </c>
      <c r="D4" s="1723">
        <f>B4-C4</f>
        <v>3262264</v>
      </c>
      <c r="E4" s="1722">
        <v>5049681</v>
      </c>
      <c r="F4" s="1723">
        <f>E4-C4</f>
        <v>3114037</v>
      </c>
    </row>
    <row r="5" spans="1:8" ht="13.7" customHeight="1" x14ac:dyDescent="0.2">
      <c r="A5" s="579" t="s">
        <v>865</v>
      </c>
      <c r="B5" s="1724">
        <v>1412509</v>
      </c>
      <c r="C5" s="1664">
        <v>525990</v>
      </c>
      <c r="D5" s="1725">
        <f t="shared" ref="D5:D18" si="0">B5-C5</f>
        <v>886519</v>
      </c>
      <c r="E5" s="1664">
        <v>1372196</v>
      </c>
      <c r="F5" s="1725">
        <f>E5-C5</f>
        <v>846206</v>
      </c>
    </row>
    <row r="6" spans="1:8" ht="13.7" customHeight="1" x14ac:dyDescent="0.2">
      <c r="A6" s="579" t="s">
        <v>408</v>
      </c>
      <c r="B6" s="1724">
        <v>1098095</v>
      </c>
      <c r="C6" s="1664">
        <v>405223</v>
      </c>
      <c r="D6" s="1725">
        <f t="shared" si="0"/>
        <v>692872</v>
      </c>
      <c r="E6" s="1664">
        <v>1057140</v>
      </c>
      <c r="F6" s="1725">
        <f t="shared" ref="F6:F18" si="1">E6-C6</f>
        <v>651917</v>
      </c>
    </row>
    <row r="7" spans="1:8" ht="13.7" customHeight="1" x14ac:dyDescent="0.2">
      <c r="A7" s="579" t="s">
        <v>154</v>
      </c>
      <c r="B7" s="1724">
        <v>677985</v>
      </c>
      <c r="C7" s="1664">
        <v>252475</v>
      </c>
      <c r="D7" s="1725">
        <f t="shared" si="0"/>
        <v>425510</v>
      </c>
      <c r="E7" s="1664">
        <v>658654</v>
      </c>
      <c r="F7" s="1725">
        <f t="shared" si="1"/>
        <v>406179</v>
      </c>
    </row>
    <row r="8" spans="1:8" ht="13.7" customHeight="1" x14ac:dyDescent="0.2">
      <c r="A8" s="579" t="s">
        <v>1169</v>
      </c>
      <c r="B8" s="1724">
        <v>27449</v>
      </c>
      <c r="C8" s="1664">
        <v>5470</v>
      </c>
      <c r="D8" s="1725">
        <f t="shared" si="0"/>
        <v>21979</v>
      </c>
      <c r="E8" s="1664">
        <v>14270</v>
      </c>
      <c r="F8" s="1725">
        <f t="shared" si="1"/>
        <v>8800</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v>282494</v>
      </c>
      <c r="C10" s="1664">
        <v>105198</v>
      </c>
      <c r="D10" s="1725">
        <f t="shared" si="0"/>
        <v>177296</v>
      </c>
      <c r="E10" s="1664">
        <v>274439</v>
      </c>
      <c r="F10" s="1725">
        <f t="shared" si="1"/>
        <v>169241</v>
      </c>
    </row>
    <row r="11" spans="1:8" x14ac:dyDescent="0.2">
      <c r="A11" s="579" t="s">
        <v>406</v>
      </c>
      <c r="B11" s="1724">
        <v>639729</v>
      </c>
      <c r="C11" s="1664">
        <v>242587</v>
      </c>
      <c r="D11" s="1725">
        <f t="shared" si="0"/>
        <v>397142</v>
      </c>
      <c r="E11" s="1664">
        <v>632857</v>
      </c>
      <c r="F11" s="1725">
        <f t="shared" si="1"/>
        <v>390270</v>
      </c>
    </row>
    <row r="12" spans="1:8" ht="13.7" customHeight="1" x14ac:dyDescent="0.2">
      <c r="A12" s="579" t="s">
        <v>156</v>
      </c>
      <c r="B12" s="1724">
        <v>282494</v>
      </c>
      <c r="C12" s="1664">
        <v>105198</v>
      </c>
      <c r="D12" s="1725">
        <f t="shared" si="0"/>
        <v>177296</v>
      </c>
      <c r="E12" s="1664">
        <v>274439</v>
      </c>
      <c r="F12" s="1725">
        <f t="shared" si="1"/>
        <v>169241</v>
      </c>
    </row>
    <row r="13" spans="1:8" ht="13.7" customHeight="1" x14ac:dyDescent="0.2">
      <c r="A13" s="579" t="s">
        <v>930</v>
      </c>
      <c r="B13" s="1724">
        <v>282449</v>
      </c>
      <c r="C13" s="1664">
        <v>105198</v>
      </c>
      <c r="D13" s="1725">
        <f t="shared" si="0"/>
        <v>177251</v>
      </c>
      <c r="E13" s="1664">
        <v>274439</v>
      </c>
      <c r="F13" s="1725">
        <f t="shared" si="1"/>
        <v>169241</v>
      </c>
    </row>
    <row r="14" spans="1:8" ht="13.7" customHeight="1" x14ac:dyDescent="0.2">
      <c r="A14" s="579" t="s">
        <v>407</v>
      </c>
      <c r="B14" s="1724">
        <v>112980</v>
      </c>
      <c r="C14" s="1664">
        <v>42079</v>
      </c>
      <c r="D14" s="1725">
        <f t="shared" si="0"/>
        <v>70901</v>
      </c>
      <c r="E14" s="1664">
        <v>109776</v>
      </c>
      <c r="F14" s="1725">
        <f t="shared" si="1"/>
        <v>67697</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v>661018</v>
      </c>
      <c r="C16" s="1664">
        <v>251213</v>
      </c>
      <c r="D16" s="1725">
        <f t="shared" si="0"/>
        <v>409805</v>
      </c>
      <c r="E16" s="1664">
        <v>655361</v>
      </c>
      <c r="F16" s="1725">
        <f t="shared" si="1"/>
        <v>404148</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10675110</v>
      </c>
      <c r="C19" s="1726">
        <f>SUM(C4:C18)</f>
        <v>3976275</v>
      </c>
      <c r="D19" s="1726">
        <f>SUM(D4:D18)</f>
        <v>6698835</v>
      </c>
      <c r="E19" s="1726">
        <f>SUM(E4:E18)</f>
        <v>10373252</v>
      </c>
      <c r="F19" s="1726">
        <f>SUM(F4:F18)</f>
        <v>6396977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H31" sqref="H31:H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7" t="s">
        <v>625</v>
      </c>
      <c r="B1" s="2305"/>
      <c r="C1" s="585"/>
    </row>
    <row r="2" spans="1:7" ht="33.75" x14ac:dyDescent="0.2">
      <c r="A2" s="2312" t="s">
        <v>1776</v>
      </c>
      <c r="B2" s="231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4" t="s">
        <v>1104</v>
      </c>
      <c r="B3" s="2315"/>
      <c r="C3" s="2308"/>
      <c r="D3" s="2309"/>
      <c r="E3" s="2309"/>
      <c r="F3" s="2310"/>
    </row>
    <row r="4" spans="1:7" ht="12.75" customHeight="1" thickBot="1" x14ac:dyDescent="0.25">
      <c r="A4" s="2302" t="s">
        <v>626</v>
      </c>
      <c r="B4" s="2303"/>
      <c r="C4" s="1656"/>
      <c r="D4" s="1656"/>
      <c r="E4" s="1656"/>
      <c r="F4" s="1732">
        <f>SUM(C4+D4)-E4</f>
        <v>0</v>
      </c>
    </row>
    <row r="5" spans="1:7" ht="15.75" customHeight="1" thickTop="1" x14ac:dyDescent="0.2">
      <c r="A5" s="2306" t="s">
        <v>1101</v>
      </c>
      <c r="B5" s="2301"/>
      <c r="C5" s="2295"/>
      <c r="D5" s="2296"/>
      <c r="E5" s="2296"/>
      <c r="F5" s="229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8" t="s">
        <v>627</v>
      </c>
      <c r="B15" s="2299"/>
      <c r="C15" s="1732">
        <f>SUM(C6:C14)</f>
        <v>0</v>
      </c>
      <c r="D15" s="1732">
        <f>SUM(D6:D14)</f>
        <v>0</v>
      </c>
      <c r="E15" s="1732">
        <f>SUM(E6:E14)</f>
        <v>0</v>
      </c>
      <c r="F15" s="1732">
        <f>SUM(F6:F14)</f>
        <v>0</v>
      </c>
      <c r="G15" s="473"/>
    </row>
    <row r="16" spans="1:7" s="197" customFormat="1" ht="15.75" customHeight="1" thickTop="1" x14ac:dyDescent="0.2">
      <c r="A16" s="2311" t="s">
        <v>1102</v>
      </c>
      <c r="B16" s="2301"/>
      <c r="C16" s="2295"/>
      <c r="D16" s="2296"/>
      <c r="E16" s="2296"/>
      <c r="F16" s="2297"/>
    </row>
    <row r="17" spans="1:11" ht="12.75" customHeight="1" thickBot="1" x14ac:dyDescent="0.25">
      <c r="A17" s="2293" t="s">
        <v>64</v>
      </c>
      <c r="B17" s="2294"/>
      <c r="C17" s="1733"/>
      <c r="D17" s="1664"/>
      <c r="E17" s="1733"/>
      <c r="F17" s="1732">
        <f>SUM(C17+D17)-E17</f>
        <v>0</v>
      </c>
    </row>
    <row r="18" spans="1:11" ht="12.75" customHeight="1" thickTop="1" thickBot="1" x14ac:dyDescent="0.25">
      <c r="A18" s="2293" t="s">
        <v>6</v>
      </c>
      <c r="B18" s="2294"/>
      <c r="C18" s="1733"/>
      <c r="D18" s="1664"/>
      <c r="E18" s="1733"/>
      <c r="F18" s="1732">
        <f>SUM(C18+D18)-E18</f>
        <v>0</v>
      </c>
    </row>
    <row r="19" spans="1:11" ht="12.75" customHeight="1" thickTop="1" thickBot="1" x14ac:dyDescent="0.25">
      <c r="A19" s="2293" t="s">
        <v>385</v>
      </c>
      <c r="B19" s="2294"/>
      <c r="C19" s="1733"/>
      <c r="D19" s="1664"/>
      <c r="E19" s="1733"/>
      <c r="F19" s="1732">
        <f>SUM(C19+D19)-E19</f>
        <v>0</v>
      </c>
    </row>
    <row r="20" spans="1:11" ht="12.75" customHeight="1" thickTop="1" thickBot="1" x14ac:dyDescent="0.25">
      <c r="A20" s="2293" t="s">
        <v>445</v>
      </c>
      <c r="B20" s="2294"/>
      <c r="C20" s="1733"/>
      <c r="D20" s="1664"/>
      <c r="E20" s="1733"/>
      <c r="F20" s="1732">
        <f>SUM(C20+D20)-E20</f>
        <v>0</v>
      </c>
    </row>
    <row r="21" spans="1:11" ht="14.25" thickTop="1" thickBot="1" x14ac:dyDescent="0.25">
      <c r="A21" s="2298" t="s">
        <v>628</v>
      </c>
      <c r="B21" s="2299"/>
      <c r="C21" s="1732">
        <f>SUM(C17:C20)</f>
        <v>0</v>
      </c>
      <c r="D21" s="1732">
        <f>SUM(D17:D20)</f>
        <v>0</v>
      </c>
      <c r="E21" s="1732">
        <f>SUM(E17:E20)</f>
        <v>0</v>
      </c>
      <c r="F21" s="1732">
        <f>SUM(F17:F20)</f>
        <v>0</v>
      </c>
      <c r="G21" s="473"/>
    </row>
    <row r="22" spans="1:11" ht="15.75" customHeight="1" thickTop="1" x14ac:dyDescent="0.2">
      <c r="A22" s="2300" t="s">
        <v>1103</v>
      </c>
      <c r="B22" s="2301"/>
      <c r="C22" s="2295"/>
      <c r="D22" s="2296"/>
      <c r="E22" s="2296"/>
      <c r="F22" s="2297"/>
    </row>
    <row r="23" spans="1:11" ht="13.5" thickBot="1" x14ac:dyDescent="0.25">
      <c r="A23" s="2302" t="s">
        <v>629</v>
      </c>
      <c r="B23" s="2303"/>
      <c r="C23" s="1656"/>
      <c r="D23" s="1656"/>
      <c r="E23" s="1656"/>
      <c r="F23" s="1732">
        <f>SUM(C23+D23)-E23</f>
        <v>0</v>
      </c>
      <c r="G23" s="473"/>
    </row>
    <row r="24" spans="1:11" ht="15.75" customHeight="1" thickTop="1" x14ac:dyDescent="0.2">
      <c r="A24" s="2300" t="s">
        <v>2003</v>
      </c>
      <c r="B24" s="2301"/>
      <c r="C24" s="2295"/>
      <c r="D24" s="2296"/>
      <c r="E24" s="2296"/>
      <c r="F24" s="2297"/>
    </row>
    <row r="25" spans="1:11" ht="13.5" thickBot="1" x14ac:dyDescent="0.25">
      <c r="A25" s="2302" t="s">
        <v>2004</v>
      </c>
      <c r="B25" s="2303"/>
      <c r="C25" s="1656"/>
      <c r="D25" s="1656"/>
      <c r="E25" s="1656"/>
      <c r="F25" s="1732">
        <f>SUM(C25+D25)-E25</f>
        <v>0</v>
      </c>
      <c r="G25" s="473"/>
    </row>
    <row r="26" spans="1:11" ht="15.75" customHeight="1" thickTop="1" x14ac:dyDescent="0.2">
      <c r="A26" s="2306" t="s">
        <v>652</v>
      </c>
      <c r="B26" s="2301"/>
      <c r="C26" s="589"/>
      <c r="D26" s="589"/>
      <c r="E26" s="589"/>
      <c r="F26" s="590"/>
    </row>
    <row r="27" spans="1:11" ht="13.5" thickBot="1" x14ac:dyDescent="0.25">
      <c r="A27" s="2298" t="s">
        <v>1061</v>
      </c>
      <c r="B27" s="2299"/>
      <c r="C27" s="1664"/>
      <c r="D27" s="1664"/>
      <c r="E27" s="1664"/>
      <c r="F27" s="1732">
        <f>SUM(C27+D27)-E27</f>
        <v>0</v>
      </c>
      <c r="G27" s="473"/>
    </row>
    <row r="28" spans="1:11" ht="7.5" customHeight="1" thickTop="1" x14ac:dyDescent="0.2">
      <c r="A28" s="489"/>
    </row>
    <row r="29" spans="1:11" ht="23.25" customHeight="1" x14ac:dyDescent="0.2">
      <c r="A29" s="2304" t="s">
        <v>578</v>
      </c>
      <c r="B29" s="230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43293</v>
      </c>
      <c r="C31" s="1734">
        <v>7045000</v>
      </c>
      <c r="D31" s="1735">
        <v>2</v>
      </c>
      <c r="E31" s="1734">
        <v>7045000</v>
      </c>
      <c r="F31" s="1734">
        <v>0</v>
      </c>
      <c r="G31" s="1734">
        <v>0</v>
      </c>
      <c r="H31" s="1734">
        <v>495000</v>
      </c>
      <c r="I31" s="1736">
        <f>((E31+F31)-H31)+G31</f>
        <v>6550000</v>
      </c>
      <c r="J31" s="1734">
        <v>5577013</v>
      </c>
      <c r="K31" s="596"/>
    </row>
    <row r="32" spans="1:11" ht="12" customHeight="1" x14ac:dyDescent="0.2">
      <c r="A32" s="594" t="s">
        <v>2066</v>
      </c>
      <c r="B32" s="595">
        <v>43495</v>
      </c>
      <c r="C32" s="1734">
        <v>3000000</v>
      </c>
      <c r="D32" s="1735">
        <v>2</v>
      </c>
      <c r="E32" s="1734">
        <v>3000000</v>
      </c>
      <c r="F32" s="1734">
        <v>0</v>
      </c>
      <c r="G32" s="1734">
        <v>0</v>
      </c>
      <c r="H32" s="1734">
        <v>950000</v>
      </c>
      <c r="I32" s="1736">
        <f>((E32+F32)-H32)+G32</f>
        <v>2050000</v>
      </c>
      <c r="J32" s="1734">
        <f>I32</f>
        <v>2050000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10045000</v>
      </c>
      <c r="D49" s="1742"/>
      <c r="E49" s="1736">
        <f t="shared" ref="E49:J49" si="2">SUM(E31:E48)</f>
        <v>10045000</v>
      </c>
      <c r="F49" s="1736">
        <f t="shared" si="2"/>
        <v>0</v>
      </c>
      <c r="G49" s="1736">
        <f t="shared" si="2"/>
        <v>0</v>
      </c>
      <c r="H49" s="1736">
        <f t="shared" si="2"/>
        <v>1445000</v>
      </c>
      <c r="I49" s="1736">
        <f t="shared" si="2"/>
        <v>8600000</v>
      </c>
      <c r="J49" s="1736">
        <f t="shared" si="2"/>
        <v>7627013</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87" t="s">
        <v>580</v>
      </c>
      <c r="C52" s="2288"/>
      <c r="D52" s="2288"/>
      <c r="E52" s="603" t="s">
        <v>840</v>
      </c>
      <c r="F52" s="2289"/>
      <c r="G52" s="2290"/>
      <c r="H52" s="596"/>
      <c r="I52" s="596"/>
      <c r="J52" s="600"/>
    </row>
    <row r="53" spans="1:11" ht="11.25" customHeight="1" x14ac:dyDescent="0.2">
      <c r="A53" s="604" t="s">
        <v>907</v>
      </c>
      <c r="B53" s="605" t="s">
        <v>945</v>
      </c>
      <c r="C53" s="600"/>
      <c r="D53" s="597"/>
      <c r="E53" s="603" t="s">
        <v>494</v>
      </c>
      <c r="F53" s="2291"/>
      <c r="G53" s="2292"/>
      <c r="H53" s="596"/>
      <c r="I53" s="596"/>
      <c r="J53" s="600"/>
    </row>
    <row r="54" spans="1:11" ht="11.25" customHeight="1" x14ac:dyDescent="0.2">
      <c r="A54" s="606" t="s">
        <v>908</v>
      </c>
      <c r="B54" s="601" t="s">
        <v>946</v>
      </c>
      <c r="C54" s="600"/>
      <c r="D54" s="597"/>
      <c r="E54" s="603" t="s">
        <v>495</v>
      </c>
      <c r="F54" s="2291"/>
      <c r="G54" s="229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3" colorId="8" zoomScale="110" zoomScaleNormal="110" workbookViewId="0">
      <selection activeCell="H51" sqref="H5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6" t="s">
        <v>851</v>
      </c>
      <c r="B1" s="2317"/>
      <c r="C1" s="2317"/>
      <c r="D1" s="2317"/>
      <c r="E1" s="2317"/>
      <c r="F1" s="2317"/>
      <c r="G1" s="2318"/>
      <c r="H1" s="1298"/>
      <c r="I1" s="614"/>
      <c r="J1" s="400"/>
    </row>
    <row r="2" spans="1:11" ht="26.25" x14ac:dyDescent="0.2">
      <c r="A2" s="2335" t="s">
        <v>1658</v>
      </c>
      <c r="B2" s="2336"/>
      <c r="C2" s="2336"/>
      <c r="D2" s="2336"/>
      <c r="E2" s="2337"/>
      <c r="F2" s="615" t="s">
        <v>898</v>
      </c>
      <c r="G2" s="616" t="s">
        <v>1655</v>
      </c>
      <c r="H2" s="616" t="s">
        <v>407</v>
      </c>
      <c r="I2" s="616" t="s">
        <v>1148</v>
      </c>
      <c r="J2" s="616" t="s">
        <v>1786</v>
      </c>
      <c r="K2" s="616" t="s">
        <v>137</v>
      </c>
    </row>
    <row r="3" spans="1:11" x14ac:dyDescent="0.2">
      <c r="A3" s="2338" t="str">
        <f>"Cash Basis Fund Balance as of July 1, "&amp;'AFR20'!E2-1</f>
        <v>Cash Basis Fund Balance as of July 1, 2019</v>
      </c>
      <c r="B3" s="2339"/>
      <c r="C3" s="2339"/>
      <c r="D3" s="2339"/>
      <c r="E3" s="2340"/>
      <c r="F3" s="617"/>
      <c r="G3" s="1744"/>
      <c r="H3" s="1744"/>
      <c r="I3" s="1744"/>
      <c r="J3" s="1745">
        <v>2987903</v>
      </c>
      <c r="K3" s="1745"/>
    </row>
    <row r="4" spans="1:11" x14ac:dyDescent="0.2">
      <c r="A4" s="2341" t="s">
        <v>366</v>
      </c>
      <c r="B4" s="2342"/>
      <c r="C4" s="2342"/>
      <c r="D4" s="2342"/>
      <c r="E4" s="2288"/>
      <c r="F4" s="620"/>
      <c r="G4" s="1746"/>
      <c r="H4" s="1747"/>
      <c r="I4" s="1746"/>
      <c r="J4" s="1748"/>
      <c r="K4" s="1748"/>
    </row>
    <row r="5" spans="1:11" x14ac:dyDescent="0.2">
      <c r="A5" s="2319" t="s">
        <v>1060</v>
      </c>
      <c r="B5" s="2320"/>
      <c r="C5" s="2320"/>
      <c r="D5" s="2320"/>
      <c r="E5" s="2321"/>
      <c r="F5" s="622" t="s">
        <v>843</v>
      </c>
      <c r="G5" s="1749"/>
      <c r="H5" s="1744">
        <f>'Revenues 9-14'!C7</f>
        <v>108211</v>
      </c>
      <c r="I5" s="1750"/>
      <c r="J5" s="1751"/>
      <c r="K5" s="1751"/>
    </row>
    <row r="6" spans="1:11" x14ac:dyDescent="0.2">
      <c r="A6" s="625" t="s">
        <v>715</v>
      </c>
      <c r="B6" s="626"/>
      <c r="C6" s="626"/>
      <c r="D6" s="626"/>
      <c r="E6" s="627"/>
      <c r="F6" s="628" t="s">
        <v>844</v>
      </c>
      <c r="G6" s="1744"/>
      <c r="H6" s="1744"/>
      <c r="I6" s="1744"/>
      <c r="J6" s="1745">
        <f>'Revenues 9-14'!H65</f>
        <v>17607</v>
      </c>
      <c r="K6" s="1745"/>
    </row>
    <row r="7" spans="1:11" x14ac:dyDescent="0.2">
      <c r="A7" s="629" t="s">
        <v>244</v>
      </c>
      <c r="B7" s="630"/>
      <c r="C7" s="630"/>
      <c r="D7" s="630"/>
      <c r="E7" s="631"/>
      <c r="F7" s="622" t="s">
        <v>845</v>
      </c>
      <c r="G7" s="1746"/>
      <c r="H7" s="1746"/>
      <c r="I7" s="1746"/>
      <c r="J7" s="1752"/>
      <c r="K7" s="1745">
        <f>'Revenues 9-14'!C101</f>
        <v>11800</v>
      </c>
    </row>
    <row r="8" spans="1:11" x14ac:dyDescent="0.2">
      <c r="A8" s="629" t="s">
        <v>342</v>
      </c>
      <c r="B8" s="630"/>
      <c r="C8" s="630"/>
      <c r="D8" s="630"/>
      <c r="E8" s="631"/>
      <c r="F8" s="622" t="s">
        <v>846</v>
      </c>
      <c r="G8" s="1753"/>
      <c r="H8" s="1753"/>
      <c r="I8" s="1753"/>
      <c r="J8" s="1745">
        <f>'Revenues 9-14'!E103</f>
        <v>850261</v>
      </c>
      <c r="K8" s="1748"/>
    </row>
    <row r="9" spans="1:11" x14ac:dyDescent="0.2">
      <c r="A9" s="629" t="s">
        <v>137</v>
      </c>
      <c r="B9" s="630"/>
      <c r="C9" s="630"/>
      <c r="D9" s="630"/>
      <c r="E9" s="631"/>
      <c r="F9" s="628" t="s">
        <v>848</v>
      </c>
      <c r="G9" s="1753"/>
      <c r="H9" s="1749"/>
      <c r="I9" s="1749"/>
      <c r="J9" s="1752"/>
      <c r="K9" s="1745">
        <f>'Revenues 9-14'!C148</f>
        <v>32143</v>
      </c>
    </row>
    <row r="10" spans="1:11" x14ac:dyDescent="0.2">
      <c r="A10" s="2319" t="s">
        <v>1787</v>
      </c>
      <c r="B10" s="2320"/>
      <c r="C10" s="2320"/>
      <c r="D10" s="2320"/>
      <c r="E10" s="2322"/>
      <c r="F10" s="633" t="s">
        <v>857</v>
      </c>
      <c r="G10" s="1753"/>
      <c r="H10" s="1754"/>
      <c r="I10" s="1744"/>
      <c r="J10" s="1745"/>
      <c r="K10" s="1745"/>
    </row>
    <row r="11" spans="1:11" x14ac:dyDescent="0.2">
      <c r="A11" s="2319" t="s">
        <v>159</v>
      </c>
      <c r="B11" s="2320"/>
      <c r="C11" s="2320"/>
      <c r="D11" s="2320"/>
      <c r="E11" s="2321"/>
      <c r="F11" s="622" t="s">
        <v>847</v>
      </c>
      <c r="G11" s="1749"/>
      <c r="H11" s="1744"/>
      <c r="I11" s="1744"/>
      <c r="J11" s="1745"/>
      <c r="K11" s="1751"/>
    </row>
    <row r="12" spans="1:11" ht="13.5" thickBot="1" x14ac:dyDescent="0.25">
      <c r="A12" s="2346" t="s">
        <v>899</v>
      </c>
      <c r="B12" s="2347"/>
      <c r="C12" s="2347"/>
      <c r="D12" s="2347"/>
      <c r="E12" s="2348"/>
      <c r="F12" s="1433"/>
      <c r="G12" s="1755">
        <f>SUM(G5:G11)</f>
        <v>0</v>
      </c>
      <c r="H12" s="1755">
        <f>SUM(H5:H11)</f>
        <v>108211</v>
      </c>
      <c r="I12" s="1755">
        <f>SUM(I5:I11)</f>
        <v>0</v>
      </c>
      <c r="J12" s="1755">
        <f>SUM(J5:J11)</f>
        <v>867868</v>
      </c>
      <c r="K12" s="1755">
        <f>SUM(K5:K11)</f>
        <v>43943</v>
      </c>
    </row>
    <row r="13" spans="1:11" ht="13.5" thickTop="1" x14ac:dyDescent="0.2">
      <c r="A13" s="2343" t="s">
        <v>367</v>
      </c>
      <c r="B13" s="2344"/>
      <c r="C13" s="2344"/>
      <c r="D13" s="2344"/>
      <c r="E13" s="2345"/>
      <c r="F13" s="634"/>
      <c r="G13" s="1756"/>
      <c r="H13" s="1757"/>
      <c r="I13" s="1758"/>
      <c r="J13" s="1758"/>
      <c r="K13" s="1758"/>
    </row>
    <row r="14" spans="1:11" x14ac:dyDescent="0.2">
      <c r="A14" s="2326" t="s">
        <v>453</v>
      </c>
      <c r="B14" s="2326"/>
      <c r="C14" s="2326"/>
      <c r="D14" s="2326"/>
      <c r="E14" s="2327"/>
      <c r="F14" s="635" t="s">
        <v>849</v>
      </c>
      <c r="G14" s="1753"/>
      <c r="H14" s="1744">
        <f>H5</f>
        <v>108211</v>
      </c>
      <c r="I14" s="1749"/>
      <c r="J14" s="1751"/>
      <c r="K14" s="1745">
        <v>43943</v>
      </c>
    </row>
    <row r="15" spans="1:11" x14ac:dyDescent="0.2">
      <c r="A15" s="2320" t="s">
        <v>4</v>
      </c>
      <c r="B15" s="2320"/>
      <c r="C15" s="2320"/>
      <c r="D15" s="2320"/>
      <c r="E15" s="2321"/>
      <c r="F15" s="635" t="s">
        <v>850</v>
      </c>
      <c r="G15" s="1749"/>
      <c r="H15" s="1744"/>
      <c r="I15" s="1744"/>
      <c r="J15" s="1745">
        <f>'Expenditures 15-22'!K301</f>
        <v>1364990</v>
      </c>
      <c r="K15" s="1745"/>
    </row>
    <row r="16" spans="1:11" x14ac:dyDescent="0.2">
      <c r="A16" s="2320" t="s">
        <v>295</v>
      </c>
      <c r="B16" s="2320"/>
      <c r="C16" s="2320"/>
      <c r="D16" s="2320"/>
      <c r="E16" s="2321"/>
      <c r="F16" s="635" t="s">
        <v>917</v>
      </c>
      <c r="G16" s="1750"/>
      <c r="H16" s="1746"/>
      <c r="I16" s="1746"/>
      <c r="J16" s="1748"/>
      <c r="K16" s="1748"/>
    </row>
    <row r="17" spans="1:15" x14ac:dyDescent="0.2">
      <c r="A17" s="2353" t="s">
        <v>929</v>
      </c>
      <c r="B17" s="2353"/>
      <c r="C17" s="2353"/>
      <c r="D17" s="2353"/>
      <c r="E17" s="2354"/>
      <c r="F17" s="636"/>
      <c r="G17" s="1759"/>
      <c r="H17" s="1760"/>
      <c r="I17" s="1760"/>
      <c r="J17" s="1761"/>
      <c r="K17" s="1762"/>
    </row>
    <row r="18" spans="1:15" x14ac:dyDescent="0.2">
      <c r="A18" s="2330" t="s">
        <v>365</v>
      </c>
      <c r="B18" s="2331"/>
      <c r="C18" s="2331"/>
      <c r="D18" s="2331"/>
      <c r="E18" s="2332"/>
      <c r="F18" s="635" t="s">
        <v>926</v>
      </c>
      <c r="G18" s="1753"/>
      <c r="H18" s="1753"/>
      <c r="I18" s="1753"/>
      <c r="J18" s="1745">
        <v>203943</v>
      </c>
      <c r="K18" s="1763"/>
    </row>
    <row r="19" spans="1:15" ht="21.75" customHeight="1" x14ac:dyDescent="0.2">
      <c r="A19" s="2328" t="s">
        <v>1783</v>
      </c>
      <c r="B19" s="2328"/>
      <c r="C19" s="2328"/>
      <c r="D19" s="2328"/>
      <c r="E19" s="2329"/>
      <c r="F19" s="635" t="s">
        <v>927</v>
      </c>
      <c r="G19" s="1753"/>
      <c r="H19" s="1753"/>
      <c r="I19" s="1753"/>
      <c r="J19" s="1745">
        <v>495000</v>
      </c>
      <c r="K19" s="1763"/>
    </row>
    <row r="20" spans="1:15" x14ac:dyDescent="0.2">
      <c r="A20" s="2330" t="s">
        <v>1788</v>
      </c>
      <c r="B20" s="2331"/>
      <c r="C20" s="2331"/>
      <c r="D20" s="2331"/>
      <c r="E20" s="2332"/>
      <c r="F20" s="635" t="s">
        <v>928</v>
      </c>
      <c r="G20" s="1753"/>
      <c r="H20" s="1753"/>
      <c r="I20" s="1753"/>
      <c r="J20" s="1745"/>
      <c r="K20" s="1763"/>
    </row>
    <row r="21" spans="1:15" ht="13.5" thickBot="1" x14ac:dyDescent="0.25">
      <c r="A21" s="2349" t="s">
        <v>633</v>
      </c>
      <c r="B21" s="2349"/>
      <c r="C21" s="2349"/>
      <c r="D21" s="2349"/>
      <c r="E21" s="2349"/>
      <c r="F21" s="1434"/>
      <c r="G21" s="1760"/>
      <c r="H21" s="1764"/>
      <c r="I21" s="1764"/>
      <c r="J21" s="1765">
        <f>SUM(J18:J20)</f>
        <v>698943</v>
      </c>
      <c r="K21" s="1761"/>
    </row>
    <row r="22" spans="1:15" ht="13.5" thickTop="1" x14ac:dyDescent="0.2">
      <c r="A22" s="2320" t="s">
        <v>1789</v>
      </c>
      <c r="B22" s="2320"/>
      <c r="C22" s="2320"/>
      <c r="D22" s="2320"/>
      <c r="E22" s="2321"/>
      <c r="F22" s="635" t="s">
        <v>857</v>
      </c>
      <c r="G22" s="1753"/>
      <c r="H22" s="1744"/>
      <c r="I22" s="1744"/>
      <c r="J22" s="1766"/>
      <c r="K22" s="1745"/>
    </row>
    <row r="23" spans="1:15" ht="13.5" thickBot="1" x14ac:dyDescent="0.25">
      <c r="A23" s="2350" t="s">
        <v>900</v>
      </c>
      <c r="B23" s="2349"/>
      <c r="C23" s="2349"/>
      <c r="D23" s="2349"/>
      <c r="E23" s="2349"/>
      <c r="F23" s="1436"/>
      <c r="G23" s="1755">
        <f>SUM(G14:G16,G21,G22)</f>
        <v>0</v>
      </c>
      <c r="H23" s="1755">
        <f>SUM(H14:H16,H21,H22)</f>
        <v>108211</v>
      </c>
      <c r="I23" s="1755">
        <f>SUM(I14:I16,I21,I22)</f>
        <v>0</v>
      </c>
      <c r="J23" s="1755">
        <f>SUM(J14:J16,J21,J22)</f>
        <v>2063933</v>
      </c>
      <c r="K23" s="1755">
        <f>SUM(K14:K16,K21,K22)</f>
        <v>43943</v>
      </c>
      <c r="M23" s="1846"/>
      <c r="N23" s="1846"/>
      <c r="O23" s="1846"/>
    </row>
    <row r="24" spans="1:15" ht="14.25" thickTop="1" thickBot="1" x14ac:dyDescent="0.25">
      <c r="A24" s="2351" t="str">
        <f>"Ending Cash Basis Fund Balance as of June 30, "&amp;'AFR20'!E2</f>
        <v>Ending Cash Basis Fund Balance as of June 30, 2020</v>
      </c>
      <c r="B24" s="2352"/>
      <c r="C24" s="2352"/>
      <c r="D24" s="2352"/>
      <c r="E24" s="2352"/>
      <c r="F24" s="1437"/>
      <c r="G24" s="1767">
        <f>SUM(G3,G12)-G23</f>
        <v>0</v>
      </c>
      <c r="H24" s="1767">
        <f>SUM(H3,H12)-H23</f>
        <v>0</v>
      </c>
      <c r="I24" s="1767">
        <f>SUM(I3,I12)-I23</f>
        <v>0</v>
      </c>
      <c r="J24" s="1767">
        <f>SUM(J3,J12)-J23</f>
        <v>1791838</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f>J24</f>
        <v>1791838</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3"/>
      <c r="I31" s="2324"/>
      <c r="J31" s="2324"/>
      <c r="K31" s="2324"/>
    </row>
    <row r="32" spans="1:15" x14ac:dyDescent="0.2">
      <c r="A32" s="649"/>
      <c r="B32" s="232"/>
      <c r="C32" s="232"/>
      <c r="D32" s="232"/>
      <c r="E32" s="645"/>
      <c r="F32" s="651" t="s">
        <v>537</v>
      </c>
      <c r="G32" s="618"/>
      <c r="H32" s="2325"/>
      <c r="I32" s="2324"/>
      <c r="J32" s="2324"/>
      <c r="K32" s="2324"/>
    </row>
    <row r="33" spans="1:11" ht="1.5" customHeight="1" x14ac:dyDescent="0.2">
      <c r="A33" s="652" t="s">
        <v>1159</v>
      </c>
      <c r="B33" s="341"/>
      <c r="C33" s="341"/>
      <c r="D33" s="341"/>
      <c r="E33" s="341"/>
      <c r="F33" s="341"/>
      <c r="G33" s="653"/>
      <c r="H33" s="2325"/>
      <c r="I33" s="2324"/>
      <c r="J33" s="2324"/>
      <c r="K33" s="2324"/>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33"/>
      <c r="C41" s="2333"/>
      <c r="D41" s="2333"/>
      <c r="E41" s="2333"/>
      <c r="F41" s="233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1:N27"/>
  <sheetViews>
    <sheetView showGridLines="0" defaultGridColor="0" topLeftCell="A10" colorId="8" zoomScale="110" zoomScaleNormal="11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7" t="s">
        <v>1872</v>
      </c>
      <c r="B1" s="2358"/>
      <c r="C1" s="2359"/>
      <c r="D1" s="666"/>
      <c r="E1" s="667"/>
      <c r="F1" s="667"/>
      <c r="G1" s="668"/>
      <c r="H1" s="669"/>
      <c r="I1" s="670"/>
      <c r="J1" s="2355"/>
      <c r="K1" s="2356"/>
      <c r="L1" s="235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v>563816</v>
      </c>
      <c r="D6" s="1745">
        <v>0</v>
      </c>
      <c r="E6" s="1745">
        <v>0</v>
      </c>
      <c r="F6" s="1765">
        <f>(C6+D6)-E6</f>
        <v>563816</v>
      </c>
      <c r="G6" s="676">
        <v>50</v>
      </c>
      <c r="H6" s="619"/>
      <c r="I6" s="619"/>
      <c r="J6" s="619"/>
      <c r="K6" s="1442">
        <f>(H6+I6)-J6</f>
        <v>0</v>
      </c>
      <c r="L6" s="1442">
        <f>F6-K6</f>
        <v>563816</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30139800</v>
      </c>
      <c r="D8" s="1771">
        <v>0</v>
      </c>
      <c r="E8" s="1771">
        <v>0</v>
      </c>
      <c r="F8" s="1765">
        <f>(C8+D8)-E8</f>
        <v>30139800</v>
      </c>
      <c r="G8" s="681">
        <v>50</v>
      </c>
      <c r="H8" s="619">
        <v>17889290</v>
      </c>
      <c r="I8" s="619">
        <v>466084</v>
      </c>
      <c r="J8" s="619">
        <v>0</v>
      </c>
      <c r="K8" s="1442">
        <f>(H8+I8)-J8</f>
        <v>18355374</v>
      </c>
      <c r="L8" s="1442">
        <f>F8-K8</f>
        <v>11784426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8635164</v>
      </c>
      <c r="D10" s="1772">
        <v>9276184</v>
      </c>
      <c r="E10" s="1772">
        <v>0</v>
      </c>
      <c r="F10" s="1773">
        <f>(C10+D10)-E10</f>
        <v>17911348</v>
      </c>
      <c r="G10" s="681">
        <v>20</v>
      </c>
      <c r="H10" s="683">
        <v>3136560</v>
      </c>
      <c r="I10" s="683">
        <v>846074</v>
      </c>
      <c r="J10" s="683">
        <v>0</v>
      </c>
      <c r="K10" s="1442">
        <f>(H10+I10)-J10</f>
        <v>3982634</v>
      </c>
      <c r="L10" s="1442">
        <f>F10-K10</f>
        <v>13928714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2770353</v>
      </c>
      <c r="D12" s="1771">
        <v>487999</v>
      </c>
      <c r="E12" s="1771"/>
      <c r="F12" s="1765">
        <f>(C12+D12)-E12</f>
        <v>3258352</v>
      </c>
      <c r="G12" s="681">
        <v>10</v>
      </c>
      <c r="H12" s="619">
        <v>2262606</v>
      </c>
      <c r="I12" s="619">
        <v>189279</v>
      </c>
      <c r="J12" s="619"/>
      <c r="K12" s="1442">
        <f>(H12+I12)-J12</f>
        <v>2451885</v>
      </c>
      <c r="L12" s="1442">
        <f>F12-K12</f>
        <v>806467</v>
      </c>
    </row>
    <row r="13" spans="1:14" ht="14.25" thickTop="1" thickBot="1" x14ac:dyDescent="0.25">
      <c r="A13" s="684" t="s">
        <v>1112</v>
      </c>
      <c r="B13" s="679">
        <v>252</v>
      </c>
      <c r="C13" s="1771">
        <v>1643091</v>
      </c>
      <c r="D13" s="1771">
        <v>670307</v>
      </c>
      <c r="E13" s="1771">
        <v>57475</v>
      </c>
      <c r="F13" s="1765">
        <f>(C13+D13)-E13</f>
        <v>2255923</v>
      </c>
      <c r="G13" s="681">
        <v>5</v>
      </c>
      <c r="H13" s="619">
        <v>1138032</v>
      </c>
      <c r="I13" s="619">
        <v>299372</v>
      </c>
      <c r="J13" s="619">
        <v>57475</v>
      </c>
      <c r="K13" s="1442">
        <f>(H13+I13)-J13</f>
        <v>1379929</v>
      </c>
      <c r="L13" s="1442">
        <f>F13-K13</f>
        <v>875994</v>
      </c>
    </row>
    <row r="14" spans="1:14" ht="14.25" thickTop="1" thickBot="1" x14ac:dyDescent="0.25">
      <c r="A14" s="684" t="s">
        <v>1113</v>
      </c>
      <c r="B14" s="679">
        <v>253</v>
      </c>
      <c r="C14" s="1745">
        <v>5857</v>
      </c>
      <c r="D14" s="1745">
        <v>399268</v>
      </c>
      <c r="E14" s="1745">
        <v>5857</v>
      </c>
      <c r="F14" s="1765">
        <f>(C14+D14)-E14</f>
        <v>399268</v>
      </c>
      <c r="G14" s="681">
        <v>3</v>
      </c>
      <c r="H14" s="619">
        <v>5857</v>
      </c>
      <c r="I14" s="619">
        <v>133089</v>
      </c>
      <c r="J14" s="619">
        <v>5857</v>
      </c>
      <c r="K14" s="1442">
        <f>(H14+I14)-J14</f>
        <v>133089</v>
      </c>
      <c r="L14" s="1442">
        <f>F14-K14</f>
        <v>266179</v>
      </c>
    </row>
    <row r="15" spans="1:14" ht="15" customHeight="1" thickTop="1" thickBot="1" x14ac:dyDescent="0.25">
      <c r="A15" s="1366" t="s">
        <v>525</v>
      </c>
      <c r="B15" s="1365">
        <v>260</v>
      </c>
      <c r="C15" s="1771">
        <v>7504688</v>
      </c>
      <c r="D15" s="1771">
        <v>2090861</v>
      </c>
      <c r="E15" s="1771">
        <v>9592727</v>
      </c>
      <c r="F15" s="1765">
        <f>(C15+D15)-E15</f>
        <v>2822</v>
      </c>
      <c r="G15" s="685" t="s">
        <v>857</v>
      </c>
      <c r="H15" s="632"/>
      <c r="I15" s="632"/>
      <c r="J15" s="632"/>
      <c r="K15" s="632"/>
      <c r="L15" s="1442">
        <f>F15-K15</f>
        <v>2822</v>
      </c>
    </row>
    <row r="16" spans="1:14" ht="15" customHeight="1" thickTop="1" thickBot="1" x14ac:dyDescent="0.25">
      <c r="A16" s="1438" t="s">
        <v>638</v>
      </c>
      <c r="B16" s="1439">
        <v>200</v>
      </c>
      <c r="C16" s="1765">
        <f>SUM(C3,C5:C6,C8:C10,C12:C15)</f>
        <v>51262769</v>
      </c>
      <c r="D16" s="1765">
        <f>SUM(D3,D5:D6,D8:D10,D12:D15)</f>
        <v>12924619</v>
      </c>
      <c r="E16" s="1765">
        <f>SUM(E3,E5:E6,E8:E10,E12:E15)</f>
        <v>9656059</v>
      </c>
      <c r="F16" s="1765">
        <f>SUM(F3,F5:F6,F8:F10,F12:F15)</f>
        <v>54531329</v>
      </c>
      <c r="G16" s="681"/>
      <c r="H16" s="1435">
        <f>SUM(H3,H6,H8:H10,H12:H14,)</f>
        <v>24432345</v>
      </c>
      <c r="I16" s="1435">
        <f>SUM(I3,I6,I8:I10,I12:I14,)</f>
        <v>1933898</v>
      </c>
      <c r="J16" s="1435">
        <f>SUM(J3,J6,J8:J10,J12:J14,)</f>
        <v>63332</v>
      </c>
      <c r="K16" s="1435">
        <f>(H16+I16)-J16</f>
        <v>26302911</v>
      </c>
      <c r="L16" s="1435">
        <f>F16-K16</f>
        <v>28228418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1933898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67"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3" t="str">
        <f>"ESTIMATED OPERATING EXPENSE PER PUPIL (OEPP)/PER CAPITA TUITION CHARGE (PCTC) COMPUTATIONS ("&amp;'AFR20'!E2-1&amp;" - "&amp;'AFR20'!E2&amp;")"</f>
        <v>ESTIMATED OPERATING EXPENSE PER PUPIL (OEPP)/PER CAPITA TUITION CHARGE (PCTC) COMPUTATIONS (2019 - 2020)</v>
      </c>
      <c r="B1" s="2364"/>
      <c r="C1" s="2364"/>
      <c r="D1" s="2364"/>
      <c r="E1" s="2364"/>
      <c r="F1" s="2365"/>
      <c r="G1" s="691"/>
      <c r="I1" s="701"/>
    </row>
    <row r="2" spans="1:9" ht="15" customHeight="1" thickBot="1" x14ac:dyDescent="0.25">
      <c r="A2" s="2366" t="s">
        <v>474</v>
      </c>
      <c r="B2" s="2367"/>
      <c r="C2" s="2367"/>
      <c r="D2" s="2367"/>
      <c r="E2" s="2367"/>
      <c r="F2" s="236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9"/>
      <c r="B5" s="2370"/>
      <c r="C5" s="2370"/>
      <c r="D5" s="2370"/>
      <c r="E5" s="2370"/>
      <c r="F5" s="2370"/>
    </row>
    <row r="6" spans="1:9" ht="13.5" customHeight="1" thickBot="1" x14ac:dyDescent="0.25">
      <c r="A6" s="2360" t="s">
        <v>1095</v>
      </c>
      <c r="B6" s="2361"/>
      <c r="C6" s="2361"/>
      <c r="D6" s="2361"/>
      <c r="E6" s="2361"/>
      <c r="F6" s="236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14947446</v>
      </c>
      <c r="G8" s="701"/>
    </row>
    <row r="9" spans="1:9" x14ac:dyDescent="0.2">
      <c r="A9" s="705" t="s">
        <v>457</v>
      </c>
      <c r="B9" s="706" t="s">
        <v>1845</v>
      </c>
      <c r="C9" s="707"/>
      <c r="D9" s="705" t="s">
        <v>498</v>
      </c>
      <c r="E9" s="704"/>
      <c r="F9" s="1775">
        <f>'Expenditures 15-22'!K151</f>
        <v>2101828</v>
      </c>
      <c r="G9" s="708"/>
    </row>
    <row r="10" spans="1:9" x14ac:dyDescent="0.2">
      <c r="A10" s="705" t="s">
        <v>496</v>
      </c>
      <c r="B10" s="706" t="s">
        <v>1846</v>
      </c>
      <c r="C10" s="707"/>
      <c r="D10" s="705" t="s">
        <v>498</v>
      </c>
      <c r="E10" s="704"/>
      <c r="F10" s="1775">
        <f>'Expenditures 15-22'!K174</f>
        <v>1753771</v>
      </c>
      <c r="G10" s="708"/>
    </row>
    <row r="11" spans="1:9" x14ac:dyDescent="0.2">
      <c r="A11" s="705" t="s">
        <v>458</v>
      </c>
      <c r="B11" s="706" t="s">
        <v>1847</v>
      </c>
      <c r="C11" s="707"/>
      <c r="D11" s="705" t="s">
        <v>498</v>
      </c>
      <c r="E11" s="704"/>
      <c r="F11" s="1775">
        <f>'Expenditures 15-22'!K210</f>
        <v>878837</v>
      </c>
      <c r="G11" s="708"/>
    </row>
    <row r="12" spans="1:9" x14ac:dyDescent="0.2">
      <c r="A12" s="705" t="s">
        <v>459</v>
      </c>
      <c r="B12" s="706" t="s">
        <v>1848</v>
      </c>
      <c r="C12" s="707"/>
      <c r="D12" s="705" t="s">
        <v>498</v>
      </c>
      <c r="E12" s="704"/>
      <c r="F12" s="1775">
        <f>'Expenditures 15-22'!K295</f>
        <v>691552</v>
      </c>
      <c r="G12" s="708"/>
    </row>
    <row r="13" spans="1:9" x14ac:dyDescent="0.2">
      <c r="A13" s="705" t="s">
        <v>106</v>
      </c>
      <c r="B13" s="706" t="s">
        <v>1849</v>
      </c>
      <c r="C13" s="707"/>
      <c r="D13" s="705" t="s">
        <v>498</v>
      </c>
      <c r="E13" s="704"/>
      <c r="F13" s="1775">
        <f>'Expenditures 15-22'!K342</f>
        <v>862943</v>
      </c>
      <c r="G13" s="709"/>
    </row>
    <row r="14" spans="1:9" ht="12" customHeight="1" thickBot="1" x14ac:dyDescent="0.25">
      <c r="A14" s="1443"/>
      <c r="B14" s="1444"/>
      <c r="C14" s="1445"/>
      <c r="D14" s="1446" t="s">
        <v>498</v>
      </c>
      <c r="E14" s="1447" t="s">
        <v>952</v>
      </c>
      <c r="F14" s="1776">
        <f>SUM(F8:F13)</f>
        <v>21236377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3385</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163133</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78475</v>
      </c>
      <c r="G52" s="701"/>
    </row>
    <row r="53" spans="1:7" x14ac:dyDescent="0.2">
      <c r="A53" s="705" t="s">
        <v>456</v>
      </c>
      <c r="B53" s="705" t="s">
        <v>1458</v>
      </c>
      <c r="C53" s="724">
        <f>'Expenditures 15-22'!B102</f>
        <v>4000</v>
      </c>
      <c r="D53" s="723" t="str">
        <f>'Expenditures 15-22'!A102</f>
        <v>Total Payments to Other Govt Units</v>
      </c>
      <c r="E53" s="704"/>
      <c r="F53" s="1782">
        <f>'Expenditures 15-22'!K102</f>
        <v>1342704</v>
      </c>
      <c r="G53" s="701"/>
    </row>
    <row r="54" spans="1:7" x14ac:dyDescent="0.2">
      <c r="A54" s="705" t="s">
        <v>456</v>
      </c>
      <c r="B54" s="705" t="s">
        <v>1459</v>
      </c>
      <c r="C54" s="724" t="s">
        <v>975</v>
      </c>
      <c r="D54" s="720" t="s">
        <v>1086</v>
      </c>
      <c r="E54" s="704"/>
      <c r="F54" s="1782">
        <f>'Expenditures 15-22'!G114</f>
        <v>148447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441491</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1445000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183213</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73713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617</v>
      </c>
      <c r="G71" s="701"/>
    </row>
    <row r="72" spans="1:9" x14ac:dyDescent="0.2">
      <c r="A72" s="705" t="s">
        <v>459</v>
      </c>
      <c r="B72" s="705" t="s">
        <v>1864</v>
      </c>
      <c r="C72" s="721">
        <f>'Expenditures 15-22'!B280</f>
        <v>3000</v>
      </c>
      <c r="D72" s="712" t="s">
        <v>446</v>
      </c>
      <c r="E72" s="704"/>
      <c r="F72" s="1782">
        <f>'Expenditures 15-22'!K280</f>
        <v>87</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53628</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3933893</v>
      </c>
      <c r="G77" s="701"/>
    </row>
    <row r="78" spans="1:9" s="728" customFormat="1" ht="12" customHeight="1" thickTop="1" thickBot="1" x14ac:dyDescent="0.25">
      <c r="A78" s="1450"/>
      <c r="B78" s="1448"/>
      <c r="C78" s="1445"/>
      <c r="D78" s="1449" t="s">
        <v>2009</v>
      </c>
      <c r="E78" s="1447"/>
      <c r="F78" s="1788">
        <f>(F14-F77)</f>
        <v>17302484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1409.4</v>
      </c>
      <c r="G79" s="733"/>
      <c r="H79" s="705"/>
      <c r="I79" s="705"/>
    </row>
    <row r="80" spans="1:9" s="728" customFormat="1" ht="12" customHeight="1" thickBot="1" x14ac:dyDescent="0.25">
      <c r="A80" s="1452"/>
      <c r="B80" s="1448"/>
      <c r="C80" s="1445"/>
      <c r="D80" s="1449" t="s">
        <v>2010</v>
      </c>
      <c r="E80" s="1447" t="s">
        <v>952</v>
      </c>
      <c r="F80" s="1790">
        <f>IF(F79&gt;0,F78/F79," Complete Line 79")</f>
        <v>12276.489286221085</v>
      </c>
      <c r="G80" s="705"/>
    </row>
    <row r="81" spans="1:7" s="728" customFormat="1" ht="8.25" customHeight="1" thickTop="1" x14ac:dyDescent="0.2">
      <c r="A81" s="734"/>
      <c r="B81" s="705"/>
      <c r="C81" s="707"/>
      <c r="D81" s="735"/>
      <c r="E81" s="704"/>
      <c r="F81" s="1791"/>
      <c r="G81" s="705"/>
    </row>
    <row r="82" spans="1:7" s="728" customFormat="1" ht="12" thickBot="1" x14ac:dyDescent="0.25">
      <c r="A82" s="2360" t="s">
        <v>1096</v>
      </c>
      <c r="B82" s="2361"/>
      <c r="C82" s="2361"/>
      <c r="D82" s="2361"/>
      <c r="E82" s="2361"/>
      <c r="F82" s="236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55200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250159</v>
      </c>
      <c r="G95" s="745"/>
    </row>
    <row r="96" spans="1:7" x14ac:dyDescent="0.2">
      <c r="A96" s="741" t="s">
        <v>139</v>
      </c>
      <c r="B96" s="741" t="s">
        <v>174</v>
      </c>
      <c r="C96" s="743">
        <v>1700</v>
      </c>
      <c r="D96" s="751" t="str">
        <f>'Revenues 9-14'!A82</f>
        <v>Total District/School Activity Income</v>
      </c>
      <c r="E96" s="739"/>
      <c r="F96" s="1793">
        <f>SUM('Revenues 9-14'!C82,'Revenues 9-14'!D82)</f>
        <v>85234</v>
      </c>
      <c r="G96" s="745"/>
    </row>
    <row r="97" spans="1:7" x14ac:dyDescent="0.2">
      <c r="A97" s="741" t="s">
        <v>456</v>
      </c>
      <c r="B97" s="741" t="s">
        <v>175</v>
      </c>
      <c r="C97" s="743">
        <f>'Revenues 9-14'!B84</f>
        <v>1811</v>
      </c>
      <c r="D97" s="744" t="str">
        <f>'Revenues 9-14'!A84</f>
        <v>Rentals - Regular Textbooks</v>
      </c>
      <c r="E97" s="739"/>
      <c r="F97" s="1793">
        <f>'Revenues 9-14'!C84</f>
        <v>40825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897</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221251</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117273</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47915</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41114</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4816</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32143</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78677</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1259</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438461</v>
      </c>
      <c r="G126" s="763"/>
    </row>
    <row r="127" spans="1:7" x14ac:dyDescent="0.2">
      <c r="A127" s="760" t="s">
        <v>663</v>
      </c>
      <c r="B127" s="760" t="s">
        <v>1928</v>
      </c>
      <c r="C127" s="765">
        <v>4300</v>
      </c>
      <c r="D127" s="766" t="str">
        <f>'Revenues 9-14'!A204</f>
        <v>Total Title I</v>
      </c>
      <c r="E127" s="739"/>
      <c r="F127" s="1793">
        <f>SUM('Revenues 9-14'!C204,'Revenues 9-14'!D204,'Revenues 9-14'!F204,'Revenues 9-14'!G204)</f>
        <v>810798</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394882</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5901</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74296</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13114</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11000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5620</v>
      </c>
      <c r="G171" s="760"/>
    </row>
    <row r="172" spans="1:7" x14ac:dyDescent="0.2">
      <c r="A172" s="1529" t="s">
        <v>5</v>
      </c>
      <c r="B172" s="1530" t="s">
        <v>1882</v>
      </c>
      <c r="C172" s="1531">
        <v>3100</v>
      </c>
      <c r="D172" s="1532" t="s">
        <v>1884</v>
      </c>
      <c r="E172" s="739"/>
      <c r="F172" s="1794">
        <v>0</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2730835</v>
      </c>
    </row>
    <row r="176" spans="1:7" ht="12" customHeight="1" x14ac:dyDescent="0.2">
      <c r="A176" s="1443"/>
      <c r="B176" s="1453"/>
      <c r="C176" s="1454"/>
      <c r="D176" s="1455" t="s">
        <v>2011</v>
      </c>
      <c r="E176" s="1456"/>
      <c r="F176" s="1793">
        <f>'PCTC-OEPP 27-28'!F78-F175</f>
        <v>14571649</v>
      </c>
    </row>
    <row r="177" spans="1:9" ht="12" customHeight="1" x14ac:dyDescent="0.2">
      <c r="A177" s="1443"/>
      <c r="B177" s="1453"/>
      <c r="C177" s="1454"/>
      <c r="D177" s="1455" t="s">
        <v>1791</v>
      </c>
      <c r="E177" s="1456"/>
      <c r="F177" s="1793">
        <f>'Cap Outlay Deprec 26'!I18</f>
        <v>1933898</v>
      </c>
    </row>
    <row r="178" spans="1:9" ht="12" customHeight="1" x14ac:dyDescent="0.2">
      <c r="A178" s="1443"/>
      <c r="B178" s="1453"/>
      <c r="C178" s="1454"/>
      <c r="D178" s="1455" t="s">
        <v>2012</v>
      </c>
      <c r="E178" s="1456"/>
      <c r="F178" s="1793">
        <f>F176+F177</f>
        <v>16505547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1409.4</v>
      </c>
      <c r="G179" s="763"/>
      <c r="I179" s="701"/>
    </row>
    <row r="180" spans="1:9" ht="12" customHeight="1" thickBot="1" x14ac:dyDescent="0.25">
      <c r="A180" s="1443"/>
      <c r="B180" s="1457"/>
      <c r="C180" s="1454"/>
      <c r="D180" s="1455" t="s">
        <v>2014</v>
      </c>
      <c r="E180" s="1456" t="s">
        <v>1528</v>
      </c>
      <c r="F180" s="1798">
        <f>F178/F179</f>
        <v>11711.045125585355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6089E-B4A0-4599-9B0E-708CF17BEBFD}">
  <sheetPr>
    <tabColor rgb="FF92D050"/>
    <pageSetUpPr fitToPage="1"/>
  </sheetPr>
  <dimension ref="A1:K157"/>
  <sheetViews>
    <sheetView showGridLines="0" topLeftCell="A139" zoomScale="110" zoomScaleNormal="110" workbookViewId="0">
      <selection activeCell="E159" sqref="E159"/>
    </sheetView>
  </sheetViews>
  <sheetFormatPr defaultColWidth="9.140625" defaultRowHeight="15" x14ac:dyDescent="0.25"/>
  <cols>
    <col min="1" max="1" width="52" style="1990" customWidth="1"/>
    <col min="2" max="2" width="16.42578125" style="1989" bestFit="1" customWidth="1"/>
    <col min="3" max="3" width="34.85546875" style="1987" customWidth="1"/>
    <col min="4" max="4" width="16.28515625" style="1988" customWidth="1"/>
    <col min="5" max="5" width="23.5703125" style="1988" customWidth="1"/>
    <col min="6" max="6" width="23.28515625" style="1987" customWidth="1"/>
    <col min="7" max="16384" width="9.140625" style="1986"/>
  </cols>
  <sheetData>
    <row r="1" spans="1:11" ht="15" customHeight="1" x14ac:dyDescent="0.25">
      <c r="A1" s="2027" t="s">
        <v>1804</v>
      </c>
      <c r="B1" s="2028"/>
      <c r="C1" s="2027"/>
      <c r="D1" s="2027"/>
      <c r="E1" s="2027"/>
      <c r="F1" s="2027"/>
    </row>
    <row r="2" spans="1:11" x14ac:dyDescent="0.25">
      <c r="A2" s="2024"/>
      <c r="B2" s="2026"/>
      <c r="C2" s="2025" t="s">
        <v>2000</v>
      </c>
      <c r="D2" s="2024"/>
      <c r="E2" s="2024"/>
      <c r="F2" s="2024"/>
    </row>
    <row r="3" spans="1:11" ht="5.25" customHeight="1" x14ac:dyDescent="0.25">
      <c r="A3" s="2022"/>
      <c r="B3" s="2023"/>
      <c r="C3" s="2022"/>
      <c r="D3" s="2022"/>
      <c r="E3" s="2022"/>
      <c r="F3" s="2022"/>
    </row>
    <row r="4" spans="1:11" ht="18.75" customHeight="1" x14ac:dyDescent="0.25">
      <c r="A4" s="2374" t="s">
        <v>1792</v>
      </c>
      <c r="B4" s="2375"/>
      <c r="C4" s="2375"/>
      <c r="D4" s="2375"/>
      <c r="E4" s="2375"/>
      <c r="F4" s="2376"/>
    </row>
    <row r="5" spans="1:11" x14ac:dyDescent="0.25">
      <c r="A5" s="2377"/>
      <c r="B5" s="2378"/>
      <c r="C5" s="2378"/>
      <c r="D5" s="2378"/>
      <c r="E5" s="2378"/>
      <c r="F5" s="2379"/>
      <c r="I5" s="2032"/>
    </row>
    <row r="6" spans="1:11" ht="18.75" x14ac:dyDescent="0.25">
      <c r="A6" s="2021" t="s">
        <v>1793</v>
      </c>
      <c r="B6" s="2020"/>
      <c r="C6" s="2019"/>
      <c r="D6" s="2019"/>
      <c r="E6" s="2019"/>
      <c r="F6" s="2018"/>
    </row>
    <row r="7" spans="1:11" ht="47.25" customHeight="1" x14ac:dyDescent="0.25">
      <c r="A7" s="2380" t="s">
        <v>1982</v>
      </c>
      <c r="B7" s="2381"/>
      <c r="C7" s="2381"/>
      <c r="D7" s="2381"/>
      <c r="E7" s="2381"/>
      <c r="F7" s="2382"/>
      <c r="K7" s="2032"/>
    </row>
    <row r="8" spans="1:11" ht="20.25" customHeight="1" x14ac:dyDescent="0.25">
      <c r="A8" s="2017" t="s">
        <v>1984</v>
      </c>
      <c r="B8" s="2016"/>
      <c r="C8" s="2016"/>
      <c r="D8" s="2016"/>
      <c r="E8" s="2015"/>
      <c r="F8" s="2014"/>
    </row>
    <row r="9" spans="1:11" ht="18" customHeight="1" x14ac:dyDescent="0.25">
      <c r="A9" s="2013" t="s">
        <v>1981</v>
      </c>
      <c r="B9" s="2011"/>
      <c r="C9" s="2011"/>
      <c r="D9" s="2011"/>
      <c r="E9" s="2015"/>
      <c r="F9" s="2014"/>
    </row>
    <row r="10" spans="1:11" ht="15.75" customHeight="1" x14ac:dyDescent="0.25">
      <c r="A10" s="2383" t="s">
        <v>1978</v>
      </c>
      <c r="B10" s="2384"/>
      <c r="C10" s="2384"/>
      <c r="D10" s="2384"/>
      <c r="E10" s="2384"/>
      <c r="F10" s="2385"/>
    </row>
    <row r="11" spans="1:11" ht="33" customHeight="1" x14ac:dyDescent="0.25">
      <c r="A11" s="2380" t="s">
        <v>1983</v>
      </c>
      <c r="B11" s="2381"/>
      <c r="C11" s="2381"/>
      <c r="D11" s="2381"/>
      <c r="E11" s="2381"/>
      <c r="F11" s="2382"/>
    </row>
    <row r="12" spans="1:11" ht="15" customHeight="1" x14ac:dyDescent="0.25">
      <c r="A12" s="2013" t="s">
        <v>1979</v>
      </c>
      <c r="B12" s="2012"/>
      <c r="C12" s="2011"/>
      <c r="D12" s="2011"/>
      <c r="E12" s="2011"/>
      <c r="F12" s="2010"/>
    </row>
    <row r="13" spans="1:11" ht="17.25" customHeight="1" x14ac:dyDescent="0.25">
      <c r="A13" s="2380" t="s">
        <v>1980</v>
      </c>
      <c r="B13" s="2381"/>
      <c r="C13" s="2381"/>
      <c r="D13" s="2381"/>
      <c r="E13" s="2381"/>
      <c r="F13" s="2382"/>
    </row>
    <row r="14" spans="1:11" ht="15" customHeight="1" x14ac:dyDescent="0.25">
      <c r="A14" s="2013" t="s">
        <v>1797</v>
      </c>
      <c r="B14" s="2012"/>
      <c r="C14" s="2011"/>
      <c r="D14" s="2011"/>
      <c r="E14" s="2011"/>
      <c r="F14" s="2010"/>
    </row>
    <row r="15" spans="1:11" ht="32.25" customHeight="1" x14ac:dyDescent="0.25">
      <c r="A15" s="2371" t="str">
        <f>"6. The amount in column (E) is the amount allowed on each contract in the Indirect Cost Rate calcualation.  The amount in column (F) is the amount that will be deducted from the base in the indirect cost rate (page 30) for Program Year "&amp;[1]AFR20!E2+2&amp;"."</f>
        <v>6. The amount in column (E) is the amount allowed on each contract in the Indirect Cost Rate calcualation.  The amount in column (F) is the amount that will be deducted from the base in the indirect cost rate (page 30) for Program Year 2022.</v>
      </c>
      <c r="B15" s="2372"/>
      <c r="C15" s="2372"/>
      <c r="D15" s="2372"/>
      <c r="E15" s="2372"/>
      <c r="F15" s="2373"/>
    </row>
    <row r="16" spans="1:11" ht="61.5" customHeight="1" x14ac:dyDescent="0.25">
      <c r="A16" s="2008" t="s">
        <v>1798</v>
      </c>
      <c r="B16" s="2009" t="s">
        <v>1799</v>
      </c>
      <c r="C16" s="2008" t="s">
        <v>1800</v>
      </c>
      <c r="D16" s="2007" t="s">
        <v>1801</v>
      </c>
      <c r="E16" s="2007" t="s">
        <v>1802</v>
      </c>
      <c r="F16" s="2007" t="s">
        <v>1803</v>
      </c>
    </row>
    <row r="17" spans="1:7" x14ac:dyDescent="0.25">
      <c r="A17" s="2006" t="s">
        <v>1805</v>
      </c>
      <c r="B17" s="2005" t="s">
        <v>1796</v>
      </c>
      <c r="C17" s="2004" t="s">
        <v>1794</v>
      </c>
      <c r="D17" s="2003">
        <v>500000</v>
      </c>
      <c r="E17" s="2003" t="str">
        <f t="shared" ref="E17:E44" si="0">IF(D17&lt;25000,D17,"25,000")</f>
        <v>25,000</v>
      </c>
      <c r="F17" s="2002">
        <f t="shared" ref="F17:F46" si="1">IF(D17&gt;=25000,(D17-E17),"0")</f>
        <v>475000</v>
      </c>
    </row>
    <row r="18" spans="1:7" x14ac:dyDescent="0.25">
      <c r="A18" s="2000" t="s">
        <v>2126</v>
      </c>
      <c r="B18" s="2030">
        <v>101000300</v>
      </c>
      <c r="C18" s="1998" t="s">
        <v>2251</v>
      </c>
      <c r="D18" s="2029">
        <v>22168</v>
      </c>
      <c r="E18" s="1996">
        <f t="shared" si="0"/>
        <v>22168</v>
      </c>
      <c r="F18" s="1996" t="str">
        <f t="shared" si="1"/>
        <v>0</v>
      </c>
      <c r="G18" s="2001"/>
    </row>
    <row r="19" spans="1:7" x14ac:dyDescent="0.25">
      <c r="A19" s="2000" t="s">
        <v>2126</v>
      </c>
      <c r="B19" s="2030">
        <v>101000300</v>
      </c>
      <c r="C19" s="1998" t="s">
        <v>2250</v>
      </c>
      <c r="D19" s="2029">
        <v>3875</v>
      </c>
      <c r="E19" s="1996">
        <f t="shared" si="0"/>
        <v>3875</v>
      </c>
      <c r="F19" s="1996" t="str">
        <f t="shared" si="1"/>
        <v>0</v>
      </c>
      <c r="G19" s="2001"/>
    </row>
    <row r="20" spans="1:7" x14ac:dyDescent="0.25">
      <c r="A20" s="2000" t="s">
        <v>2126</v>
      </c>
      <c r="B20" s="2030">
        <v>101000300</v>
      </c>
      <c r="C20" s="1998" t="s">
        <v>2249</v>
      </c>
      <c r="D20" s="2029">
        <v>57.5</v>
      </c>
      <c r="E20" s="1996">
        <f t="shared" si="0"/>
        <v>57.5</v>
      </c>
      <c r="F20" s="1996" t="str">
        <f t="shared" si="1"/>
        <v>0</v>
      </c>
      <c r="G20" s="2001"/>
    </row>
    <row r="21" spans="1:7" x14ac:dyDescent="0.25">
      <c r="A21" s="2000" t="s">
        <v>2126</v>
      </c>
      <c r="B21" s="2030">
        <v>101000300</v>
      </c>
      <c r="C21" s="1998" t="s">
        <v>2248</v>
      </c>
      <c r="D21" s="2029">
        <v>1300</v>
      </c>
      <c r="E21" s="1996">
        <f t="shared" si="0"/>
        <v>1300</v>
      </c>
      <c r="F21" s="1996" t="str">
        <f t="shared" si="1"/>
        <v>0</v>
      </c>
      <c r="G21" s="2001"/>
    </row>
    <row r="22" spans="1:7" x14ac:dyDescent="0.25">
      <c r="A22" s="2000" t="s">
        <v>2126</v>
      </c>
      <c r="B22" s="2030">
        <v>101000300</v>
      </c>
      <c r="C22" s="1998" t="s">
        <v>2247</v>
      </c>
      <c r="D22" s="2029">
        <v>1430</v>
      </c>
      <c r="E22" s="1996">
        <f t="shared" si="0"/>
        <v>1430</v>
      </c>
      <c r="F22" s="1996" t="str">
        <f t="shared" si="1"/>
        <v>0</v>
      </c>
      <c r="G22" s="2001"/>
    </row>
    <row r="23" spans="1:7" x14ac:dyDescent="0.25">
      <c r="A23" s="2000" t="s">
        <v>2126</v>
      </c>
      <c r="B23" s="2030">
        <v>101000300</v>
      </c>
      <c r="C23" s="1998" t="s">
        <v>2246</v>
      </c>
      <c r="D23" s="2029">
        <v>945</v>
      </c>
      <c r="E23" s="1996">
        <f t="shared" si="0"/>
        <v>945</v>
      </c>
      <c r="F23" s="1996" t="str">
        <f t="shared" si="1"/>
        <v>0</v>
      </c>
      <c r="G23" s="2001"/>
    </row>
    <row r="24" spans="1:7" x14ac:dyDescent="0.25">
      <c r="A24" s="2000" t="s">
        <v>2126</v>
      </c>
      <c r="B24" s="2030">
        <v>101000300</v>
      </c>
      <c r="C24" s="1998" t="s">
        <v>2246</v>
      </c>
      <c r="D24" s="2029">
        <v>315</v>
      </c>
      <c r="E24" s="1996">
        <f t="shared" si="0"/>
        <v>315</v>
      </c>
      <c r="F24" s="1996" t="str">
        <f t="shared" si="1"/>
        <v>0</v>
      </c>
      <c r="G24" s="2001"/>
    </row>
    <row r="25" spans="1:7" x14ac:dyDescent="0.25">
      <c r="A25" s="2000" t="s">
        <v>2126</v>
      </c>
      <c r="B25" s="2030">
        <v>101000300</v>
      </c>
      <c r="C25" s="1998" t="s">
        <v>2245</v>
      </c>
      <c r="D25" s="2029">
        <v>3750</v>
      </c>
      <c r="E25" s="1996">
        <f t="shared" si="0"/>
        <v>3750</v>
      </c>
      <c r="F25" s="1996" t="str">
        <f t="shared" si="1"/>
        <v>0</v>
      </c>
      <c r="G25" s="2001"/>
    </row>
    <row r="26" spans="1:7" x14ac:dyDescent="0.25">
      <c r="A26" s="2000" t="s">
        <v>2126</v>
      </c>
      <c r="B26" s="2030">
        <v>101000300</v>
      </c>
      <c r="C26" s="1998" t="s">
        <v>2244</v>
      </c>
      <c r="D26" s="2029">
        <v>1100</v>
      </c>
      <c r="E26" s="1996">
        <f t="shared" si="0"/>
        <v>1100</v>
      </c>
      <c r="F26" s="1996" t="str">
        <f t="shared" si="1"/>
        <v>0</v>
      </c>
      <c r="G26" s="2001"/>
    </row>
    <row r="27" spans="1:7" x14ac:dyDescent="0.25">
      <c r="A27" s="2000" t="s">
        <v>2126</v>
      </c>
      <c r="B27" s="2030">
        <v>101000300</v>
      </c>
      <c r="C27" s="1998" t="s">
        <v>2243</v>
      </c>
      <c r="D27" s="2029">
        <v>400</v>
      </c>
      <c r="E27" s="1996">
        <f t="shared" si="0"/>
        <v>400</v>
      </c>
      <c r="F27" s="1996" t="str">
        <f t="shared" si="1"/>
        <v>0</v>
      </c>
      <c r="G27" s="2001"/>
    </row>
    <row r="28" spans="1:7" x14ac:dyDescent="0.25">
      <c r="A28" s="2000" t="s">
        <v>2126</v>
      </c>
      <c r="B28" s="2030">
        <v>101000300</v>
      </c>
      <c r="C28" s="1998" t="s">
        <v>2242</v>
      </c>
      <c r="D28" s="2029">
        <v>400</v>
      </c>
      <c r="E28" s="1996">
        <f t="shared" si="0"/>
        <v>400</v>
      </c>
      <c r="F28" s="1996" t="str">
        <f t="shared" si="1"/>
        <v>0</v>
      </c>
      <c r="G28" s="2001"/>
    </row>
    <row r="29" spans="1:7" x14ac:dyDescent="0.25">
      <c r="A29" s="2000" t="s">
        <v>2126</v>
      </c>
      <c r="B29" s="2030">
        <v>101000300</v>
      </c>
      <c r="C29" s="1998" t="s">
        <v>2241</v>
      </c>
      <c r="D29" s="2029">
        <v>2500</v>
      </c>
      <c r="E29" s="1996">
        <f t="shared" si="0"/>
        <v>2500</v>
      </c>
      <c r="F29" s="1996" t="str">
        <f t="shared" si="1"/>
        <v>0</v>
      </c>
      <c r="G29" s="2001"/>
    </row>
    <row r="30" spans="1:7" x14ac:dyDescent="0.25">
      <c r="A30" s="2000" t="s">
        <v>2126</v>
      </c>
      <c r="B30" s="2030">
        <v>101000300</v>
      </c>
      <c r="C30" s="1998" t="s">
        <v>2240</v>
      </c>
      <c r="D30" s="2029">
        <v>500</v>
      </c>
      <c r="E30" s="1996">
        <f t="shared" si="0"/>
        <v>500</v>
      </c>
      <c r="F30" s="1996" t="str">
        <f t="shared" si="1"/>
        <v>0</v>
      </c>
      <c r="G30" s="2001"/>
    </row>
    <row r="31" spans="1:7" x14ac:dyDescent="0.25">
      <c r="A31" s="2000" t="s">
        <v>2126</v>
      </c>
      <c r="B31" s="2030">
        <v>101000300</v>
      </c>
      <c r="C31" s="1998" t="s">
        <v>2239</v>
      </c>
      <c r="D31" s="2029">
        <v>4997</v>
      </c>
      <c r="E31" s="1996">
        <f t="shared" si="0"/>
        <v>4997</v>
      </c>
      <c r="F31" s="1996" t="str">
        <f t="shared" si="1"/>
        <v>0</v>
      </c>
      <c r="G31" s="2001"/>
    </row>
    <row r="32" spans="1:7" x14ac:dyDescent="0.25">
      <c r="A32" s="2000" t="s">
        <v>2126</v>
      </c>
      <c r="B32" s="2030">
        <v>101000300</v>
      </c>
      <c r="C32" s="1998" t="s">
        <v>2238</v>
      </c>
      <c r="D32" s="2029">
        <v>200</v>
      </c>
      <c r="E32" s="1996">
        <f t="shared" si="0"/>
        <v>200</v>
      </c>
      <c r="F32" s="1996" t="str">
        <f t="shared" si="1"/>
        <v>0</v>
      </c>
      <c r="G32" s="2001"/>
    </row>
    <row r="33" spans="1:7" x14ac:dyDescent="0.25">
      <c r="A33" s="2000" t="s">
        <v>2126</v>
      </c>
      <c r="B33" s="2030">
        <v>101000300</v>
      </c>
      <c r="C33" s="1998" t="s">
        <v>2196</v>
      </c>
      <c r="D33" s="2029">
        <v>29262</v>
      </c>
      <c r="E33" s="1996" t="str">
        <f t="shared" si="0"/>
        <v>25,000</v>
      </c>
      <c r="F33" s="1996">
        <f t="shared" si="1"/>
        <v>4262</v>
      </c>
      <c r="G33" s="2001"/>
    </row>
    <row r="34" spans="1:7" x14ac:dyDescent="0.25">
      <c r="A34" s="2000" t="s">
        <v>2126</v>
      </c>
      <c r="B34" s="2030">
        <v>101000300</v>
      </c>
      <c r="C34" s="1998" t="s">
        <v>2237</v>
      </c>
      <c r="D34" s="2029">
        <v>11010</v>
      </c>
      <c r="E34" s="1996">
        <f t="shared" si="0"/>
        <v>11010</v>
      </c>
      <c r="F34" s="1996" t="str">
        <f t="shared" si="1"/>
        <v>0</v>
      </c>
      <c r="G34" s="2001"/>
    </row>
    <row r="35" spans="1:7" x14ac:dyDescent="0.25">
      <c r="A35" s="2000" t="s">
        <v>2126</v>
      </c>
      <c r="B35" s="2030">
        <v>101000300</v>
      </c>
      <c r="C35" s="1998" t="s">
        <v>2236</v>
      </c>
      <c r="D35" s="2029">
        <v>800</v>
      </c>
      <c r="E35" s="1996">
        <f t="shared" si="0"/>
        <v>800</v>
      </c>
      <c r="F35" s="1996" t="str">
        <f t="shared" si="1"/>
        <v>0</v>
      </c>
      <c r="G35" s="2001"/>
    </row>
    <row r="36" spans="1:7" x14ac:dyDescent="0.25">
      <c r="A36" s="2000" t="s">
        <v>2126</v>
      </c>
      <c r="B36" s="2030">
        <v>101000300</v>
      </c>
      <c r="C36" s="1998" t="s">
        <v>2235</v>
      </c>
      <c r="D36" s="2029">
        <v>525</v>
      </c>
      <c r="E36" s="1996">
        <f t="shared" si="0"/>
        <v>525</v>
      </c>
      <c r="F36" s="1996" t="str">
        <f t="shared" si="1"/>
        <v>0</v>
      </c>
      <c r="G36" s="2001"/>
    </row>
    <row r="37" spans="1:7" x14ac:dyDescent="0.25">
      <c r="A37" s="2000" t="s">
        <v>2126</v>
      </c>
      <c r="B37" s="2030">
        <v>101000300</v>
      </c>
      <c r="C37" s="1998" t="s">
        <v>2234</v>
      </c>
      <c r="D37" s="2029">
        <v>2704.17</v>
      </c>
      <c r="E37" s="1996">
        <f t="shared" si="0"/>
        <v>2704.17</v>
      </c>
      <c r="F37" s="1996" t="str">
        <f t="shared" si="1"/>
        <v>0</v>
      </c>
      <c r="G37" s="2001"/>
    </row>
    <row r="38" spans="1:7" x14ac:dyDescent="0.25">
      <c r="A38" s="2000" t="s">
        <v>2233</v>
      </c>
      <c r="B38" s="2030">
        <v>101000400</v>
      </c>
      <c r="C38" s="1998" t="s">
        <v>2232</v>
      </c>
      <c r="D38" s="2029">
        <v>6450.07</v>
      </c>
      <c r="E38" s="1996">
        <f t="shared" si="0"/>
        <v>6450.07</v>
      </c>
      <c r="F38" s="1996" t="str">
        <f t="shared" si="1"/>
        <v>0</v>
      </c>
      <c r="G38" s="2001"/>
    </row>
    <row r="39" spans="1:7" x14ac:dyDescent="0.25">
      <c r="A39" s="2000" t="s">
        <v>2231</v>
      </c>
      <c r="B39" s="2030">
        <v>101000400</v>
      </c>
      <c r="C39" s="1998" t="s">
        <v>2230</v>
      </c>
      <c r="D39" s="2029">
        <v>199.99</v>
      </c>
      <c r="E39" s="1996">
        <f t="shared" si="0"/>
        <v>199.99</v>
      </c>
      <c r="F39" s="1996" t="str">
        <f t="shared" si="1"/>
        <v>0</v>
      </c>
      <c r="G39" s="2001"/>
    </row>
    <row r="40" spans="1:7" x14ac:dyDescent="0.25">
      <c r="A40" s="2000" t="s">
        <v>2227</v>
      </c>
      <c r="B40" s="2030">
        <v>101000600</v>
      </c>
      <c r="C40" s="1998" t="s">
        <v>2229</v>
      </c>
      <c r="D40" s="2029">
        <v>41292.46</v>
      </c>
      <c r="E40" s="1996" t="str">
        <f t="shared" si="0"/>
        <v>25,000</v>
      </c>
      <c r="F40" s="1996">
        <f t="shared" si="1"/>
        <v>16292.46</v>
      </c>
      <c r="G40" s="2001"/>
    </row>
    <row r="41" spans="1:7" x14ac:dyDescent="0.25">
      <c r="A41" s="2000" t="s">
        <v>2227</v>
      </c>
      <c r="B41" s="2030">
        <v>101000600</v>
      </c>
      <c r="C41" s="1998" t="s">
        <v>2228</v>
      </c>
      <c r="D41" s="2029">
        <v>86662.96</v>
      </c>
      <c r="E41" s="1996" t="str">
        <f t="shared" si="0"/>
        <v>25,000</v>
      </c>
      <c r="F41" s="1996">
        <f t="shared" si="1"/>
        <v>61662.960000000006</v>
      </c>
      <c r="G41" s="2001"/>
    </row>
    <row r="42" spans="1:7" x14ac:dyDescent="0.25">
      <c r="A42" s="2000" t="s">
        <v>2227</v>
      </c>
      <c r="B42" s="2030">
        <v>101000600</v>
      </c>
      <c r="C42" s="1998" t="s">
        <v>2226</v>
      </c>
      <c r="D42" s="2029">
        <v>35177.760000000002</v>
      </c>
      <c r="E42" s="1996" t="str">
        <f t="shared" si="0"/>
        <v>25,000</v>
      </c>
      <c r="F42" s="1996">
        <f t="shared" si="1"/>
        <v>10177.760000000002</v>
      </c>
      <c r="G42" s="2001"/>
    </row>
    <row r="43" spans="1:7" x14ac:dyDescent="0.25">
      <c r="A43" s="2000" t="s">
        <v>2223</v>
      </c>
      <c r="B43" s="2030">
        <v>102100300</v>
      </c>
      <c r="C43" s="1998" t="s">
        <v>2225</v>
      </c>
      <c r="D43" s="2029">
        <v>69965.16</v>
      </c>
      <c r="E43" s="1996" t="str">
        <f t="shared" si="0"/>
        <v>25,000</v>
      </c>
      <c r="F43" s="1996">
        <f t="shared" si="1"/>
        <v>44965.16</v>
      </c>
      <c r="G43" s="2001"/>
    </row>
    <row r="44" spans="1:7" x14ac:dyDescent="0.25">
      <c r="A44" s="2000" t="s">
        <v>2223</v>
      </c>
      <c r="B44" s="2030">
        <v>102100300</v>
      </c>
      <c r="C44" s="1998" t="s">
        <v>2224</v>
      </c>
      <c r="D44" s="2029">
        <v>485</v>
      </c>
      <c r="E44" s="1996">
        <f t="shared" si="0"/>
        <v>485</v>
      </c>
      <c r="F44" s="1996" t="str">
        <f t="shared" si="1"/>
        <v>0</v>
      </c>
      <c r="G44" s="2001"/>
    </row>
    <row r="45" spans="1:7" x14ac:dyDescent="0.25">
      <c r="A45" s="2000" t="s">
        <v>2223</v>
      </c>
      <c r="B45" s="2030">
        <v>102100300</v>
      </c>
      <c r="C45" s="1998" t="s">
        <v>2158</v>
      </c>
      <c r="D45" s="2029">
        <v>2360</v>
      </c>
      <c r="E45" s="1996">
        <f>IF(D45&lt;25000,D45,"25,000")</f>
        <v>2360</v>
      </c>
      <c r="F45" s="1996" t="str">
        <f t="shared" si="1"/>
        <v>0</v>
      </c>
      <c r="G45" s="2001"/>
    </row>
    <row r="46" spans="1:7" x14ac:dyDescent="0.25">
      <c r="A46" s="2000" t="s">
        <v>2223</v>
      </c>
      <c r="B46" s="2030">
        <v>102100300</v>
      </c>
      <c r="C46" s="1998" t="s">
        <v>2196</v>
      </c>
      <c r="D46" s="2029">
        <v>339</v>
      </c>
      <c r="E46" s="1996">
        <f>IF(D45&lt;25000,D46,"25,000")</f>
        <v>339</v>
      </c>
      <c r="F46" s="1996" t="str">
        <f t="shared" si="1"/>
        <v>0</v>
      </c>
      <c r="G46" s="2001"/>
    </row>
    <row r="47" spans="1:7" x14ac:dyDescent="0.25">
      <c r="A47" s="2000" t="s">
        <v>2209</v>
      </c>
      <c r="B47" s="2030">
        <v>102200300</v>
      </c>
      <c r="C47" s="1998" t="s">
        <v>2222</v>
      </c>
      <c r="D47" s="2029">
        <v>14488</v>
      </c>
      <c r="E47" s="1996">
        <f t="shared" ref="E47:E78" si="2">IF(D47&lt;25000,D47,"25,000")</f>
        <v>14488</v>
      </c>
      <c r="F47" s="1996" t="str">
        <f t="shared" ref="F47:F78" si="3">IF(D47&gt;=25000,(D47-E47),"0")</f>
        <v>0</v>
      </c>
      <c r="G47" s="2001"/>
    </row>
    <row r="48" spans="1:7" x14ac:dyDescent="0.25">
      <c r="A48" s="2000" t="s">
        <v>2209</v>
      </c>
      <c r="B48" s="2030">
        <v>102200300</v>
      </c>
      <c r="C48" s="1998" t="s">
        <v>2196</v>
      </c>
      <c r="D48" s="2029">
        <v>735</v>
      </c>
      <c r="E48" s="1996">
        <f t="shared" si="2"/>
        <v>735</v>
      </c>
      <c r="F48" s="1996" t="str">
        <f t="shared" si="3"/>
        <v>0</v>
      </c>
    </row>
    <row r="49" spans="1:6" x14ac:dyDescent="0.25">
      <c r="A49" s="2000" t="s">
        <v>2209</v>
      </c>
      <c r="B49" s="2030">
        <v>102200300</v>
      </c>
      <c r="C49" s="1998" t="s">
        <v>2221</v>
      </c>
      <c r="D49" s="2029">
        <v>9772.51</v>
      </c>
      <c r="E49" s="1996">
        <f t="shared" si="2"/>
        <v>9772.51</v>
      </c>
      <c r="F49" s="1996" t="str">
        <f t="shared" si="3"/>
        <v>0</v>
      </c>
    </row>
    <row r="50" spans="1:6" x14ac:dyDescent="0.25">
      <c r="A50" s="2000" t="s">
        <v>2209</v>
      </c>
      <c r="B50" s="2030">
        <v>102200300</v>
      </c>
      <c r="C50" s="1998" t="s">
        <v>2220</v>
      </c>
      <c r="D50" s="2029">
        <v>900</v>
      </c>
      <c r="E50" s="1996">
        <f t="shared" si="2"/>
        <v>900</v>
      </c>
      <c r="F50" s="1996" t="str">
        <f t="shared" si="3"/>
        <v>0</v>
      </c>
    </row>
    <row r="51" spans="1:6" x14ac:dyDescent="0.25">
      <c r="A51" s="2000" t="s">
        <v>2209</v>
      </c>
      <c r="B51" s="2030">
        <v>102200300</v>
      </c>
      <c r="C51" s="1998" t="s">
        <v>2136</v>
      </c>
      <c r="D51" s="2029">
        <v>178560</v>
      </c>
      <c r="E51" s="1996" t="str">
        <f t="shared" si="2"/>
        <v>25,000</v>
      </c>
      <c r="F51" s="1996">
        <f t="shared" si="3"/>
        <v>153560</v>
      </c>
    </row>
    <row r="52" spans="1:6" x14ac:dyDescent="0.25">
      <c r="A52" s="2000" t="s">
        <v>2209</v>
      </c>
      <c r="B52" s="2030">
        <v>102200300</v>
      </c>
      <c r="C52" s="1998" t="s">
        <v>2219</v>
      </c>
      <c r="D52" s="2029">
        <v>32261</v>
      </c>
      <c r="E52" s="1996" t="str">
        <f t="shared" si="2"/>
        <v>25,000</v>
      </c>
      <c r="F52" s="1996">
        <f t="shared" si="3"/>
        <v>7261</v>
      </c>
    </row>
    <row r="53" spans="1:6" x14ac:dyDescent="0.25">
      <c r="A53" s="2000" t="s">
        <v>2209</v>
      </c>
      <c r="B53" s="2030">
        <v>102200300</v>
      </c>
      <c r="C53" s="1998" t="s">
        <v>2218</v>
      </c>
      <c r="D53" s="2029">
        <v>6891.4</v>
      </c>
      <c r="E53" s="1996">
        <f t="shared" si="2"/>
        <v>6891.4</v>
      </c>
      <c r="F53" s="1996" t="str">
        <f t="shared" si="3"/>
        <v>0</v>
      </c>
    </row>
    <row r="54" spans="1:6" x14ac:dyDescent="0.25">
      <c r="A54" s="2000" t="s">
        <v>2209</v>
      </c>
      <c r="B54" s="2030">
        <v>102200300</v>
      </c>
      <c r="C54" s="1998" t="s">
        <v>2217</v>
      </c>
      <c r="D54" s="2029">
        <v>18553.5</v>
      </c>
      <c r="E54" s="1996">
        <f t="shared" si="2"/>
        <v>18553.5</v>
      </c>
      <c r="F54" s="1996" t="str">
        <f t="shared" si="3"/>
        <v>0</v>
      </c>
    </row>
    <row r="55" spans="1:6" x14ac:dyDescent="0.25">
      <c r="A55" s="2000" t="s">
        <v>2209</v>
      </c>
      <c r="B55" s="2030">
        <v>102200300</v>
      </c>
      <c r="C55" s="1998" t="s">
        <v>2216</v>
      </c>
      <c r="D55" s="2029">
        <v>995</v>
      </c>
      <c r="E55" s="1996">
        <f t="shared" si="2"/>
        <v>995</v>
      </c>
      <c r="F55" s="1996" t="str">
        <f t="shared" si="3"/>
        <v>0</v>
      </c>
    </row>
    <row r="56" spans="1:6" x14ac:dyDescent="0.25">
      <c r="A56" s="2000" t="s">
        <v>2209</v>
      </c>
      <c r="B56" s="2030">
        <v>102200300</v>
      </c>
      <c r="C56" s="1998" t="s">
        <v>2215</v>
      </c>
      <c r="D56" s="2029">
        <v>7399</v>
      </c>
      <c r="E56" s="1996">
        <f t="shared" si="2"/>
        <v>7399</v>
      </c>
      <c r="F56" s="1996" t="str">
        <f t="shared" si="3"/>
        <v>0</v>
      </c>
    </row>
    <row r="57" spans="1:6" x14ac:dyDescent="0.25">
      <c r="A57" s="2000" t="s">
        <v>2209</v>
      </c>
      <c r="B57" s="2030">
        <v>102200300</v>
      </c>
      <c r="C57" s="1998" t="s">
        <v>2214</v>
      </c>
      <c r="D57" s="2029">
        <v>6398</v>
      </c>
      <c r="E57" s="1996">
        <f t="shared" si="2"/>
        <v>6398</v>
      </c>
      <c r="F57" s="1996" t="str">
        <f t="shared" si="3"/>
        <v>0</v>
      </c>
    </row>
    <row r="58" spans="1:6" x14ac:dyDescent="0.25">
      <c r="A58" s="2000" t="s">
        <v>2209</v>
      </c>
      <c r="B58" s="2030">
        <v>102200300</v>
      </c>
      <c r="C58" s="1998" t="s">
        <v>2213</v>
      </c>
      <c r="D58" s="2029">
        <v>5283.47</v>
      </c>
      <c r="E58" s="1996">
        <f t="shared" si="2"/>
        <v>5283.47</v>
      </c>
      <c r="F58" s="1996" t="str">
        <f t="shared" si="3"/>
        <v>0</v>
      </c>
    </row>
    <row r="59" spans="1:6" x14ac:dyDescent="0.25">
      <c r="A59" s="2000" t="s">
        <v>2209</v>
      </c>
      <c r="B59" s="2030">
        <v>102200300</v>
      </c>
      <c r="C59" s="1998" t="s">
        <v>2207</v>
      </c>
      <c r="D59" s="2029">
        <v>5224</v>
      </c>
      <c r="E59" s="1996">
        <f t="shared" si="2"/>
        <v>5224</v>
      </c>
      <c r="F59" s="1996" t="str">
        <f t="shared" si="3"/>
        <v>0</v>
      </c>
    </row>
    <row r="60" spans="1:6" x14ac:dyDescent="0.25">
      <c r="A60" s="2000" t="s">
        <v>2209</v>
      </c>
      <c r="B60" s="2030">
        <v>102200300</v>
      </c>
      <c r="C60" s="1998" t="s">
        <v>2212</v>
      </c>
      <c r="D60" s="2029">
        <v>460</v>
      </c>
      <c r="E60" s="1996">
        <f t="shared" si="2"/>
        <v>460</v>
      </c>
      <c r="F60" s="1996" t="str">
        <f t="shared" si="3"/>
        <v>0</v>
      </c>
    </row>
    <row r="61" spans="1:6" x14ac:dyDescent="0.25">
      <c r="A61" s="2000" t="s">
        <v>2209</v>
      </c>
      <c r="B61" s="2030">
        <v>102200300</v>
      </c>
      <c r="C61" s="1998" t="s">
        <v>2211</v>
      </c>
      <c r="D61" s="2029">
        <v>5981.77</v>
      </c>
      <c r="E61" s="1996">
        <f t="shared" si="2"/>
        <v>5981.77</v>
      </c>
      <c r="F61" s="1996" t="str">
        <f t="shared" si="3"/>
        <v>0</v>
      </c>
    </row>
    <row r="62" spans="1:6" x14ac:dyDescent="0.25">
      <c r="A62" s="2000" t="s">
        <v>2209</v>
      </c>
      <c r="B62" s="2030">
        <v>102200300</v>
      </c>
      <c r="C62" s="1998" t="s">
        <v>2210</v>
      </c>
      <c r="D62" s="2029">
        <v>2495</v>
      </c>
      <c r="E62" s="1996">
        <f t="shared" si="2"/>
        <v>2495</v>
      </c>
      <c r="F62" s="1996" t="str">
        <f t="shared" si="3"/>
        <v>0</v>
      </c>
    </row>
    <row r="63" spans="1:6" x14ac:dyDescent="0.25">
      <c r="A63" s="2000" t="s">
        <v>2209</v>
      </c>
      <c r="B63" s="2030">
        <v>102200300</v>
      </c>
      <c r="C63" s="1998" t="s">
        <v>2196</v>
      </c>
      <c r="D63" s="2029">
        <v>2245</v>
      </c>
      <c r="E63" s="1996">
        <f t="shared" si="2"/>
        <v>2245</v>
      </c>
      <c r="F63" s="1996" t="str">
        <f t="shared" si="3"/>
        <v>0</v>
      </c>
    </row>
    <row r="64" spans="1:6" ht="30" x14ac:dyDescent="0.25">
      <c r="A64" s="2000" t="s">
        <v>2206</v>
      </c>
      <c r="B64" s="2030">
        <v>102200400</v>
      </c>
      <c r="C64" s="1998" t="s">
        <v>2208</v>
      </c>
      <c r="D64" s="2029">
        <v>325</v>
      </c>
      <c r="E64" s="1996">
        <f t="shared" si="2"/>
        <v>325</v>
      </c>
      <c r="F64" s="1996" t="str">
        <f t="shared" si="3"/>
        <v>0</v>
      </c>
    </row>
    <row r="65" spans="1:6" ht="30" x14ac:dyDescent="0.25">
      <c r="A65" s="2000" t="s">
        <v>2206</v>
      </c>
      <c r="B65" s="2030">
        <v>102200400</v>
      </c>
      <c r="C65" s="1998" t="s">
        <v>2207</v>
      </c>
      <c r="D65" s="2029">
        <v>262</v>
      </c>
      <c r="E65" s="1996">
        <f t="shared" si="2"/>
        <v>262</v>
      </c>
      <c r="F65" s="1996" t="str">
        <f t="shared" si="3"/>
        <v>0</v>
      </c>
    </row>
    <row r="66" spans="1:6" ht="30" x14ac:dyDescent="0.25">
      <c r="A66" s="2000" t="s">
        <v>2206</v>
      </c>
      <c r="B66" s="2030">
        <v>102200400</v>
      </c>
      <c r="C66" s="1998" t="s">
        <v>2205</v>
      </c>
      <c r="D66" s="2029">
        <v>123.75</v>
      </c>
      <c r="E66" s="1996">
        <f t="shared" si="2"/>
        <v>123.75</v>
      </c>
      <c r="F66" s="1996" t="str">
        <f t="shared" si="3"/>
        <v>0</v>
      </c>
    </row>
    <row r="67" spans="1:6" x14ac:dyDescent="0.25">
      <c r="A67" s="2000" t="s">
        <v>2198</v>
      </c>
      <c r="B67" s="2030">
        <v>102300300</v>
      </c>
      <c r="C67" s="1998" t="s">
        <v>2056</v>
      </c>
      <c r="D67" s="2029">
        <v>2500</v>
      </c>
      <c r="E67" s="1996">
        <f t="shared" si="2"/>
        <v>2500</v>
      </c>
      <c r="F67" s="1996" t="str">
        <f t="shared" si="3"/>
        <v>0</v>
      </c>
    </row>
    <row r="68" spans="1:6" x14ac:dyDescent="0.25">
      <c r="A68" s="2000" t="s">
        <v>2198</v>
      </c>
      <c r="B68" s="2030">
        <v>102300300</v>
      </c>
      <c r="C68" s="1998" t="s">
        <v>2056</v>
      </c>
      <c r="D68" s="2029">
        <v>17400</v>
      </c>
      <c r="E68" s="1996">
        <f t="shared" si="2"/>
        <v>17400</v>
      </c>
      <c r="F68" s="1996" t="str">
        <f t="shared" si="3"/>
        <v>0</v>
      </c>
    </row>
    <row r="69" spans="1:6" ht="30" x14ac:dyDescent="0.25">
      <c r="A69" s="2000" t="s">
        <v>2198</v>
      </c>
      <c r="B69" s="2030">
        <v>102300300</v>
      </c>
      <c r="C69" s="2031" t="s">
        <v>2204</v>
      </c>
      <c r="D69" s="2029">
        <v>4738</v>
      </c>
      <c r="E69" s="1996">
        <f t="shared" si="2"/>
        <v>4738</v>
      </c>
      <c r="F69" s="1996" t="str">
        <f t="shared" si="3"/>
        <v>0</v>
      </c>
    </row>
    <row r="70" spans="1:6" x14ac:dyDescent="0.25">
      <c r="A70" s="2000" t="s">
        <v>2198</v>
      </c>
      <c r="B70" s="2030">
        <v>102300300</v>
      </c>
      <c r="C70" s="2031" t="s">
        <v>2203</v>
      </c>
      <c r="D70" s="2029">
        <v>1950</v>
      </c>
      <c r="E70" s="1996">
        <f t="shared" si="2"/>
        <v>1950</v>
      </c>
      <c r="F70" s="1996" t="str">
        <f t="shared" si="3"/>
        <v>0</v>
      </c>
    </row>
    <row r="71" spans="1:6" x14ac:dyDescent="0.25">
      <c r="A71" s="2000" t="s">
        <v>2198</v>
      </c>
      <c r="B71" s="2030">
        <v>102300300</v>
      </c>
      <c r="C71" s="2031" t="s">
        <v>2128</v>
      </c>
      <c r="D71" s="2029">
        <v>1499.99</v>
      </c>
      <c r="E71" s="1996">
        <f t="shared" si="2"/>
        <v>1499.99</v>
      </c>
      <c r="F71" s="1996" t="str">
        <f t="shared" si="3"/>
        <v>0</v>
      </c>
    </row>
    <row r="72" spans="1:6" x14ac:dyDescent="0.25">
      <c r="A72" s="2000" t="s">
        <v>2198</v>
      </c>
      <c r="B72" s="2030">
        <v>102300300</v>
      </c>
      <c r="C72" s="2031" t="s">
        <v>2202</v>
      </c>
      <c r="D72" s="2029">
        <v>317</v>
      </c>
      <c r="E72" s="1996">
        <f t="shared" si="2"/>
        <v>317</v>
      </c>
      <c r="F72" s="1996" t="str">
        <f t="shared" si="3"/>
        <v>0</v>
      </c>
    </row>
    <row r="73" spans="1:6" x14ac:dyDescent="0.25">
      <c r="A73" s="2000" t="s">
        <v>2198</v>
      </c>
      <c r="B73" s="2030">
        <v>102300300</v>
      </c>
      <c r="C73" s="2031" t="s">
        <v>2201</v>
      </c>
      <c r="D73" s="2029">
        <v>100</v>
      </c>
      <c r="E73" s="1996">
        <f t="shared" si="2"/>
        <v>100</v>
      </c>
      <c r="F73" s="1996" t="str">
        <f t="shared" si="3"/>
        <v>0</v>
      </c>
    </row>
    <row r="74" spans="1:6" x14ac:dyDescent="0.25">
      <c r="A74" s="2000" t="s">
        <v>2198</v>
      </c>
      <c r="B74" s="2030">
        <v>102300300</v>
      </c>
      <c r="C74" s="2031" t="s">
        <v>2200</v>
      </c>
      <c r="D74" s="2029">
        <v>200</v>
      </c>
      <c r="E74" s="1996">
        <f t="shared" si="2"/>
        <v>200</v>
      </c>
      <c r="F74" s="1996" t="str">
        <f t="shared" si="3"/>
        <v>0</v>
      </c>
    </row>
    <row r="75" spans="1:6" x14ac:dyDescent="0.25">
      <c r="A75" s="2000" t="s">
        <v>2198</v>
      </c>
      <c r="B75" s="2030">
        <v>102300300</v>
      </c>
      <c r="C75" s="2031" t="s">
        <v>2199</v>
      </c>
      <c r="D75" s="2029">
        <v>5250</v>
      </c>
      <c r="E75" s="1996">
        <f t="shared" si="2"/>
        <v>5250</v>
      </c>
      <c r="F75" s="1996" t="str">
        <f t="shared" si="3"/>
        <v>0</v>
      </c>
    </row>
    <row r="76" spans="1:6" x14ac:dyDescent="0.25">
      <c r="A76" s="2000" t="s">
        <v>2198</v>
      </c>
      <c r="B76" s="2030">
        <v>102300300</v>
      </c>
      <c r="C76" s="2031" t="s">
        <v>2131</v>
      </c>
      <c r="D76" s="2029">
        <v>1726</v>
      </c>
      <c r="E76" s="1996">
        <f t="shared" si="2"/>
        <v>1726</v>
      </c>
      <c r="F76" s="1996" t="str">
        <f t="shared" si="3"/>
        <v>0</v>
      </c>
    </row>
    <row r="77" spans="1:6" ht="30" x14ac:dyDescent="0.25">
      <c r="A77" s="2000" t="s">
        <v>2197</v>
      </c>
      <c r="B77" s="2030">
        <v>102400300</v>
      </c>
      <c r="C77" s="2031" t="s">
        <v>2196</v>
      </c>
      <c r="D77" s="2029">
        <v>7828.76</v>
      </c>
      <c r="E77" s="1996">
        <f t="shared" si="2"/>
        <v>7828.76</v>
      </c>
      <c r="F77" s="1996" t="str">
        <f t="shared" si="3"/>
        <v>0</v>
      </c>
    </row>
    <row r="78" spans="1:6" x14ac:dyDescent="0.25">
      <c r="A78" s="2000" t="s">
        <v>2195</v>
      </c>
      <c r="B78" s="2030">
        <v>102560300</v>
      </c>
      <c r="C78" s="2031" t="s">
        <v>2156</v>
      </c>
      <c r="D78" s="2029">
        <v>5853.02</v>
      </c>
      <c r="E78" s="1996">
        <f t="shared" si="2"/>
        <v>5853.02</v>
      </c>
      <c r="F78" s="1996" t="str">
        <f t="shared" si="3"/>
        <v>0</v>
      </c>
    </row>
    <row r="79" spans="1:6" x14ac:dyDescent="0.25">
      <c r="A79" s="2000" t="s">
        <v>2194</v>
      </c>
      <c r="B79" s="2030">
        <v>102560300</v>
      </c>
      <c r="C79" s="2031" t="s">
        <v>2150</v>
      </c>
      <c r="D79" s="2029">
        <v>203986</v>
      </c>
      <c r="E79" s="1996" t="str">
        <f t="shared" ref="E79:E110" si="4">IF(D79&lt;25000,D79,"25,000")</f>
        <v>25,000</v>
      </c>
      <c r="F79" s="1996">
        <f t="shared" ref="F79:F110" si="5">IF(D79&gt;=25000,(D79-E79),"0")</f>
        <v>178986</v>
      </c>
    </row>
    <row r="80" spans="1:6" ht="30" x14ac:dyDescent="0.25">
      <c r="A80" s="2000" t="s">
        <v>2193</v>
      </c>
      <c r="B80" s="2030">
        <v>102570300</v>
      </c>
      <c r="C80" s="2031" t="s">
        <v>2192</v>
      </c>
      <c r="D80" s="2029">
        <v>3696</v>
      </c>
      <c r="E80" s="1996">
        <f t="shared" si="4"/>
        <v>3696</v>
      </c>
      <c r="F80" s="1996" t="str">
        <f t="shared" si="5"/>
        <v>0</v>
      </c>
    </row>
    <row r="81" spans="1:6" x14ac:dyDescent="0.25">
      <c r="A81" s="2000" t="s">
        <v>2186</v>
      </c>
      <c r="B81" s="2030">
        <v>102640300</v>
      </c>
      <c r="C81" s="2031" t="s">
        <v>2191</v>
      </c>
      <c r="D81" s="2029">
        <v>567.02</v>
      </c>
      <c r="E81" s="1996">
        <f t="shared" si="4"/>
        <v>567.02</v>
      </c>
      <c r="F81" s="1996" t="str">
        <f t="shared" si="5"/>
        <v>0</v>
      </c>
    </row>
    <row r="82" spans="1:6" x14ac:dyDescent="0.25">
      <c r="A82" s="2000" t="s">
        <v>2186</v>
      </c>
      <c r="B82" s="2030">
        <v>102640300</v>
      </c>
      <c r="C82" s="2031" t="s">
        <v>2127</v>
      </c>
      <c r="D82" s="2029">
        <v>9139.0300000000007</v>
      </c>
      <c r="E82" s="1996">
        <f t="shared" si="4"/>
        <v>9139.0300000000007</v>
      </c>
      <c r="F82" s="1996" t="str">
        <f t="shared" si="5"/>
        <v>0</v>
      </c>
    </row>
    <row r="83" spans="1:6" x14ac:dyDescent="0.25">
      <c r="A83" s="2000" t="s">
        <v>2186</v>
      </c>
      <c r="B83" s="2030">
        <v>102660300</v>
      </c>
      <c r="C83" s="1998" t="s">
        <v>2190</v>
      </c>
      <c r="D83" s="2029">
        <v>200</v>
      </c>
      <c r="E83" s="1996">
        <f t="shared" si="4"/>
        <v>200</v>
      </c>
      <c r="F83" s="1996" t="str">
        <f t="shared" si="5"/>
        <v>0</v>
      </c>
    </row>
    <row r="84" spans="1:6" x14ac:dyDescent="0.25">
      <c r="A84" s="2000" t="s">
        <v>2186</v>
      </c>
      <c r="B84" s="2030">
        <v>102660300</v>
      </c>
      <c r="C84" s="1998" t="s">
        <v>2189</v>
      </c>
      <c r="D84" s="2029">
        <v>4200</v>
      </c>
      <c r="E84" s="1996">
        <f t="shared" si="4"/>
        <v>4200</v>
      </c>
      <c r="F84" s="1996" t="str">
        <f t="shared" si="5"/>
        <v>0</v>
      </c>
    </row>
    <row r="85" spans="1:6" x14ac:dyDescent="0.25">
      <c r="A85" s="2000" t="s">
        <v>2186</v>
      </c>
      <c r="B85" s="2030">
        <v>102660300</v>
      </c>
      <c r="C85" s="1998" t="s">
        <v>2188</v>
      </c>
      <c r="D85" s="2029">
        <v>201.7</v>
      </c>
      <c r="E85" s="1996">
        <f t="shared" si="4"/>
        <v>201.7</v>
      </c>
      <c r="F85" s="1996" t="str">
        <f t="shared" si="5"/>
        <v>0</v>
      </c>
    </row>
    <row r="86" spans="1:6" x14ac:dyDescent="0.25">
      <c r="A86" s="2000" t="s">
        <v>2186</v>
      </c>
      <c r="B86" s="2030">
        <v>102660300</v>
      </c>
      <c r="C86" s="1998" t="s">
        <v>2187</v>
      </c>
      <c r="D86" s="2029">
        <v>29076</v>
      </c>
      <c r="E86" s="1996" t="str">
        <f t="shared" si="4"/>
        <v>25,000</v>
      </c>
      <c r="F86" s="1996">
        <f t="shared" si="5"/>
        <v>4076</v>
      </c>
    </row>
    <row r="87" spans="1:6" x14ac:dyDescent="0.25">
      <c r="A87" s="2000" t="s">
        <v>2186</v>
      </c>
      <c r="B87" s="2030">
        <v>102660300</v>
      </c>
      <c r="C87" s="1998" t="s">
        <v>2185</v>
      </c>
      <c r="D87" s="2029">
        <v>8640</v>
      </c>
      <c r="E87" s="1996">
        <f t="shared" si="4"/>
        <v>8640</v>
      </c>
      <c r="F87" s="1996" t="str">
        <f t="shared" si="5"/>
        <v>0</v>
      </c>
    </row>
    <row r="88" spans="1:6" x14ac:dyDescent="0.25">
      <c r="A88" s="2000" t="s">
        <v>2183</v>
      </c>
      <c r="B88" s="2030">
        <v>103000300</v>
      </c>
      <c r="C88" s="1998" t="s">
        <v>2184</v>
      </c>
      <c r="D88" s="2029">
        <v>67500</v>
      </c>
      <c r="E88" s="1996" t="str">
        <f t="shared" si="4"/>
        <v>25,000</v>
      </c>
      <c r="F88" s="1996">
        <f t="shared" si="5"/>
        <v>42500</v>
      </c>
    </row>
    <row r="89" spans="1:6" x14ac:dyDescent="0.25">
      <c r="A89" s="2000" t="s">
        <v>2183</v>
      </c>
      <c r="B89" s="2030">
        <v>103000300</v>
      </c>
      <c r="C89" s="1998" t="s">
        <v>2182</v>
      </c>
      <c r="D89" s="2029">
        <v>227.5</v>
      </c>
      <c r="E89" s="1996">
        <f t="shared" si="4"/>
        <v>227.5</v>
      </c>
      <c r="F89" s="1996" t="str">
        <f t="shared" si="5"/>
        <v>0</v>
      </c>
    </row>
    <row r="90" spans="1:6" x14ac:dyDescent="0.25">
      <c r="A90" s="2000" t="s">
        <v>2161</v>
      </c>
      <c r="B90" s="2030">
        <v>202540300</v>
      </c>
      <c r="C90" s="1998" t="s">
        <v>2181</v>
      </c>
      <c r="D90" s="2029">
        <v>95000.16</v>
      </c>
      <c r="E90" s="1996" t="str">
        <f t="shared" si="4"/>
        <v>25,000</v>
      </c>
      <c r="F90" s="1996">
        <f t="shared" si="5"/>
        <v>70000.160000000003</v>
      </c>
    </row>
    <row r="91" spans="1:6" x14ac:dyDescent="0.25">
      <c r="A91" s="2000" t="s">
        <v>2161</v>
      </c>
      <c r="B91" s="2030">
        <v>202540300</v>
      </c>
      <c r="C91" s="1998" t="s">
        <v>2180</v>
      </c>
      <c r="D91" s="2029">
        <v>621</v>
      </c>
      <c r="E91" s="1996">
        <f t="shared" si="4"/>
        <v>621</v>
      </c>
      <c r="F91" s="1996" t="str">
        <f t="shared" si="5"/>
        <v>0</v>
      </c>
    </row>
    <row r="92" spans="1:6" x14ac:dyDescent="0.25">
      <c r="A92" s="2000" t="s">
        <v>2161</v>
      </c>
      <c r="B92" s="2030">
        <v>202540300</v>
      </c>
      <c r="C92" s="1998" t="s">
        <v>2179</v>
      </c>
      <c r="D92" s="2029">
        <v>5000</v>
      </c>
      <c r="E92" s="1996">
        <f t="shared" si="4"/>
        <v>5000</v>
      </c>
      <c r="F92" s="1996" t="str">
        <f t="shared" si="5"/>
        <v>0</v>
      </c>
    </row>
    <row r="93" spans="1:6" x14ac:dyDescent="0.25">
      <c r="A93" s="2000" t="s">
        <v>2161</v>
      </c>
      <c r="B93" s="2030">
        <v>202540300</v>
      </c>
      <c r="C93" s="1998" t="s">
        <v>2178</v>
      </c>
      <c r="D93" s="2029">
        <v>4589.66</v>
      </c>
      <c r="E93" s="1996">
        <f t="shared" si="4"/>
        <v>4589.66</v>
      </c>
      <c r="F93" s="1996" t="str">
        <f t="shared" si="5"/>
        <v>0</v>
      </c>
    </row>
    <row r="94" spans="1:6" x14ac:dyDescent="0.25">
      <c r="A94" s="2000" t="s">
        <v>2161</v>
      </c>
      <c r="B94" s="2030">
        <v>202540300</v>
      </c>
      <c r="C94" s="1998" t="s">
        <v>2177</v>
      </c>
      <c r="D94" s="2029">
        <v>122.79</v>
      </c>
      <c r="E94" s="1996">
        <f t="shared" si="4"/>
        <v>122.79</v>
      </c>
      <c r="F94" s="1996" t="str">
        <f t="shared" si="5"/>
        <v>0</v>
      </c>
    </row>
    <row r="95" spans="1:6" x14ac:dyDescent="0.25">
      <c r="A95" s="2000" t="s">
        <v>2161</v>
      </c>
      <c r="B95" s="2030">
        <v>202540300</v>
      </c>
      <c r="C95" s="1998" t="s">
        <v>2124</v>
      </c>
      <c r="D95" s="2029">
        <v>4204.1400000000003</v>
      </c>
      <c r="E95" s="1996">
        <f t="shared" si="4"/>
        <v>4204.1400000000003</v>
      </c>
      <c r="F95" s="1996" t="str">
        <f t="shared" si="5"/>
        <v>0</v>
      </c>
    </row>
    <row r="96" spans="1:6" x14ac:dyDescent="0.25">
      <c r="A96" s="2000" t="s">
        <v>2161</v>
      </c>
      <c r="B96" s="2030">
        <v>202540300</v>
      </c>
      <c r="C96" s="1998" t="s">
        <v>2176</v>
      </c>
      <c r="D96" s="2029">
        <v>23405.8</v>
      </c>
      <c r="E96" s="1996">
        <f t="shared" si="4"/>
        <v>23405.8</v>
      </c>
      <c r="F96" s="1996" t="str">
        <f t="shared" si="5"/>
        <v>0</v>
      </c>
    </row>
    <row r="97" spans="1:6" x14ac:dyDescent="0.25">
      <c r="A97" s="2000" t="s">
        <v>2161</v>
      </c>
      <c r="B97" s="2030">
        <v>202540300</v>
      </c>
      <c r="C97" s="1998" t="s">
        <v>2159</v>
      </c>
      <c r="D97" s="2029">
        <v>1373.69</v>
      </c>
      <c r="E97" s="1996">
        <f t="shared" si="4"/>
        <v>1373.69</v>
      </c>
      <c r="F97" s="1996" t="str">
        <f t="shared" si="5"/>
        <v>0</v>
      </c>
    </row>
    <row r="98" spans="1:6" x14ac:dyDescent="0.25">
      <c r="A98" s="2000" t="s">
        <v>2161</v>
      </c>
      <c r="B98" s="2030">
        <v>202540300</v>
      </c>
      <c r="C98" s="1998" t="s">
        <v>2138</v>
      </c>
      <c r="D98" s="2029">
        <v>9320</v>
      </c>
      <c r="E98" s="1996">
        <f t="shared" si="4"/>
        <v>9320</v>
      </c>
      <c r="F98" s="1996" t="str">
        <f t="shared" si="5"/>
        <v>0</v>
      </c>
    </row>
    <row r="99" spans="1:6" x14ac:dyDescent="0.25">
      <c r="A99" s="2000" t="s">
        <v>2161</v>
      </c>
      <c r="B99" s="2030">
        <v>202540300</v>
      </c>
      <c r="C99" s="1998" t="s">
        <v>2175</v>
      </c>
      <c r="D99" s="2029">
        <v>1607.83</v>
      </c>
      <c r="E99" s="1996">
        <f t="shared" si="4"/>
        <v>1607.83</v>
      </c>
      <c r="F99" s="1996" t="str">
        <f t="shared" si="5"/>
        <v>0</v>
      </c>
    </row>
    <row r="100" spans="1:6" x14ac:dyDescent="0.25">
      <c r="A100" s="2000" t="s">
        <v>2161</v>
      </c>
      <c r="B100" s="2030">
        <v>202540300</v>
      </c>
      <c r="C100" s="1998" t="s">
        <v>2174</v>
      </c>
      <c r="D100" s="2029">
        <v>4485.05</v>
      </c>
      <c r="E100" s="1996">
        <f t="shared" si="4"/>
        <v>4485.05</v>
      </c>
      <c r="F100" s="1996" t="str">
        <f t="shared" si="5"/>
        <v>0</v>
      </c>
    </row>
    <row r="101" spans="1:6" x14ac:dyDescent="0.25">
      <c r="A101" s="2000" t="s">
        <v>2161</v>
      </c>
      <c r="B101" s="2030">
        <v>202540300</v>
      </c>
      <c r="C101" s="1998" t="s">
        <v>2173</v>
      </c>
      <c r="D101" s="2029">
        <v>4150</v>
      </c>
      <c r="E101" s="1996">
        <f t="shared" si="4"/>
        <v>4150</v>
      </c>
      <c r="F101" s="1996" t="str">
        <f t="shared" si="5"/>
        <v>0</v>
      </c>
    </row>
    <row r="102" spans="1:6" x14ac:dyDescent="0.25">
      <c r="A102" s="2000" t="s">
        <v>2161</v>
      </c>
      <c r="B102" s="2030">
        <v>202540300</v>
      </c>
      <c r="C102" s="1998" t="s">
        <v>2172</v>
      </c>
      <c r="D102" s="2029">
        <v>29840.94</v>
      </c>
      <c r="E102" s="1996" t="str">
        <f t="shared" si="4"/>
        <v>25,000</v>
      </c>
      <c r="F102" s="1996">
        <f t="shared" si="5"/>
        <v>4840.9399999999987</v>
      </c>
    </row>
    <row r="103" spans="1:6" x14ac:dyDescent="0.25">
      <c r="A103" s="2000" t="s">
        <v>2161</v>
      </c>
      <c r="B103" s="2030">
        <v>202540300</v>
      </c>
      <c r="C103" s="1998" t="s">
        <v>2171</v>
      </c>
      <c r="D103" s="2029">
        <v>7765</v>
      </c>
      <c r="E103" s="1996">
        <f t="shared" si="4"/>
        <v>7765</v>
      </c>
      <c r="F103" s="1996" t="str">
        <f t="shared" si="5"/>
        <v>0</v>
      </c>
    </row>
    <row r="104" spans="1:6" x14ac:dyDescent="0.25">
      <c r="A104" s="2000" t="s">
        <v>2161</v>
      </c>
      <c r="B104" s="2030">
        <v>202540300</v>
      </c>
      <c r="C104" s="1998" t="s">
        <v>2170</v>
      </c>
      <c r="D104" s="2029">
        <v>3000</v>
      </c>
      <c r="E104" s="1996">
        <f t="shared" si="4"/>
        <v>3000</v>
      </c>
      <c r="F104" s="1996" t="str">
        <f t="shared" si="5"/>
        <v>0</v>
      </c>
    </row>
    <row r="105" spans="1:6" x14ac:dyDescent="0.25">
      <c r="A105" s="2000" t="s">
        <v>2161</v>
      </c>
      <c r="B105" s="2030">
        <v>202540300</v>
      </c>
      <c r="C105" s="1998" t="s">
        <v>2169</v>
      </c>
      <c r="D105" s="2029">
        <v>1730</v>
      </c>
      <c r="E105" s="1996">
        <f t="shared" si="4"/>
        <v>1730</v>
      </c>
      <c r="F105" s="1996" t="str">
        <f t="shared" si="5"/>
        <v>0</v>
      </c>
    </row>
    <row r="106" spans="1:6" x14ac:dyDescent="0.25">
      <c r="A106" s="2000" t="s">
        <v>2161</v>
      </c>
      <c r="B106" s="2030">
        <v>202540300</v>
      </c>
      <c r="C106" s="1998" t="s">
        <v>2168</v>
      </c>
      <c r="D106" s="2029">
        <v>2324.44</v>
      </c>
      <c r="E106" s="1996">
        <f t="shared" si="4"/>
        <v>2324.44</v>
      </c>
      <c r="F106" s="1996" t="str">
        <f t="shared" si="5"/>
        <v>0</v>
      </c>
    </row>
    <row r="107" spans="1:6" x14ac:dyDescent="0.25">
      <c r="A107" s="2000" t="s">
        <v>2161</v>
      </c>
      <c r="B107" s="2030">
        <v>202540300</v>
      </c>
      <c r="C107" s="1998" t="s">
        <v>2167</v>
      </c>
      <c r="D107" s="2029">
        <v>14581.25</v>
      </c>
      <c r="E107" s="1996">
        <f t="shared" si="4"/>
        <v>14581.25</v>
      </c>
      <c r="F107" s="1996" t="str">
        <f t="shared" si="5"/>
        <v>0</v>
      </c>
    </row>
    <row r="108" spans="1:6" x14ac:dyDescent="0.25">
      <c r="A108" s="2000" t="s">
        <v>2161</v>
      </c>
      <c r="B108" s="2030">
        <v>202540300</v>
      </c>
      <c r="C108" s="1998" t="s">
        <v>2166</v>
      </c>
      <c r="D108" s="2029">
        <v>2893</v>
      </c>
      <c r="E108" s="1996">
        <f t="shared" si="4"/>
        <v>2893</v>
      </c>
      <c r="F108" s="1996" t="str">
        <f t="shared" si="5"/>
        <v>0</v>
      </c>
    </row>
    <row r="109" spans="1:6" x14ac:dyDescent="0.25">
      <c r="A109" s="2000" t="s">
        <v>2161</v>
      </c>
      <c r="B109" s="2030">
        <v>202540300</v>
      </c>
      <c r="C109" s="1998" t="s">
        <v>2156</v>
      </c>
      <c r="D109" s="2029">
        <v>7242.23</v>
      </c>
      <c r="E109" s="1996">
        <f t="shared" si="4"/>
        <v>7242.23</v>
      </c>
      <c r="F109" s="1996" t="str">
        <f t="shared" si="5"/>
        <v>0</v>
      </c>
    </row>
    <row r="110" spans="1:6" x14ac:dyDescent="0.25">
      <c r="A110" s="2000" t="s">
        <v>2161</v>
      </c>
      <c r="B110" s="2030">
        <v>202540300</v>
      </c>
      <c r="C110" s="1998" t="s">
        <v>2166</v>
      </c>
      <c r="D110" s="2029">
        <v>735</v>
      </c>
      <c r="E110" s="1996">
        <f t="shared" si="4"/>
        <v>735</v>
      </c>
      <c r="F110" s="1996" t="str">
        <f t="shared" si="5"/>
        <v>0</v>
      </c>
    </row>
    <row r="111" spans="1:6" x14ac:dyDescent="0.25">
      <c r="A111" s="2000" t="s">
        <v>2161</v>
      </c>
      <c r="B111" s="2030">
        <v>202540300</v>
      </c>
      <c r="C111" s="1998" t="s">
        <v>2165</v>
      </c>
      <c r="D111" s="2029">
        <v>52500</v>
      </c>
      <c r="E111" s="1996" t="str">
        <f t="shared" ref="E111:E142" si="6">IF(D111&lt;25000,D111,"25,000")</f>
        <v>25,000</v>
      </c>
      <c r="F111" s="1996">
        <f t="shared" ref="F111:F142" si="7">IF(D111&gt;=25000,(D111-E111),"0")</f>
        <v>27500</v>
      </c>
    </row>
    <row r="112" spans="1:6" x14ac:dyDescent="0.25">
      <c r="A112" s="2000" t="s">
        <v>2161</v>
      </c>
      <c r="B112" s="2030">
        <v>202540300</v>
      </c>
      <c r="C112" s="1998" t="s">
        <v>2164</v>
      </c>
      <c r="D112" s="2029">
        <v>992.87</v>
      </c>
      <c r="E112" s="1996">
        <f t="shared" si="6"/>
        <v>992.87</v>
      </c>
      <c r="F112" s="1996" t="str">
        <f t="shared" si="7"/>
        <v>0</v>
      </c>
    </row>
    <row r="113" spans="1:6" x14ac:dyDescent="0.25">
      <c r="A113" s="2000" t="s">
        <v>2161</v>
      </c>
      <c r="B113" s="2030">
        <v>202540300</v>
      </c>
      <c r="C113" s="1998" t="s">
        <v>2163</v>
      </c>
      <c r="D113" s="2029">
        <v>400</v>
      </c>
      <c r="E113" s="1996">
        <f t="shared" si="6"/>
        <v>400</v>
      </c>
      <c r="F113" s="1996" t="str">
        <f t="shared" si="7"/>
        <v>0</v>
      </c>
    </row>
    <row r="114" spans="1:6" x14ac:dyDescent="0.25">
      <c r="A114" s="2000" t="s">
        <v>2161</v>
      </c>
      <c r="B114" s="2030">
        <v>202540400</v>
      </c>
      <c r="C114" s="1998" t="s">
        <v>2150</v>
      </c>
      <c r="D114" s="2029">
        <v>220683.23</v>
      </c>
      <c r="E114" s="1996" t="str">
        <f t="shared" si="6"/>
        <v>25,000</v>
      </c>
      <c r="F114" s="1996">
        <f t="shared" si="7"/>
        <v>195683.23</v>
      </c>
    </row>
    <row r="115" spans="1:6" x14ac:dyDescent="0.25">
      <c r="A115" s="2000" t="s">
        <v>2161</v>
      </c>
      <c r="B115" s="2030">
        <v>202540400</v>
      </c>
      <c r="C115" s="1998" t="s">
        <v>2148</v>
      </c>
      <c r="D115" s="2029">
        <v>8840.1</v>
      </c>
      <c r="E115" s="1996">
        <f t="shared" si="6"/>
        <v>8840.1</v>
      </c>
      <c r="F115" s="1996" t="str">
        <f t="shared" si="7"/>
        <v>0</v>
      </c>
    </row>
    <row r="116" spans="1:6" x14ac:dyDescent="0.25">
      <c r="A116" s="2000" t="s">
        <v>2161</v>
      </c>
      <c r="B116" s="2030">
        <v>202540400</v>
      </c>
      <c r="C116" s="1998" t="s">
        <v>2162</v>
      </c>
      <c r="D116" s="2029">
        <v>1761.25</v>
      </c>
      <c r="E116" s="1996">
        <f t="shared" si="6"/>
        <v>1761.25</v>
      </c>
      <c r="F116" s="1996" t="str">
        <f t="shared" si="7"/>
        <v>0</v>
      </c>
    </row>
    <row r="117" spans="1:6" x14ac:dyDescent="0.25">
      <c r="A117" s="2000" t="s">
        <v>2161</v>
      </c>
      <c r="B117" s="2030">
        <v>202540400</v>
      </c>
      <c r="C117" s="1998" t="s">
        <v>2125</v>
      </c>
      <c r="D117" s="2029">
        <v>205</v>
      </c>
      <c r="E117" s="1996">
        <f t="shared" si="6"/>
        <v>205</v>
      </c>
      <c r="F117" s="1996" t="str">
        <f t="shared" si="7"/>
        <v>0</v>
      </c>
    </row>
    <row r="118" spans="1:6" x14ac:dyDescent="0.25">
      <c r="A118" s="2000" t="s">
        <v>2161</v>
      </c>
      <c r="B118" s="2030">
        <v>202540400</v>
      </c>
      <c r="C118" s="1998" t="s">
        <v>2160</v>
      </c>
      <c r="D118" s="2029">
        <v>1300</v>
      </c>
      <c r="E118" s="1996">
        <f t="shared" si="6"/>
        <v>1300</v>
      </c>
      <c r="F118" s="1996" t="str">
        <f t="shared" si="7"/>
        <v>0</v>
      </c>
    </row>
    <row r="119" spans="1:6" x14ac:dyDescent="0.25">
      <c r="A119" s="2000" t="s">
        <v>2151</v>
      </c>
      <c r="B119" s="2030">
        <v>402550300</v>
      </c>
      <c r="C119" s="1998" t="s">
        <v>2159</v>
      </c>
      <c r="D119" s="2029">
        <v>2845.33</v>
      </c>
      <c r="E119" s="1996">
        <f t="shared" si="6"/>
        <v>2845.33</v>
      </c>
      <c r="F119" s="1996" t="str">
        <f t="shared" si="7"/>
        <v>0</v>
      </c>
    </row>
    <row r="120" spans="1:6" x14ac:dyDescent="0.25">
      <c r="A120" s="2000" t="s">
        <v>2151</v>
      </c>
      <c r="B120" s="2030">
        <v>402550300</v>
      </c>
      <c r="C120" s="1998" t="s">
        <v>2123</v>
      </c>
      <c r="D120" s="2029">
        <v>5351.67</v>
      </c>
      <c r="E120" s="1996">
        <f t="shared" si="6"/>
        <v>5351.67</v>
      </c>
      <c r="F120" s="1996" t="str">
        <f t="shared" si="7"/>
        <v>0</v>
      </c>
    </row>
    <row r="121" spans="1:6" x14ac:dyDescent="0.25">
      <c r="A121" s="2000" t="s">
        <v>2151</v>
      </c>
      <c r="B121" s="2030">
        <v>402550300</v>
      </c>
      <c r="C121" s="1998" t="s">
        <v>2158</v>
      </c>
      <c r="D121" s="2029">
        <v>1160</v>
      </c>
      <c r="E121" s="1996">
        <f t="shared" si="6"/>
        <v>1160</v>
      </c>
      <c r="F121" s="1996" t="str">
        <f t="shared" si="7"/>
        <v>0</v>
      </c>
    </row>
    <row r="122" spans="1:6" x14ac:dyDescent="0.25">
      <c r="A122" s="2000" t="s">
        <v>2151</v>
      </c>
      <c r="B122" s="2030">
        <v>402550300</v>
      </c>
      <c r="C122" s="1998" t="s">
        <v>2157</v>
      </c>
      <c r="D122" s="2029">
        <v>1045</v>
      </c>
      <c r="E122" s="1996">
        <f t="shared" si="6"/>
        <v>1045</v>
      </c>
      <c r="F122" s="1996" t="str">
        <f t="shared" si="7"/>
        <v>0</v>
      </c>
    </row>
    <row r="123" spans="1:6" x14ac:dyDescent="0.25">
      <c r="A123" s="2000" t="s">
        <v>2151</v>
      </c>
      <c r="B123" s="2030">
        <v>402550300</v>
      </c>
      <c r="C123" s="1998" t="s">
        <v>2138</v>
      </c>
      <c r="D123" s="2029">
        <v>3396.83</v>
      </c>
      <c r="E123" s="1996">
        <f t="shared" si="6"/>
        <v>3396.83</v>
      </c>
      <c r="F123" s="1996" t="str">
        <f t="shared" si="7"/>
        <v>0</v>
      </c>
    </row>
    <row r="124" spans="1:6" x14ac:dyDescent="0.25">
      <c r="A124" s="2000" t="s">
        <v>2151</v>
      </c>
      <c r="B124" s="2030">
        <v>402550300</v>
      </c>
      <c r="C124" s="1998" t="s">
        <v>2156</v>
      </c>
      <c r="D124" s="2029">
        <v>1340.3</v>
      </c>
      <c r="E124" s="1996">
        <f t="shared" si="6"/>
        <v>1340.3</v>
      </c>
      <c r="F124" s="1996" t="str">
        <f t="shared" si="7"/>
        <v>0</v>
      </c>
    </row>
    <row r="125" spans="1:6" x14ac:dyDescent="0.25">
      <c r="A125" s="2000" t="s">
        <v>2151</v>
      </c>
      <c r="B125" s="2030">
        <v>402550300</v>
      </c>
      <c r="C125" s="1998" t="s">
        <v>2131</v>
      </c>
      <c r="D125" s="2029">
        <v>11048</v>
      </c>
      <c r="E125" s="1996">
        <f t="shared" si="6"/>
        <v>11048</v>
      </c>
      <c r="F125" s="1996" t="str">
        <f t="shared" si="7"/>
        <v>0</v>
      </c>
    </row>
    <row r="126" spans="1:6" x14ac:dyDescent="0.25">
      <c r="A126" s="2000" t="s">
        <v>2151</v>
      </c>
      <c r="B126" s="2030">
        <v>402550300</v>
      </c>
      <c r="C126" s="1998" t="s">
        <v>2155</v>
      </c>
      <c r="D126" s="2029">
        <v>44670.3</v>
      </c>
      <c r="E126" s="1996" t="str">
        <f t="shared" si="6"/>
        <v>25,000</v>
      </c>
      <c r="F126" s="1996">
        <f t="shared" si="7"/>
        <v>19670.300000000003</v>
      </c>
    </row>
    <row r="127" spans="1:6" x14ac:dyDescent="0.25">
      <c r="A127" s="2000" t="s">
        <v>2151</v>
      </c>
      <c r="B127" s="2030">
        <v>402550300</v>
      </c>
      <c r="C127" s="1998" t="s">
        <v>2154</v>
      </c>
      <c r="D127" s="2029">
        <v>2721.1</v>
      </c>
      <c r="E127" s="1996">
        <f t="shared" si="6"/>
        <v>2721.1</v>
      </c>
      <c r="F127" s="1996" t="str">
        <f t="shared" si="7"/>
        <v>0</v>
      </c>
    </row>
    <row r="128" spans="1:6" x14ac:dyDescent="0.25">
      <c r="A128" s="2000" t="s">
        <v>2151</v>
      </c>
      <c r="B128" s="2030">
        <v>402550300</v>
      </c>
      <c r="C128" s="1998" t="s">
        <v>2153</v>
      </c>
      <c r="D128" s="2029">
        <v>125</v>
      </c>
      <c r="E128" s="1996">
        <f t="shared" si="6"/>
        <v>125</v>
      </c>
      <c r="F128" s="1996" t="str">
        <f t="shared" si="7"/>
        <v>0</v>
      </c>
    </row>
    <row r="129" spans="1:6" x14ac:dyDescent="0.25">
      <c r="A129" s="2000" t="s">
        <v>2151</v>
      </c>
      <c r="B129" s="2030">
        <v>402550300</v>
      </c>
      <c r="C129" s="1998" t="s">
        <v>2122</v>
      </c>
      <c r="D129" s="2029">
        <v>726</v>
      </c>
      <c r="E129" s="1996">
        <f t="shared" si="6"/>
        <v>726</v>
      </c>
      <c r="F129" s="1996" t="str">
        <f t="shared" si="7"/>
        <v>0</v>
      </c>
    </row>
    <row r="130" spans="1:6" x14ac:dyDescent="0.25">
      <c r="A130" s="2000" t="s">
        <v>2151</v>
      </c>
      <c r="B130" s="2030">
        <v>402550400</v>
      </c>
      <c r="C130" s="1998" t="s">
        <v>2152</v>
      </c>
      <c r="D130" s="2029">
        <v>90923.93</v>
      </c>
      <c r="E130" s="1996" t="str">
        <f t="shared" si="6"/>
        <v>25,000</v>
      </c>
      <c r="F130" s="1996">
        <f t="shared" si="7"/>
        <v>65923.929999999993</v>
      </c>
    </row>
    <row r="131" spans="1:6" x14ac:dyDescent="0.25">
      <c r="A131" s="2000" t="s">
        <v>2151</v>
      </c>
      <c r="B131" s="2030">
        <v>402550400</v>
      </c>
      <c r="C131" s="1998" t="s">
        <v>2150</v>
      </c>
      <c r="D131" s="2029">
        <v>5846</v>
      </c>
      <c r="E131" s="1996">
        <f t="shared" si="6"/>
        <v>5846</v>
      </c>
      <c r="F131" s="1996" t="str">
        <f t="shared" si="7"/>
        <v>0</v>
      </c>
    </row>
    <row r="132" spans="1:6" x14ac:dyDescent="0.25">
      <c r="A132" s="2000" t="s">
        <v>2129</v>
      </c>
      <c r="B132" s="2030">
        <v>802300300</v>
      </c>
      <c r="C132" s="1998" t="s">
        <v>2149</v>
      </c>
      <c r="D132" s="2029">
        <v>503</v>
      </c>
      <c r="E132" s="1996">
        <f t="shared" si="6"/>
        <v>503</v>
      </c>
      <c r="F132" s="1996" t="str">
        <f t="shared" si="7"/>
        <v>0</v>
      </c>
    </row>
    <row r="133" spans="1:6" x14ac:dyDescent="0.25">
      <c r="A133" s="2000" t="s">
        <v>2129</v>
      </c>
      <c r="B133" s="2030">
        <v>802300300</v>
      </c>
      <c r="C133" s="1998" t="s">
        <v>2148</v>
      </c>
      <c r="D133" s="2029">
        <v>8840.1</v>
      </c>
      <c r="E133" s="1996">
        <f t="shared" si="6"/>
        <v>8840.1</v>
      </c>
      <c r="F133" s="1996" t="str">
        <f t="shared" si="7"/>
        <v>0</v>
      </c>
    </row>
    <row r="134" spans="1:6" x14ac:dyDescent="0.25">
      <c r="A134" s="2000" t="s">
        <v>2129</v>
      </c>
      <c r="B134" s="2030">
        <v>802300300</v>
      </c>
      <c r="C134" s="1998" t="s">
        <v>2147</v>
      </c>
      <c r="D134" s="2029">
        <v>1125</v>
      </c>
      <c r="E134" s="1996">
        <f t="shared" si="6"/>
        <v>1125</v>
      </c>
      <c r="F134" s="1996" t="str">
        <f t="shared" si="7"/>
        <v>0</v>
      </c>
    </row>
    <row r="135" spans="1:6" x14ac:dyDescent="0.25">
      <c r="A135" s="2000" t="s">
        <v>2129</v>
      </c>
      <c r="B135" s="2030">
        <v>802300300</v>
      </c>
      <c r="C135" s="1998" t="s">
        <v>2146</v>
      </c>
      <c r="D135" s="2029">
        <v>890</v>
      </c>
      <c r="E135" s="1996">
        <f t="shared" si="6"/>
        <v>890</v>
      </c>
      <c r="F135" s="1996" t="str">
        <f t="shared" si="7"/>
        <v>0</v>
      </c>
    </row>
    <row r="136" spans="1:6" x14ac:dyDescent="0.25">
      <c r="A136" s="2000" t="s">
        <v>2129</v>
      </c>
      <c r="B136" s="2030">
        <v>802300300</v>
      </c>
      <c r="C136" s="1998" t="s">
        <v>2145</v>
      </c>
      <c r="D136" s="2029">
        <v>2734.41</v>
      </c>
      <c r="E136" s="1996">
        <f t="shared" si="6"/>
        <v>2734.41</v>
      </c>
      <c r="F136" s="1996" t="str">
        <f t="shared" si="7"/>
        <v>0</v>
      </c>
    </row>
    <row r="137" spans="1:6" x14ac:dyDescent="0.25">
      <c r="A137" s="2000" t="s">
        <v>2129</v>
      </c>
      <c r="B137" s="2030">
        <v>802300300</v>
      </c>
      <c r="C137" s="1998" t="s">
        <v>2144</v>
      </c>
      <c r="D137" s="2029">
        <v>4950</v>
      </c>
      <c r="E137" s="1996">
        <f t="shared" si="6"/>
        <v>4950</v>
      </c>
      <c r="F137" s="1996" t="str">
        <f t="shared" si="7"/>
        <v>0</v>
      </c>
    </row>
    <row r="138" spans="1:6" x14ac:dyDescent="0.25">
      <c r="A138" s="2000" t="s">
        <v>2129</v>
      </c>
      <c r="B138" s="2030">
        <v>802300300</v>
      </c>
      <c r="C138" s="1998" t="s">
        <v>2143</v>
      </c>
      <c r="D138" s="2029">
        <v>3819.24</v>
      </c>
      <c r="E138" s="1996">
        <f t="shared" si="6"/>
        <v>3819.24</v>
      </c>
      <c r="F138" s="1996" t="str">
        <f t="shared" si="7"/>
        <v>0</v>
      </c>
    </row>
    <row r="139" spans="1:6" x14ac:dyDescent="0.25">
      <c r="A139" s="2000" t="s">
        <v>2129</v>
      </c>
      <c r="B139" s="2030">
        <v>802300300</v>
      </c>
      <c r="C139" s="1998" t="s">
        <v>2142</v>
      </c>
      <c r="D139" s="2029">
        <v>90</v>
      </c>
      <c r="E139" s="1996">
        <f t="shared" si="6"/>
        <v>90</v>
      </c>
      <c r="F139" s="1996" t="str">
        <f t="shared" si="7"/>
        <v>0</v>
      </c>
    </row>
    <row r="140" spans="1:6" x14ac:dyDescent="0.25">
      <c r="A140" s="2000" t="s">
        <v>2129</v>
      </c>
      <c r="B140" s="2030">
        <v>802300300</v>
      </c>
      <c r="C140" s="1998" t="s">
        <v>2141</v>
      </c>
      <c r="D140" s="2029">
        <v>2322</v>
      </c>
      <c r="E140" s="1996">
        <f t="shared" si="6"/>
        <v>2322</v>
      </c>
      <c r="F140" s="1996" t="str">
        <f t="shared" si="7"/>
        <v>0</v>
      </c>
    </row>
    <row r="141" spans="1:6" x14ac:dyDescent="0.25">
      <c r="A141" s="2000" t="s">
        <v>2129</v>
      </c>
      <c r="B141" s="2030">
        <v>802300300</v>
      </c>
      <c r="C141" s="1998" t="s">
        <v>2140</v>
      </c>
      <c r="D141" s="2029">
        <v>6295</v>
      </c>
      <c r="E141" s="1996">
        <f t="shared" si="6"/>
        <v>6295</v>
      </c>
      <c r="F141" s="1996" t="str">
        <f t="shared" si="7"/>
        <v>0</v>
      </c>
    </row>
    <row r="142" spans="1:6" x14ac:dyDescent="0.25">
      <c r="A142" s="2000" t="s">
        <v>2129</v>
      </c>
      <c r="B142" s="2030">
        <v>802300300</v>
      </c>
      <c r="C142" s="1998" t="s">
        <v>2139</v>
      </c>
      <c r="D142" s="2029">
        <v>3484.11</v>
      </c>
      <c r="E142" s="1996">
        <f t="shared" si="6"/>
        <v>3484.11</v>
      </c>
      <c r="F142" s="1996" t="str">
        <f t="shared" si="7"/>
        <v>0</v>
      </c>
    </row>
    <row r="143" spans="1:6" x14ac:dyDescent="0.25">
      <c r="A143" s="2000" t="s">
        <v>2129</v>
      </c>
      <c r="B143" s="2030">
        <v>802300300</v>
      </c>
      <c r="C143" s="1998" t="s">
        <v>2138</v>
      </c>
      <c r="D143" s="2029">
        <v>69750</v>
      </c>
      <c r="E143" s="1996" t="str">
        <f t="shared" ref="E143:E156" si="8">IF(D143&lt;25000,D143,"25,000")</f>
        <v>25,000</v>
      </c>
      <c r="F143" s="1996">
        <f t="shared" ref="F143:F156" si="9">IF(D143&gt;=25000,(D143-E143),"0")</f>
        <v>44750</v>
      </c>
    </row>
    <row r="144" spans="1:6" x14ac:dyDescent="0.25">
      <c r="A144" s="2000" t="s">
        <v>2129</v>
      </c>
      <c r="B144" s="2030">
        <v>802300300</v>
      </c>
      <c r="C144" s="1998" t="s">
        <v>2137</v>
      </c>
      <c r="D144" s="2029">
        <v>20200</v>
      </c>
      <c r="E144" s="1996">
        <f t="shared" si="8"/>
        <v>20200</v>
      </c>
      <c r="F144" s="1996" t="str">
        <f t="shared" si="9"/>
        <v>0</v>
      </c>
    </row>
    <row r="145" spans="1:6" x14ac:dyDescent="0.25">
      <c r="A145" s="2000" t="s">
        <v>2129</v>
      </c>
      <c r="B145" s="2030">
        <v>802300300</v>
      </c>
      <c r="C145" s="1998" t="s">
        <v>2136</v>
      </c>
      <c r="D145" s="2029">
        <v>2828</v>
      </c>
      <c r="E145" s="1996">
        <f t="shared" si="8"/>
        <v>2828</v>
      </c>
      <c r="F145" s="1996" t="str">
        <f t="shared" si="9"/>
        <v>0</v>
      </c>
    </row>
    <row r="146" spans="1:6" x14ac:dyDescent="0.25">
      <c r="A146" s="2000" t="s">
        <v>2129</v>
      </c>
      <c r="B146" s="2030">
        <v>802300300</v>
      </c>
      <c r="C146" s="1998" t="s">
        <v>2135</v>
      </c>
      <c r="D146" s="2029">
        <v>2750</v>
      </c>
      <c r="E146" s="1996">
        <f t="shared" si="8"/>
        <v>2750</v>
      </c>
      <c r="F146" s="1996" t="str">
        <f t="shared" si="9"/>
        <v>0</v>
      </c>
    </row>
    <row r="147" spans="1:6" x14ac:dyDescent="0.25">
      <c r="A147" s="2000" t="s">
        <v>2129</v>
      </c>
      <c r="B147" s="1999">
        <v>802300300</v>
      </c>
      <c r="C147" s="1998" t="s">
        <v>2134</v>
      </c>
      <c r="D147" s="2029">
        <v>42159.59</v>
      </c>
      <c r="E147" s="1996" t="str">
        <f t="shared" si="8"/>
        <v>25,000</v>
      </c>
      <c r="F147" s="1996">
        <f t="shared" si="9"/>
        <v>17159.589999999997</v>
      </c>
    </row>
    <row r="148" spans="1:6" x14ac:dyDescent="0.25">
      <c r="A148" s="2000" t="s">
        <v>2129</v>
      </c>
      <c r="B148" s="1999">
        <v>802300300</v>
      </c>
      <c r="C148" s="1998" t="s">
        <v>2133</v>
      </c>
      <c r="D148" s="2029">
        <v>34741.61</v>
      </c>
      <c r="E148" s="1996" t="str">
        <f t="shared" si="8"/>
        <v>25,000</v>
      </c>
      <c r="F148" s="1996">
        <f t="shared" si="9"/>
        <v>9741.61</v>
      </c>
    </row>
    <row r="149" spans="1:6" x14ac:dyDescent="0.25">
      <c r="A149" s="2000" t="s">
        <v>2129</v>
      </c>
      <c r="B149" s="1999">
        <v>802300300</v>
      </c>
      <c r="C149" s="1998" t="s">
        <v>2132</v>
      </c>
      <c r="D149" s="2029">
        <v>2379</v>
      </c>
      <c r="E149" s="1996">
        <f t="shared" si="8"/>
        <v>2379</v>
      </c>
      <c r="F149" s="1996" t="str">
        <f t="shared" si="9"/>
        <v>0</v>
      </c>
    </row>
    <row r="150" spans="1:6" x14ac:dyDescent="0.25">
      <c r="A150" s="2000" t="s">
        <v>2129</v>
      </c>
      <c r="B150" s="1999">
        <v>802300300</v>
      </c>
      <c r="C150" s="1998" t="s">
        <v>2131</v>
      </c>
      <c r="D150" s="2029">
        <v>92677.02</v>
      </c>
      <c r="E150" s="1996" t="str">
        <f>+IF(D150&lt;25000,D150,"25,000")</f>
        <v>25,000</v>
      </c>
      <c r="F150" s="1996">
        <f>IF(D150&gt;=25000,(D150-E150),"0")</f>
        <v>67677.02</v>
      </c>
    </row>
    <row r="151" spans="1:6" x14ac:dyDescent="0.25">
      <c r="A151" s="2000" t="s">
        <v>2129</v>
      </c>
      <c r="B151" s="1999">
        <v>802300300</v>
      </c>
      <c r="C151" s="1998" t="s">
        <v>2130</v>
      </c>
      <c r="D151" s="2029">
        <v>5890</v>
      </c>
      <c r="E151" s="1996">
        <f t="shared" si="8"/>
        <v>5890</v>
      </c>
      <c r="F151" s="1996" t="str">
        <f t="shared" si="9"/>
        <v>0</v>
      </c>
    </row>
    <row r="152" spans="1:6" x14ac:dyDescent="0.25">
      <c r="A152" s="2000" t="s">
        <v>2129</v>
      </c>
      <c r="B152" s="1999">
        <v>802300300</v>
      </c>
      <c r="C152" s="1998" t="s">
        <v>2128</v>
      </c>
      <c r="D152" s="2029">
        <v>11980.6</v>
      </c>
      <c r="E152" s="1996">
        <f t="shared" si="8"/>
        <v>11980.6</v>
      </c>
      <c r="F152" s="1996" t="str">
        <f t="shared" si="9"/>
        <v>0</v>
      </c>
    </row>
    <row r="153" spans="1:6" x14ac:dyDescent="0.25">
      <c r="A153" s="2000"/>
      <c r="B153" s="1999"/>
      <c r="C153" s="1998"/>
      <c r="D153" s="1997"/>
      <c r="E153" s="1996">
        <f t="shared" si="8"/>
        <v>0</v>
      </c>
      <c r="F153" s="1996" t="str">
        <f t="shared" si="9"/>
        <v>0</v>
      </c>
    </row>
    <row r="154" spans="1:6" x14ac:dyDescent="0.25">
      <c r="A154" s="2000"/>
      <c r="B154" s="1999"/>
      <c r="C154" s="1998"/>
      <c r="D154" s="1997"/>
      <c r="E154" s="1996">
        <f t="shared" si="8"/>
        <v>0</v>
      </c>
      <c r="F154" s="1996" t="str">
        <f t="shared" si="9"/>
        <v>0</v>
      </c>
    </row>
    <row r="155" spans="1:6" x14ac:dyDescent="0.25">
      <c r="A155" s="2000"/>
      <c r="B155" s="1999"/>
      <c r="C155" s="1998"/>
      <c r="D155" s="1997"/>
      <c r="E155" s="1996">
        <f t="shared" si="8"/>
        <v>0</v>
      </c>
      <c r="F155" s="1996" t="str">
        <f t="shared" si="9"/>
        <v>0</v>
      </c>
    </row>
    <row r="156" spans="1:6" x14ac:dyDescent="0.25">
      <c r="A156" s="2000"/>
      <c r="B156" s="1999"/>
      <c r="C156" s="1998"/>
      <c r="D156" s="1997"/>
      <c r="E156" s="1996">
        <f t="shared" si="8"/>
        <v>0</v>
      </c>
      <c r="F156" s="1996" t="str">
        <f t="shared" si="9"/>
        <v>0</v>
      </c>
    </row>
    <row r="157" spans="1:6" x14ac:dyDescent="0.25">
      <c r="A157" s="1995" t="s">
        <v>155</v>
      </c>
      <c r="B157" s="1994"/>
      <c r="C157" s="1993"/>
      <c r="D157" s="1992">
        <f>SUM(D18:D156)</f>
        <v>2009603.0600000008</v>
      </c>
      <c r="E157" s="1992">
        <f>E18+E19+E20+E21+E22+E23+E24+E25+E26+E27+E28+E29+E30+E31+E32+E33+E34+E35+E36+E37+E38+E39+E40+E41+E42+E43+E44+E45+E46+E47+E48+E49+E50+E51+E52+E53+E54+E55+E56+E57+E59+E58+E60+E61+E62+E63+E64+E65+E66+E67+E68+E69+E70+E71+E72+E73+E74+E75+E76+E77+E78+E79+E80+E81+E82+E83+E84+E85+E86+E87+E88+E89+E90+E91+E92+E93+E94+E95+E96+E97+E98+E99+E100+E102+E101+E103+E104+E105+E106+E107+E108+E109+E110+E111+E112+E113+E114+E115+E116+E117+E118+E119+E120+E121+E122+E123+E124+E125+E126+E128+E127+E129+E130+E131+E132+E133+E134+E135+E136+E137+E138+E139+E140+E141+E142+E143+E144+E145+E146+E147+E148+E149+E150+E151+E152</f>
        <v>962912.93999999983</v>
      </c>
      <c r="F157" s="1991">
        <f>SUM(F18:F156)</f>
        <v>1046690.1199999999</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ignoredErrors>
    <ignoredError sqref="E150" formula="1"/>
  </ignoredErrors>
  <drawing r:id="rId2"/>
  <legacyDrawing r:id="rId3"/>
  <oleObjects>
    <mc:AlternateContent xmlns:mc="http://schemas.openxmlformats.org/markup-compatibility/2006">
      <mc:Choice Requires="x14">
        <oleObject progId="Acrobat Document" dvAspect="DVASPECT_ICON" shapeId="67585" r:id="rId4">
          <objectPr defaultSize="0" autoPict="0" r:id="rId5">
            <anchor moveWithCells="1">
              <from>
                <xdr:col>4</xdr:col>
                <xdr:colOff>1209675</xdr:colOff>
                <xdr:row>6</xdr:row>
                <xdr:rowOff>466725</xdr:rowOff>
              </from>
              <to>
                <xdr:col>5</xdr:col>
                <xdr:colOff>552450</xdr:colOff>
                <xdr:row>9</xdr:row>
                <xdr:rowOff>76200</xdr:rowOff>
              </to>
            </anchor>
          </objectPr>
        </oleObject>
      </mc:Choice>
      <mc:Fallback>
        <oleObject progId="Acrobat Document" dvAspect="DVASPECT_ICON" shapeId="67585" r:id="rId4"/>
      </mc:Fallback>
    </mc:AlternateContent>
    <mc:AlternateContent xmlns:mc="http://schemas.openxmlformats.org/markup-compatibility/2006">
      <mc:Choice Requires="x14">
        <oleObject progId="Acrobat Document" dvAspect="DVASPECT_ICON" shapeId="6758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6758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9" colorId="8" zoomScale="110" zoomScaleNormal="110" workbookViewId="0">
      <selection activeCell="G41" sqref="G4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6" t="s">
        <v>1660</v>
      </c>
      <c r="B5" s="2387"/>
      <c r="C5" s="2387"/>
      <c r="D5" s="2387"/>
      <c r="E5" s="2387"/>
      <c r="F5" s="2387"/>
      <c r="G5" s="238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2"/>
      <c r="C11" s="2392"/>
      <c r="D11" s="2393"/>
      <c r="E11" s="1801">
        <f>' SEFA'!L18+' SEFA'!L19</f>
        <v>66299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9845150</v>
      </c>
      <c r="F19" s="1802"/>
      <c r="G19" s="1804">
        <f>'Expenditures 15-22'!K33-SUM('Expenditures 15-22'!G33,'Expenditures 15-22'!I33)+'Expenditures 15-22'!D229</f>
        <v>9845150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972433</v>
      </c>
      <c r="F21" s="1805"/>
      <c r="G21" s="1808">
        <f>'Expenditures 15-22'!K42-SUM('Expenditures 15-22'!G42,'Expenditures 15-22'!I42)+'Expenditures 15-22'!K120-SUM('Expenditures 15-22'!G120,'Expenditures 15-22'!I120)+'Expenditures 15-22'!K180-SUM('Expenditures 15-22'!G180,'Expenditures 15-22'!I180)+'Expenditures 15-22'!D238</f>
        <v>972433</v>
      </c>
      <c r="H21" s="817"/>
      <c r="I21" s="157"/>
    </row>
    <row r="22" spans="1:9" s="542" customFormat="1" ht="12" customHeight="1" x14ac:dyDescent="0.2">
      <c r="A22" s="824" t="s">
        <v>560</v>
      </c>
      <c r="B22" s="825"/>
      <c r="C22" s="823">
        <v>2200</v>
      </c>
      <c r="D22" s="1805"/>
      <c r="E22" s="1807">
        <f>'Expenditures 15-22'!K47-SUM('Expenditures 15-22'!G47,'Expenditures 15-22'!I47)+'Expenditures 15-22'!D243</f>
        <v>699303</v>
      </c>
      <c r="F22" s="1805"/>
      <c r="G22" s="1808">
        <f>'Expenditures 15-22'!K47-SUM('Expenditures 15-22'!G47,'Expenditures 15-22'!I47)+'Expenditures 15-22'!D243</f>
        <v>699303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1124419</v>
      </c>
      <c r="F23" s="1805"/>
      <c r="G23" s="1807">
        <f>'Expenditures 15-22'!K53-SUM('Expenditures 15-22'!G53,'Expenditures 15-22'!I53)+'Expenditures 15-22'!D257+'Expenditures 15-22'!K330-SUM('Expenditures 15-22'!G330,'Expenditures 15-22'!I330)</f>
        <v>1124419</v>
      </c>
      <c r="H23" s="817"/>
      <c r="I23" s="157"/>
    </row>
    <row r="24" spans="1:9" s="542" customFormat="1" ht="12" customHeight="1" x14ac:dyDescent="0.2">
      <c r="A24" s="824" t="s">
        <v>562</v>
      </c>
      <c r="B24" s="825"/>
      <c r="C24" s="823">
        <v>2400</v>
      </c>
      <c r="D24" s="1805"/>
      <c r="E24" s="1807">
        <f>'Expenditures 15-22'!K57-SUM('Expenditures 15-22'!G57,'Expenditures 15-22'!I57)+'Expenditures 15-22'!D261</f>
        <v>840463</v>
      </c>
      <c r="F24" s="1805"/>
      <c r="G24" s="1808">
        <f>'Expenditures 15-22'!K57-SUM('Expenditures 15-22'!G57,'Expenditures 15-22'!I57)+'Expenditures 15-22'!D261</f>
        <v>840463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156510</v>
      </c>
      <c r="E26" s="1807">
        <f>'Expenditures 15-22'!K122-SUM('Expenditures 15-22'!G122,'Expenditures 15-22'!I122)+E7</f>
        <v>19466</v>
      </c>
      <c r="F26" s="1807">
        <f>'Expenditures 15-22'!K59-SUM('Expenditures 15-22'!G59,'Expenditures 15-22'!I59)+'Expenditures 15-22'!D263-E7</f>
        <v>156510</v>
      </c>
      <c r="G26" s="1808">
        <f>'Expenditures 15-22'!K122-SUM('Expenditures 15-22'!G122,'Expenditures 15-22'!I122)+E7</f>
        <v>19466</v>
      </c>
      <c r="H26" s="817"/>
      <c r="I26" s="157"/>
    </row>
    <row r="27" spans="1:9" s="542" customFormat="1" ht="12" customHeight="1" x14ac:dyDescent="0.2">
      <c r="A27" s="824" t="s">
        <v>460</v>
      </c>
      <c r="B27" s="827"/>
      <c r="C27" s="823">
        <v>2520</v>
      </c>
      <c r="D27" s="1807">
        <f>'Expenditures 15-22'!K60-SUM('Expenditures 15-22'!G60,'Expenditures 15-22'!I60)+'Expenditures 15-22'!D264-E8</f>
        <v>123537</v>
      </c>
      <c r="E27" s="1807">
        <f>E8</f>
        <v>0</v>
      </c>
      <c r="F27" s="1807">
        <f>'Expenditures 15-22'!K60-SUM('Expenditures 15-22'!G60,'Expenditures 15-22'!I60)+'Expenditures 15-22'!D264-E8</f>
        <v>123537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1789208</v>
      </c>
      <c r="F28" s="1809">
        <f>'Expenditures 15-22'!K61-SUM('Expenditures 15-22'!G61,'Expenditures 15-22'!I61)+'Expenditures 15-22'!K124-SUM('Expenditures 15-22'!G124,'Expenditures 15-22'!I124)+'Expenditures 15-22'!D266-E9</f>
        <v>1789208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767349</v>
      </c>
      <c r="F29" s="1805"/>
      <c r="G29" s="1808">
        <f>'Expenditures 15-22'!K62-SUM('Expenditures 15-22'!G62,'Expenditures 15-22'!I62)+'Expenditures 15-22'!K125-SUM('Expenditures 15-22'!G125,'Expenditures 15-22'!I125)+'Expenditures 15-22'!K182-SUM('Expenditures 15-22'!G182,'Expenditures 15-22'!I182)+'Expenditures 15-22'!D267</f>
        <v>767349</v>
      </c>
      <c r="H29" s="815"/>
    </row>
    <row r="30" spans="1:9" ht="12" customHeight="1" x14ac:dyDescent="0.2">
      <c r="A30" s="824" t="s">
        <v>100</v>
      </c>
      <c r="B30" s="827"/>
      <c r="C30" s="823">
        <v>2560</v>
      </c>
      <c r="D30" s="1805"/>
      <c r="E30" s="1807">
        <f>'Expenditures 15-22'!K63-SUM('Expenditures 15-22'!G63,'Expenditures 15-22'!I63)+'Expenditures 15-22'!D268-E10</f>
        <v>698975</v>
      </c>
      <c r="F30" s="1805"/>
      <c r="G30" s="1807">
        <f>'Expenditures 15-22'!K63-SUM('Expenditures 15-22'!G63,'Expenditures 15-22'!I63)+'Expenditures 15-22'!D268-E10</f>
        <v>698975</v>
      </c>
    </row>
    <row r="31" spans="1:9" ht="12" customHeight="1" x14ac:dyDescent="0.2">
      <c r="A31" s="824" t="s">
        <v>101</v>
      </c>
      <c r="B31" s="827"/>
      <c r="C31" s="823">
        <v>2570</v>
      </c>
      <c r="D31" s="1807">
        <f>'Expenditures 15-22'!K64-SUM('Expenditures 15-22'!G64,'Expenditures 15-22'!I64)+'Expenditures 15-22'!D269-E12</f>
        <v>12899</v>
      </c>
      <c r="E31" s="1807">
        <f>E12</f>
        <v>0</v>
      </c>
      <c r="F31" s="1807">
        <f>'Expenditures 15-22'!K64-SUM('Expenditures 15-22'!G64,'Expenditures 15-22'!I64)+'Expenditures 15-22'!D269-E12</f>
        <v>12899</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55305</v>
      </c>
      <c r="E36" s="1807">
        <f>E13</f>
        <v>0</v>
      </c>
      <c r="F36" s="1807">
        <f>'Expenditures 15-22'!K70-SUM('Expenditures 15-22'!G70,'Expenditures 15-22'!I70)+'Expenditures 15-22'!D275-E13</f>
        <v>55305</v>
      </c>
      <c r="G36" s="1807">
        <f>E13</f>
        <v>0</v>
      </c>
    </row>
    <row r="37" spans="1:7" ht="12" customHeight="1" x14ac:dyDescent="0.2">
      <c r="A37" s="824" t="s">
        <v>401</v>
      </c>
      <c r="B37" s="827"/>
      <c r="C37" s="823">
        <v>2660</v>
      </c>
      <c r="D37" s="1807">
        <f>'Expenditures 15-22'!K71-SUM('Expenditures 15-22'!G71,'Expenditures 15-22'!I71)+'Expenditures 15-22'!D276-E14</f>
        <v>129544</v>
      </c>
      <c r="E37" s="1807">
        <f>E14</f>
        <v>0</v>
      </c>
      <c r="F37" s="1807">
        <f>'Expenditures 15-22'!K71-SUM('Expenditures 15-22'!G71,'Expenditures 15-22'!I71)+'Expenditures 15-22'!D276-E14</f>
        <v>129544</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78562</v>
      </c>
      <c r="F39" s="1805"/>
      <c r="G39" s="1807">
        <f>'Expenditures 15-22'!K75-SUM('Expenditures 15-22'!G75,'Expenditures 15-22'!I75)+'Expenditures 15-22'!K130-SUM('Expenditures 15-22'!G130,'Expenditures 15-22'!I130)+'Expenditures 15-22'!K185-SUM('Expenditures 15-22'!G185,'Expenditures 15-22'!I185)+'Expenditures 15-22'!D280</f>
        <v>78562</v>
      </c>
    </row>
    <row r="40" spans="1:7" ht="12" customHeight="1" x14ac:dyDescent="0.2">
      <c r="A40" s="820" t="s">
        <v>1795</v>
      </c>
      <c r="B40" s="821"/>
      <c r="C40" s="823"/>
      <c r="D40" s="1805"/>
      <c r="E40" s="1809">
        <f>-'Contracts Paid in CY 29'!F157</f>
        <v>-1046690.1199999999</v>
      </c>
      <c r="F40" s="1805"/>
      <c r="G40" s="1809">
        <f>-'Contracts Paid in CY 29'!F157</f>
        <v>-1046690.1199999999</v>
      </c>
    </row>
    <row r="41" spans="1:7" ht="12" customHeight="1" x14ac:dyDescent="0.2">
      <c r="A41" s="828" t="s">
        <v>155</v>
      </c>
      <c r="B41" s="829"/>
      <c r="C41" s="830"/>
      <c r="D41" s="1809">
        <f>SUM(D19:D39)</f>
        <v>477795</v>
      </c>
      <c r="E41" s="1809">
        <f>SUM(E19:E40)</f>
        <v>15788637.880000001</v>
      </c>
      <c r="F41" s="1809">
        <f>SUM(F19:F39)</f>
        <v>2267003</v>
      </c>
      <c r="G41" s="1809">
        <f>SUM(G19:G40)</f>
        <v>13999429.880000001</v>
      </c>
    </row>
    <row r="42" spans="1:7" x14ac:dyDescent="0.2">
      <c r="A42" s="817"/>
      <c r="B42" s="157"/>
      <c r="C42" s="831"/>
      <c r="D42" s="2389" t="s">
        <v>519</v>
      </c>
      <c r="E42" s="2390"/>
      <c r="F42" s="832" t="s">
        <v>520</v>
      </c>
      <c r="G42" s="833"/>
    </row>
    <row r="43" spans="1:7" ht="12" customHeight="1" x14ac:dyDescent="0.2">
      <c r="A43" s="817"/>
      <c r="B43" s="157"/>
      <c r="C43" s="831"/>
      <c r="D43" s="1458" t="s">
        <v>470</v>
      </c>
      <c r="E43" s="1810">
        <f>D41</f>
        <v>477795</v>
      </c>
      <c r="F43" s="1458" t="s">
        <v>470</v>
      </c>
      <c r="G43" s="1810">
        <f>F41</f>
        <v>2267003</v>
      </c>
    </row>
    <row r="44" spans="1:7" ht="12" customHeight="1" x14ac:dyDescent="0.2">
      <c r="A44" s="817"/>
      <c r="B44" s="157"/>
      <c r="C44" s="831"/>
      <c r="D44" s="1458" t="s">
        <v>471</v>
      </c>
      <c r="E44" s="1810">
        <f>E41</f>
        <v>15788637.880000001</v>
      </c>
      <c r="F44" s="1458" t="s">
        <v>471</v>
      </c>
      <c r="G44" s="1810">
        <f>G41</f>
        <v>13999429.880000001</v>
      </c>
    </row>
    <row r="45" spans="1:7" ht="12" customHeight="1" x14ac:dyDescent="0.2">
      <c r="A45" s="817"/>
      <c r="B45" s="157"/>
      <c r="C45" s="157"/>
      <c r="D45" s="1459" t="s">
        <v>999</v>
      </c>
      <c r="E45" s="1811">
        <f>(E43/E44)</f>
        <v>3.026195189423142E-2</v>
      </c>
      <c r="F45" s="1459" t="s">
        <v>999</v>
      </c>
      <c r="G45" s="1811">
        <f>(G43/G44)</f>
        <v>0.16193538018563938</v>
      </c>
    </row>
    <row r="46" spans="1:7" x14ac:dyDescent="0.2">
      <c r="A46" s="834"/>
      <c r="B46" s="835"/>
      <c r="C46" s="835"/>
      <c r="D46" s="836"/>
      <c r="E46" s="837"/>
      <c r="F46" s="836"/>
      <c r="G46" s="837"/>
    </row>
  </sheetData>
  <sheetProtection algorithmName="SHA-512" hashValue="nc8BhZCIAPT0Vp9iFxNGf8VJub/j2nBOs4Hrr4ogPCLIBHgCScnIVKg8h5OaJfq4ZRJFjO24bCZ4QMiyW98pvw==" saltValue="XFD7nB50qmykQz4jLbhf8Q=="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A36" sqref="A36:F3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9" t="s">
        <v>1363</v>
      </c>
      <c r="B1" s="2409"/>
      <c r="C1" s="2409"/>
      <c r="D1" s="2409"/>
      <c r="E1" s="2409"/>
      <c r="F1" s="2409"/>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0" t="s">
        <v>1529</v>
      </c>
      <c r="B5" s="2411"/>
      <c r="C5" s="2412"/>
      <c r="D5" s="2412"/>
      <c r="E5" s="2412"/>
      <c r="F5" s="2412"/>
      <c r="G5" s="1507"/>
      <c r="L5" s="1507"/>
      <c r="M5" s="1855"/>
      <c r="N5" s="1855"/>
      <c r="O5" s="1855"/>
    </row>
    <row r="6" spans="1:15" ht="12" customHeight="1" x14ac:dyDescent="0.25">
      <c r="A6" s="1480"/>
      <c r="B6" s="1481"/>
      <c r="C6" s="2413" t="str">
        <f>COVER!A17</f>
        <v xml:space="preserve">   United Twp HSD 30</v>
      </c>
      <c r="D6" s="2413"/>
      <c r="E6" s="2413"/>
      <c r="F6" s="1482"/>
      <c r="G6" s="1507"/>
      <c r="L6" s="1507"/>
      <c r="M6" s="1855"/>
      <c r="N6" s="1855"/>
      <c r="O6" s="1855"/>
    </row>
    <row r="7" spans="1:15" ht="11.25" customHeight="1" thickBot="1" x14ac:dyDescent="0.3">
      <c r="A7" s="1480"/>
      <c r="B7" s="1481"/>
      <c r="C7" s="2414">
        <f>COVER!A13</f>
        <v>49081030017</v>
      </c>
      <c r="D7" s="2414"/>
      <c r="E7" s="2414"/>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2067</v>
      </c>
      <c r="D12" s="1495" t="s">
        <v>2067</v>
      </c>
      <c r="E12" s="1498"/>
      <c r="F12" s="1497" t="s">
        <v>2068</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2067</v>
      </c>
      <c r="D14" s="1495" t="s">
        <v>2067</v>
      </c>
      <c r="E14" s="1498"/>
      <c r="F14" s="1497" t="s">
        <v>2068</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2067</v>
      </c>
      <c r="D16" s="1495" t="s">
        <v>2067</v>
      </c>
      <c r="E16" s="1498"/>
      <c r="F16" s="1497" t="s">
        <v>2069</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2067</v>
      </c>
      <c r="D18" s="1495" t="s">
        <v>2067</v>
      </c>
      <c r="E18" s="1498"/>
      <c r="F18" s="1497" t="s">
        <v>2068</v>
      </c>
      <c r="G18" s="1507"/>
      <c r="H18" s="1507">
        <f t="shared" si="0"/>
        <v>5</v>
      </c>
      <c r="I18" s="1507">
        <f t="shared" si="1"/>
        <v>5</v>
      </c>
      <c r="J18" s="1507">
        <f t="shared" si="2"/>
        <v>0</v>
      </c>
      <c r="L18" s="1507"/>
      <c r="M18" s="1855"/>
      <c r="N18" s="1855"/>
      <c r="O18" s="1855"/>
    </row>
    <row r="19" spans="1:15" ht="12" customHeight="1" x14ac:dyDescent="0.2">
      <c r="A19" s="1493" t="s">
        <v>1510</v>
      </c>
      <c r="B19" s="1494"/>
      <c r="C19" s="1495" t="s">
        <v>2067</v>
      </c>
      <c r="D19" s="1495" t="s">
        <v>2067</v>
      </c>
      <c r="E19" s="1498"/>
      <c r="F19" s="1497" t="s">
        <v>2068</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2067</v>
      </c>
      <c r="D21" s="1495" t="s">
        <v>2067</v>
      </c>
      <c r="E21" s="1498"/>
      <c r="F21" s="1497" t="s">
        <v>2068</v>
      </c>
      <c r="G21" s="1507"/>
      <c r="H21" s="1507">
        <f t="shared" si="0"/>
        <v>5</v>
      </c>
      <c r="I21" s="1507">
        <f t="shared" si="1"/>
        <v>5</v>
      </c>
      <c r="J21" s="1507">
        <f t="shared" si="2"/>
        <v>0</v>
      </c>
      <c r="L21" s="1507"/>
      <c r="M21" s="1855"/>
      <c r="N21" s="1855"/>
      <c r="O21" s="1855"/>
    </row>
    <row r="22" spans="1:15" ht="12" customHeight="1" x14ac:dyDescent="0.2">
      <c r="A22" s="1493" t="s">
        <v>1513</v>
      </c>
      <c r="B22" s="1494"/>
      <c r="C22" s="1495" t="s">
        <v>2067</v>
      </c>
      <c r="D22" s="1495" t="s">
        <v>2067</v>
      </c>
      <c r="E22" s="1498"/>
      <c r="F22" s="1497" t="s">
        <v>2068</v>
      </c>
      <c r="G22" s="1507"/>
      <c r="H22" s="1507">
        <f t="shared" si="0"/>
        <v>5</v>
      </c>
      <c r="I22" s="1507">
        <f t="shared" si="1"/>
        <v>5</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2067</v>
      </c>
      <c r="D24" s="1495" t="s">
        <v>2067</v>
      </c>
      <c r="E24" s="1498"/>
      <c r="F24" s="1497" t="s">
        <v>2068</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2067</v>
      </c>
      <c r="D25" s="1495" t="s">
        <v>2067</v>
      </c>
      <c r="E25" s="1498"/>
      <c r="F25" s="1497" t="s">
        <v>2068</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2067</v>
      </c>
      <c r="D26" s="1495" t="s">
        <v>2067</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2067</v>
      </c>
      <c r="D28" s="1495" t="s">
        <v>2067</v>
      </c>
      <c r="E28" s="1498"/>
      <c r="F28" s="1497" t="s">
        <v>2071</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2067</v>
      </c>
      <c r="D29" s="1495" t="s">
        <v>2067</v>
      </c>
      <c r="E29" s="1498"/>
      <c r="F29" s="1497" t="s">
        <v>2068</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2067</v>
      </c>
      <c r="D30" s="1495" t="s">
        <v>2067</v>
      </c>
      <c r="E30" s="1498"/>
      <c r="F30" s="1497" t="s">
        <v>2072</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2067</v>
      </c>
      <c r="D31" s="1495" t="s">
        <v>2067</v>
      </c>
      <c r="E31" s="1498"/>
      <c r="F31" s="1497" t="s">
        <v>2068</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70</v>
      </c>
      <c r="I34" s="1507">
        <f>SUM(I11:I32)</f>
        <v>70</v>
      </c>
      <c r="J34" s="1507">
        <f>SUM(J11:J32)</f>
        <v>0</v>
      </c>
      <c r="K34" s="1507">
        <f>SUM(H34:J34)</f>
        <v>140</v>
      </c>
      <c r="L34" s="1507"/>
      <c r="M34" s="1855"/>
      <c r="N34" s="1855"/>
      <c r="O34" s="1855"/>
    </row>
    <row r="35" spans="1:15" ht="12" customHeight="1" x14ac:dyDescent="0.2">
      <c r="A35" s="1500" t="s">
        <v>1376</v>
      </c>
      <c r="B35" s="1501"/>
      <c r="C35" s="2415"/>
      <c r="D35" s="2415"/>
      <c r="E35" s="2415"/>
      <c r="F35" s="2416"/>
    </row>
    <row r="36" spans="1:15" ht="12" customHeight="1" x14ac:dyDescent="0.2">
      <c r="A36" s="2408" t="s">
        <v>2073</v>
      </c>
      <c r="B36" s="2398"/>
      <c r="C36" s="2398"/>
      <c r="D36" s="2398"/>
      <c r="E36" s="2398"/>
      <c r="F36" s="2399"/>
    </row>
    <row r="37" spans="1:15" ht="12" customHeight="1" x14ac:dyDescent="0.2">
      <c r="A37" s="2397"/>
      <c r="B37" s="2398"/>
      <c r="C37" s="2398"/>
      <c r="D37" s="2398"/>
      <c r="E37" s="2398"/>
      <c r="F37" s="2399"/>
    </row>
    <row r="38" spans="1:15" ht="12" customHeight="1" x14ac:dyDescent="0.2">
      <c r="A38" s="2400"/>
      <c r="B38" s="2401"/>
      <c r="C38" s="2401"/>
      <c r="D38" s="2401"/>
      <c r="E38" s="2401"/>
      <c r="F38" s="2402"/>
    </row>
    <row r="39" spans="1:15" ht="4.5" hidden="1" customHeight="1" x14ac:dyDescent="0.2">
      <c r="A39" s="1502"/>
      <c r="B39" s="1502"/>
      <c r="C39" s="1502"/>
      <c r="D39" s="1502"/>
      <c r="E39" s="1502"/>
      <c r="F39" s="1502"/>
    </row>
    <row r="40" spans="1:15" s="1499" customFormat="1" ht="12" customHeight="1" x14ac:dyDescent="0.25">
      <c r="A40" s="1503" t="s">
        <v>1375</v>
      </c>
      <c r="B40" s="1504"/>
      <c r="C40" s="2403"/>
      <c r="D40" s="2403"/>
      <c r="E40" s="2403"/>
      <c r="F40" s="2404"/>
      <c r="H40" s="1508"/>
      <c r="I40" s="1508"/>
      <c r="J40" s="1508"/>
      <c r="K40" s="1508"/>
    </row>
    <row r="41" spans="1:15" s="1499" customFormat="1" ht="12" customHeight="1" x14ac:dyDescent="0.25">
      <c r="A41" s="2405"/>
      <c r="B41" s="2406"/>
      <c r="C41" s="2406"/>
      <c r="D41" s="2406"/>
      <c r="E41" s="2406"/>
      <c r="F41" s="2407"/>
      <c r="H41" s="1508"/>
      <c r="I41" s="1508"/>
      <c r="J41" s="1508"/>
      <c r="K41" s="1508"/>
    </row>
    <row r="42" spans="1:15" s="1499" customFormat="1" ht="12" customHeight="1" x14ac:dyDescent="0.25">
      <c r="A42" s="2405"/>
      <c r="B42" s="2406"/>
      <c r="C42" s="2406"/>
      <c r="D42" s="2406"/>
      <c r="E42" s="2406"/>
      <c r="F42" s="2407"/>
      <c r="H42" s="1508"/>
      <c r="I42" s="1508"/>
      <c r="J42" s="1508"/>
      <c r="K42" s="1508"/>
    </row>
    <row r="43" spans="1:15" s="1499" customFormat="1" ht="15" x14ac:dyDescent="0.25">
      <c r="A43" s="2394"/>
      <c r="B43" s="2395"/>
      <c r="C43" s="2395"/>
      <c r="D43" s="2395"/>
      <c r="E43" s="2395"/>
      <c r="F43" s="2396"/>
      <c r="H43" s="1508"/>
      <c r="I43" s="1508"/>
      <c r="J43" s="1508"/>
      <c r="K43" s="1508"/>
    </row>
    <row r="44" spans="1:15" s="1499" customFormat="1" ht="12" hidden="1" customHeight="1" x14ac:dyDescent="0.25">
      <c r="A44" s="2394"/>
      <c r="B44" s="2395"/>
      <c r="C44" s="2395"/>
      <c r="D44" s="2395"/>
      <c r="E44" s="2395"/>
      <c r="F44" s="239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 zoomScaleNormal="100" workbookViewId="0">
      <selection activeCell="N12" sqref="N12"/>
    </sheetView>
  </sheetViews>
  <sheetFormatPr defaultColWidth="9.140625" defaultRowHeight="12.75" x14ac:dyDescent="0.2"/>
  <cols>
    <col min="1" max="1" width="2.85546875" style="1872" customWidth="1"/>
    <col min="2" max="2" width="3" style="1872" customWidth="1"/>
    <col min="3" max="3" width="48.5703125" style="1872" customWidth="1"/>
    <col min="4" max="4" width="7.42578125" style="1872" customWidth="1"/>
    <col min="5" max="5" width="11.28515625" style="1872" customWidth="1"/>
    <col min="6" max="6" width="10.85546875" style="1872" customWidth="1"/>
    <col min="7" max="8" width="9.140625" style="1872"/>
    <col min="9" max="9" width="11.140625" style="1872" customWidth="1"/>
    <col min="10" max="10" width="10.85546875" style="1872" customWidth="1"/>
    <col min="11" max="11" width="9.140625" style="1872"/>
    <col min="12" max="12" width="14.140625" style="1872" customWidth="1"/>
    <col min="13" max="13" width="9.140625" style="1872"/>
    <col min="14" max="14" width="18.7109375" style="1872" customWidth="1"/>
    <col min="15" max="16384" width="9.140625" style="1872"/>
  </cols>
  <sheetData>
    <row r="1" spans="1:14" x14ac:dyDescent="0.2">
      <c r="A1" s="1930"/>
      <c r="B1" s="1931"/>
      <c r="C1" s="1931"/>
      <c r="D1" s="1931"/>
      <c r="E1" s="1931"/>
      <c r="F1" s="1931"/>
      <c r="G1" s="1946" t="s">
        <v>402</v>
      </c>
      <c r="H1" s="1947"/>
      <c r="I1" s="1931"/>
      <c r="J1" s="1931"/>
      <c r="K1" s="1931"/>
      <c r="L1" s="1931"/>
      <c r="M1" s="1931"/>
      <c r="N1" s="1932"/>
    </row>
    <row r="2" spans="1:14" x14ac:dyDescent="0.2">
      <c r="A2" s="1948"/>
      <c r="B2" s="838"/>
      <c r="C2" s="838"/>
      <c r="D2" s="838"/>
      <c r="E2" s="838"/>
      <c r="F2" s="838"/>
      <c r="G2" s="1874" t="s">
        <v>1999</v>
      </c>
      <c r="H2" s="1871"/>
      <c r="I2" s="838"/>
      <c r="J2" s="838"/>
      <c r="K2" s="838"/>
      <c r="L2" s="838"/>
      <c r="M2" s="838"/>
      <c r="N2" s="1949"/>
    </row>
    <row r="3" spans="1:14" x14ac:dyDescent="0.2">
      <c r="A3" s="1948"/>
      <c r="B3" s="838"/>
      <c r="C3" s="838"/>
      <c r="D3" s="838"/>
      <c r="E3" s="838"/>
      <c r="F3" s="838"/>
      <c r="G3" s="1874" t="s">
        <v>403</v>
      </c>
      <c r="H3" s="838"/>
      <c r="I3" s="838"/>
      <c r="J3" s="838"/>
      <c r="K3" s="838"/>
      <c r="L3" s="838"/>
      <c r="M3" s="838"/>
      <c r="N3" s="1949"/>
    </row>
    <row r="4" spans="1:14" x14ac:dyDescent="0.2">
      <c r="A4" s="1948"/>
      <c r="B4" s="838"/>
      <c r="C4" s="838"/>
      <c r="D4" s="838"/>
      <c r="E4" s="838"/>
      <c r="F4" s="838"/>
      <c r="G4" s="1874" t="s">
        <v>863</v>
      </c>
      <c r="H4" s="838"/>
      <c r="I4" s="838"/>
      <c r="J4" s="838"/>
      <c r="K4" s="838"/>
      <c r="L4" s="838"/>
      <c r="M4" s="838"/>
      <c r="N4" s="1949"/>
    </row>
    <row r="5" spans="1:14" x14ac:dyDescent="0.2">
      <c r="A5" s="1948"/>
      <c r="B5" s="838"/>
      <c r="C5" s="838"/>
      <c r="D5" s="838"/>
      <c r="E5" s="838"/>
      <c r="F5" s="1874"/>
      <c r="G5" s="1874"/>
      <c r="H5" s="838"/>
      <c r="I5" s="838"/>
      <c r="J5" s="838"/>
      <c r="K5" s="838"/>
      <c r="L5" s="838"/>
      <c r="M5" s="838"/>
      <c r="N5" s="1949"/>
    </row>
    <row r="6" spans="1:14" x14ac:dyDescent="0.2">
      <c r="A6" s="1950" t="s">
        <v>667</v>
      </c>
      <c r="B6" s="1377"/>
      <c r="C6" s="1377"/>
      <c r="D6" s="1377"/>
      <c r="E6" s="1378"/>
      <c r="F6" s="1873"/>
      <c r="G6" s="1874"/>
      <c r="H6" s="838"/>
      <c r="I6" s="1875" t="s">
        <v>1021</v>
      </c>
      <c r="J6" s="2435" t="str">
        <f>COVER!A17</f>
        <v xml:space="preserve">   United Twp HSD 30</v>
      </c>
      <c r="K6" s="2435"/>
      <c r="L6" s="2449"/>
      <c r="M6" s="838"/>
      <c r="N6" s="1949"/>
    </row>
    <row r="7" spans="1:14" x14ac:dyDescent="0.2">
      <c r="A7" s="2450" t="s">
        <v>864</v>
      </c>
      <c r="B7" s="2451"/>
      <c r="C7" s="2451"/>
      <c r="D7" s="2451"/>
      <c r="E7" s="2452"/>
      <c r="F7" s="839"/>
      <c r="G7" s="838"/>
      <c r="H7" s="838"/>
      <c r="I7" s="1875" t="s">
        <v>369</v>
      </c>
      <c r="J7" s="2437">
        <f>COVER!A13</f>
        <v>49081030017</v>
      </c>
      <c r="K7" s="2437"/>
      <c r="L7" s="2437"/>
      <c r="M7" s="838"/>
      <c r="N7" s="1949"/>
    </row>
    <row r="8" spans="1:14" x14ac:dyDescent="0.2">
      <c r="A8" s="1951"/>
      <c r="B8" s="1876"/>
      <c r="C8" s="1876"/>
      <c r="D8" s="1876"/>
      <c r="E8" s="1877"/>
      <c r="F8" s="1878"/>
      <c r="G8" s="1864"/>
      <c r="H8" s="1864"/>
      <c r="I8" s="1864"/>
      <c r="J8" s="1864"/>
      <c r="K8" s="1864"/>
      <c r="L8" s="1864"/>
      <c r="M8" s="838"/>
      <c r="N8" s="1949"/>
    </row>
    <row r="9" spans="1:14" x14ac:dyDescent="0.2">
      <c r="A9" s="1952"/>
      <c r="B9" s="840"/>
      <c r="C9" s="840"/>
      <c r="D9" s="841"/>
      <c r="E9" s="1879" t="s">
        <v>2015</v>
      </c>
      <c r="F9" s="1857"/>
      <c r="G9" s="1857"/>
      <c r="H9" s="1857"/>
      <c r="I9" s="1880" t="s">
        <v>2016</v>
      </c>
      <c r="J9" s="1857"/>
      <c r="K9" s="1857"/>
      <c r="L9" s="1858"/>
      <c r="M9" s="838"/>
      <c r="N9" s="1949"/>
    </row>
    <row r="10" spans="1:14" x14ac:dyDescent="0.2">
      <c r="A10" s="1953"/>
      <c r="B10" s="1881"/>
      <c r="C10" s="1882"/>
      <c r="D10" s="1883"/>
      <c r="E10" s="1884" t="s">
        <v>422</v>
      </c>
      <c r="F10" s="1885" t="s">
        <v>423</v>
      </c>
      <c r="G10" s="1886" t="s">
        <v>429</v>
      </c>
      <c r="H10" s="1887"/>
      <c r="I10" s="1885" t="s">
        <v>422</v>
      </c>
      <c r="J10" s="1885" t="s">
        <v>423</v>
      </c>
      <c r="K10" s="1886" t="s">
        <v>429</v>
      </c>
      <c r="L10" s="1885"/>
      <c r="M10" s="838"/>
      <c r="N10" s="1949"/>
    </row>
    <row r="11" spans="1:14" ht="51" x14ac:dyDescent="0.2">
      <c r="A11" s="2453" t="s">
        <v>478</v>
      </c>
      <c r="B11" s="2454"/>
      <c r="C11" s="2455"/>
      <c r="D11" s="1888" t="s">
        <v>866</v>
      </c>
      <c r="E11" s="1888" t="s">
        <v>64</v>
      </c>
      <c r="F11" s="1888" t="s">
        <v>6</v>
      </c>
      <c r="G11" s="1889" t="s">
        <v>2017</v>
      </c>
      <c r="H11" s="1890" t="s">
        <v>155</v>
      </c>
      <c r="I11" s="1888" t="s">
        <v>64</v>
      </c>
      <c r="J11" s="1888" t="s">
        <v>6</v>
      </c>
      <c r="K11" s="1889" t="s">
        <v>1998</v>
      </c>
      <c r="L11" s="1890" t="s">
        <v>155</v>
      </c>
      <c r="M11" s="838"/>
      <c r="N11" s="1949"/>
    </row>
    <row r="12" spans="1:14" x14ac:dyDescent="0.2">
      <c r="A12" s="1954">
        <v>1</v>
      </c>
      <c r="B12" s="1891" t="s">
        <v>813</v>
      </c>
      <c r="C12" s="842"/>
      <c r="D12" s="1892">
        <v>2320</v>
      </c>
      <c r="E12" s="1895">
        <f>'Expenditures 15-22'!K50</f>
        <v>217389</v>
      </c>
      <c r="F12" s="1893"/>
      <c r="G12" s="1919">
        <f>G68</f>
        <v>43241</v>
      </c>
      <c r="H12" s="1895">
        <f t="shared" ref="H12:H18" si="0">SUM(E12:G12)</f>
        <v>260630</v>
      </c>
      <c r="I12" s="1894">
        <v>223055</v>
      </c>
      <c r="J12" s="1893"/>
      <c r="K12" s="1894">
        <v>44160</v>
      </c>
      <c r="L12" s="1895">
        <f t="shared" ref="L12:L18" si="1">SUM(I12:K12)</f>
        <v>267215</v>
      </c>
      <c r="M12" s="838"/>
      <c r="N12" s="1949"/>
    </row>
    <row r="13" spans="1:14" x14ac:dyDescent="0.2">
      <c r="A13" s="1954">
        <v>2</v>
      </c>
      <c r="B13" s="1891" t="s">
        <v>42</v>
      </c>
      <c r="C13" s="842"/>
      <c r="D13" s="1892">
        <v>2330</v>
      </c>
      <c r="E13" s="1895">
        <f>'Expenditures 15-22'!K51</f>
        <v>0</v>
      </c>
      <c r="F13" s="1893"/>
      <c r="G13" s="1919">
        <f>H68</f>
        <v>14662</v>
      </c>
      <c r="H13" s="1895">
        <f t="shared" si="0"/>
        <v>14662</v>
      </c>
      <c r="I13" s="1894">
        <v>0</v>
      </c>
      <c r="J13" s="1893"/>
      <c r="K13" s="1894">
        <v>14974</v>
      </c>
      <c r="L13" s="1895">
        <f t="shared" si="1"/>
        <v>14974</v>
      </c>
      <c r="M13" s="838"/>
      <c r="N13" s="1949"/>
    </row>
    <row r="14" spans="1:14" x14ac:dyDescent="0.2">
      <c r="A14" s="1954">
        <v>3</v>
      </c>
      <c r="B14" s="1891" t="s">
        <v>43</v>
      </c>
      <c r="C14" s="842"/>
      <c r="D14" s="1896">
        <v>2490</v>
      </c>
      <c r="E14" s="1895">
        <f>'Expenditures 15-22'!K56</f>
        <v>0</v>
      </c>
      <c r="F14" s="1893"/>
      <c r="G14" s="1919">
        <f>I68</f>
        <v>0</v>
      </c>
      <c r="H14" s="1895">
        <f t="shared" si="0"/>
        <v>0</v>
      </c>
      <c r="I14" s="1894">
        <v>0</v>
      </c>
      <c r="J14" s="1893"/>
      <c r="K14" s="1894">
        <v>0</v>
      </c>
      <c r="L14" s="1895">
        <f t="shared" si="1"/>
        <v>0</v>
      </c>
      <c r="M14" s="838"/>
      <c r="N14" s="1949"/>
    </row>
    <row r="15" spans="1:14" x14ac:dyDescent="0.2">
      <c r="A15" s="1954">
        <v>4</v>
      </c>
      <c r="B15" s="1891" t="s">
        <v>1059</v>
      </c>
      <c r="C15" s="842"/>
      <c r="D15" s="1892">
        <v>2510</v>
      </c>
      <c r="E15" s="1895">
        <f>'Expenditures 15-22'!K59</f>
        <v>133334</v>
      </c>
      <c r="F15" s="1895">
        <f>'Expenditures 15-22'!K122</f>
        <v>19466</v>
      </c>
      <c r="G15" s="1919">
        <f>J68</f>
        <v>19466</v>
      </c>
      <c r="H15" s="1895">
        <f t="shared" si="0"/>
        <v>172266</v>
      </c>
      <c r="I15" s="1894">
        <v>138682</v>
      </c>
      <c r="J15" s="1894">
        <f>'Expenditures 15-22'!L122</f>
        <v>19502</v>
      </c>
      <c r="K15" s="1894">
        <v>19760</v>
      </c>
      <c r="L15" s="1895">
        <f t="shared" si="1"/>
        <v>177944</v>
      </c>
      <c r="M15" s="838"/>
      <c r="N15" s="1949"/>
    </row>
    <row r="16" spans="1:14" x14ac:dyDescent="0.2">
      <c r="A16" s="1954">
        <v>5</v>
      </c>
      <c r="B16" s="1891" t="s">
        <v>101</v>
      </c>
      <c r="C16" s="842"/>
      <c r="D16" s="1892">
        <v>2570</v>
      </c>
      <c r="E16" s="1895">
        <f>'Expenditures 15-22'!K64</f>
        <v>12899</v>
      </c>
      <c r="F16" s="1893"/>
      <c r="G16" s="1919">
        <f>K68</f>
        <v>0</v>
      </c>
      <c r="H16" s="1895">
        <f t="shared" si="0"/>
        <v>12899</v>
      </c>
      <c r="I16" s="1894">
        <v>6700</v>
      </c>
      <c r="J16" s="1893"/>
      <c r="K16" s="1894">
        <v>0</v>
      </c>
      <c r="L16" s="1895">
        <f t="shared" si="1"/>
        <v>6700</v>
      </c>
      <c r="M16" s="838"/>
      <c r="N16" s="1949"/>
    </row>
    <row r="17" spans="1:14" x14ac:dyDescent="0.2">
      <c r="A17" s="1954">
        <v>6</v>
      </c>
      <c r="B17" s="1891" t="s">
        <v>1051</v>
      </c>
      <c r="C17" s="842"/>
      <c r="D17" s="1892">
        <v>2610</v>
      </c>
      <c r="E17" s="1895">
        <f>'Expenditures 15-22'!K67</f>
        <v>0</v>
      </c>
      <c r="F17" s="1893"/>
      <c r="G17" s="1919">
        <f>L68</f>
        <v>0</v>
      </c>
      <c r="H17" s="1895">
        <f t="shared" si="0"/>
        <v>0</v>
      </c>
      <c r="I17" s="1894">
        <v>0</v>
      </c>
      <c r="J17" s="1893"/>
      <c r="K17" s="1894">
        <v>0</v>
      </c>
      <c r="L17" s="1895">
        <f t="shared" si="1"/>
        <v>0</v>
      </c>
      <c r="M17" s="838"/>
      <c r="N17" s="1949"/>
    </row>
    <row r="18" spans="1:14" ht="26.25" customHeight="1" x14ac:dyDescent="0.2">
      <c r="A18" s="1955">
        <v>7</v>
      </c>
      <c r="B18" s="2456" t="s">
        <v>7</v>
      </c>
      <c r="C18" s="2457"/>
      <c r="D18" s="2458"/>
      <c r="E18" s="1897"/>
      <c r="F18" s="1897"/>
      <c r="G18" s="1894"/>
      <c r="H18" s="1898">
        <f t="shared" si="0"/>
        <v>0</v>
      </c>
      <c r="I18" s="1894">
        <v>0</v>
      </c>
      <c r="J18" s="1894">
        <v>0</v>
      </c>
      <c r="K18" s="1894">
        <v>0</v>
      </c>
      <c r="L18" s="1895">
        <f t="shared" si="1"/>
        <v>0</v>
      </c>
      <c r="M18" s="838"/>
      <c r="N18" s="1949"/>
    </row>
    <row r="19" spans="1:14" ht="13.5" thickBot="1" x14ac:dyDescent="0.25">
      <c r="A19" s="1954">
        <v>8</v>
      </c>
      <c r="B19" s="1899" t="s">
        <v>1151</v>
      </c>
      <c r="C19" s="838"/>
      <c r="D19" s="1900"/>
      <c r="E19" s="1901">
        <f t="shared" ref="E19:L19" si="2">SUM(E12:E17)-E18</f>
        <v>363622</v>
      </c>
      <c r="F19" s="1901">
        <f t="shared" si="2"/>
        <v>19466</v>
      </c>
      <c r="G19" s="1901">
        <f t="shared" ref="G19" si="3">SUM(G12:G17)-G18</f>
        <v>77369</v>
      </c>
      <c r="H19" s="1901">
        <f t="shared" si="2"/>
        <v>460457</v>
      </c>
      <c r="I19" s="1901">
        <f t="shared" si="2"/>
        <v>368437</v>
      </c>
      <c r="J19" s="1901">
        <f t="shared" si="2"/>
        <v>19502</v>
      </c>
      <c r="K19" s="1901">
        <f t="shared" si="2"/>
        <v>78894</v>
      </c>
      <c r="L19" s="1901">
        <f t="shared" si="2"/>
        <v>466833</v>
      </c>
      <c r="M19" s="838"/>
      <c r="N19" s="1949"/>
    </row>
    <row r="20" spans="1:14" ht="13.5" thickTop="1" x14ac:dyDescent="0.2">
      <c r="A20" s="1954">
        <v>9</v>
      </c>
      <c r="B20" s="2459" t="s">
        <v>2018</v>
      </c>
      <c r="C20" s="2459"/>
      <c r="D20" s="2460"/>
      <c r="E20" s="1902"/>
      <c r="F20" s="1902"/>
      <c r="G20" s="1902"/>
      <c r="H20" s="1902"/>
      <c r="I20" s="1902"/>
      <c r="J20" s="1902"/>
      <c r="K20" s="1902"/>
      <c r="L20" s="1903">
        <f>IF(AND(H19&gt;0,L19&gt;0),(((L19-H19)/H19)),"Enter Budget Data")</f>
        <v>1.3847112759714805E-2</v>
      </c>
      <c r="M20" s="838"/>
      <c r="N20" s="1949"/>
    </row>
    <row r="21" spans="1:14" x14ac:dyDescent="0.2">
      <c r="A21" s="1956" t="s">
        <v>194</v>
      </c>
      <c r="B21" s="1957" t="s">
        <v>2043</v>
      </c>
      <c r="C21" s="838"/>
      <c r="D21" s="1904"/>
      <c r="E21" s="1905"/>
      <c r="F21" s="1906"/>
      <c r="G21" s="1906"/>
      <c r="H21" s="1906"/>
      <c r="I21" s="1906"/>
      <c r="J21" s="1906"/>
      <c r="K21" s="1906"/>
      <c r="L21" s="1907"/>
      <c r="M21" s="838"/>
      <c r="N21" s="1949"/>
    </row>
    <row r="22" spans="1:14" x14ac:dyDescent="0.2">
      <c r="A22" s="1948"/>
      <c r="B22" s="1958"/>
      <c r="C22" s="838"/>
      <c r="D22" s="838"/>
      <c r="E22" s="838"/>
      <c r="F22" s="838"/>
      <c r="G22" s="838"/>
      <c r="H22" s="838"/>
      <c r="I22" s="838"/>
      <c r="J22" s="838"/>
      <c r="K22" s="838"/>
      <c r="L22" s="838"/>
      <c r="M22" s="838"/>
      <c r="N22" s="1949"/>
    </row>
    <row r="23" spans="1:14" x14ac:dyDescent="0.2">
      <c r="A23" s="1959" t="s">
        <v>132</v>
      </c>
      <c r="B23" s="1958"/>
      <c r="C23" s="838"/>
      <c r="D23" s="838"/>
      <c r="E23" s="838"/>
      <c r="F23" s="838"/>
      <c r="G23" s="838"/>
      <c r="H23" s="838"/>
      <c r="I23" s="838"/>
      <c r="J23" s="838"/>
      <c r="K23" s="838"/>
      <c r="L23" s="838"/>
      <c r="M23" s="838"/>
      <c r="N23" s="1949"/>
    </row>
    <row r="24" spans="1:14" x14ac:dyDescent="0.2">
      <c r="A24" s="1960" t="s">
        <v>2019</v>
      </c>
      <c r="B24" s="1961"/>
      <c r="C24" s="1962"/>
      <c r="D24" s="1962"/>
      <c r="E24" s="1962"/>
      <c r="F24" s="1962"/>
      <c r="G24" s="1962"/>
      <c r="H24" s="1962"/>
      <c r="I24" s="1962"/>
      <c r="J24" s="1962"/>
      <c r="K24" s="1962"/>
      <c r="L24" s="838"/>
      <c r="M24" s="838"/>
      <c r="N24" s="1949"/>
    </row>
    <row r="25" spans="1:14" x14ac:dyDescent="0.2">
      <c r="A25" s="1960" t="s">
        <v>2020</v>
      </c>
      <c r="B25" s="1961"/>
      <c r="C25" s="1962"/>
      <c r="D25" s="1962"/>
      <c r="E25" s="1962"/>
      <c r="F25" s="1962"/>
      <c r="G25" s="1962"/>
      <c r="H25" s="1962"/>
      <c r="I25" s="1962"/>
      <c r="J25" s="1962"/>
      <c r="K25" s="1962"/>
      <c r="L25" s="838"/>
      <c r="M25" s="838"/>
      <c r="N25" s="1949"/>
    </row>
    <row r="26" spans="1:14" x14ac:dyDescent="0.2">
      <c r="A26" s="1963"/>
      <c r="B26" s="1958"/>
      <c r="C26" s="838"/>
      <c r="D26" s="838"/>
      <c r="E26" s="838"/>
      <c r="F26" s="838"/>
      <c r="G26" s="838"/>
      <c r="H26" s="838"/>
      <c r="I26" s="838"/>
      <c r="J26" s="838"/>
      <c r="K26" s="838"/>
      <c r="L26" s="838"/>
      <c r="M26" s="838"/>
      <c r="N26" s="1949"/>
    </row>
    <row r="27" spans="1:14" x14ac:dyDescent="0.2">
      <c r="A27" s="1948"/>
      <c r="B27" s="1958"/>
      <c r="C27" s="2461"/>
      <c r="D27" s="2461"/>
      <c r="E27" s="843"/>
      <c r="F27" s="2462"/>
      <c r="G27" s="2462"/>
      <c r="H27" s="2462"/>
      <c r="I27" s="838"/>
      <c r="J27" s="838"/>
      <c r="K27" s="838"/>
      <c r="L27" s="838"/>
      <c r="M27" s="838"/>
      <c r="N27" s="1949"/>
    </row>
    <row r="28" spans="1:14" x14ac:dyDescent="0.2">
      <c r="A28" s="1948"/>
      <c r="B28" s="1958"/>
      <c r="C28" s="1908" t="s">
        <v>1026</v>
      </c>
      <c r="D28" s="844"/>
      <c r="E28" s="1909"/>
      <c r="F28" s="2463" t="s">
        <v>1492</v>
      </c>
      <c r="G28" s="2463"/>
      <c r="H28" s="2463"/>
      <c r="I28" s="838"/>
      <c r="J28" s="838"/>
      <c r="K28" s="838"/>
      <c r="L28" s="838"/>
      <c r="M28" s="838"/>
      <c r="N28" s="1949"/>
    </row>
    <row r="29" spans="1:14" x14ac:dyDescent="0.2">
      <c r="A29" s="1948"/>
      <c r="B29" s="1958"/>
      <c r="C29" s="2464" t="s">
        <v>2053</v>
      </c>
      <c r="D29" s="2464"/>
      <c r="E29" s="845"/>
      <c r="F29" s="2464" t="s">
        <v>2054</v>
      </c>
      <c r="G29" s="2464"/>
      <c r="H29" s="2464"/>
      <c r="I29" s="838"/>
      <c r="J29" s="838"/>
      <c r="K29" s="838"/>
      <c r="L29" s="838"/>
      <c r="M29" s="838"/>
      <c r="N29" s="1949"/>
    </row>
    <row r="30" spans="1:14" x14ac:dyDescent="0.2">
      <c r="A30" s="1948"/>
      <c r="B30" s="1958"/>
      <c r="C30" s="1911" t="s">
        <v>1544</v>
      </c>
      <c r="D30" s="838"/>
      <c r="E30" s="1910"/>
      <c r="F30" s="2448" t="s">
        <v>1493</v>
      </c>
      <c r="G30" s="2448"/>
      <c r="H30" s="2448"/>
      <c r="I30" s="838"/>
      <c r="J30" s="838"/>
      <c r="K30" s="838"/>
      <c r="L30" s="838"/>
      <c r="M30" s="838"/>
      <c r="N30" s="1949"/>
    </row>
    <row r="31" spans="1:14" x14ac:dyDescent="0.2">
      <c r="A31" s="1948"/>
      <c r="B31" s="1958"/>
      <c r="C31" s="1964"/>
      <c r="D31" s="838"/>
      <c r="E31" s="1904"/>
      <c r="F31" s="1905"/>
      <c r="G31" s="1905"/>
      <c r="H31" s="1905"/>
      <c r="I31" s="838"/>
      <c r="J31" s="838"/>
      <c r="K31" s="838"/>
      <c r="L31" s="838"/>
      <c r="M31" s="838"/>
      <c r="N31" s="1949"/>
    </row>
    <row r="32" spans="1:14" x14ac:dyDescent="0.2">
      <c r="A32" s="1948"/>
      <c r="B32" s="1965" t="s">
        <v>1027</v>
      </c>
      <c r="C32" s="838"/>
      <c r="D32" s="838"/>
      <c r="E32" s="838"/>
      <c r="F32" s="838"/>
      <c r="G32" s="838"/>
      <c r="H32" s="838"/>
      <c r="I32" s="838"/>
      <c r="J32" s="838"/>
      <c r="K32" s="838"/>
      <c r="L32" s="838"/>
      <c r="M32" s="838"/>
      <c r="N32" s="1949"/>
    </row>
    <row r="33" spans="1:14" x14ac:dyDescent="0.2">
      <c r="A33" s="1948"/>
      <c r="B33" s="1966"/>
      <c r="C33" s="838"/>
      <c r="D33" s="838"/>
      <c r="E33" s="838"/>
      <c r="F33" s="838"/>
      <c r="G33" s="838"/>
      <c r="H33" s="838"/>
      <c r="I33" s="838"/>
      <c r="J33" s="838"/>
      <c r="K33" s="838"/>
      <c r="L33" s="838"/>
      <c r="M33" s="838"/>
      <c r="N33" s="1949"/>
    </row>
    <row r="34" spans="1:14" x14ac:dyDescent="0.2">
      <c r="A34" s="1948"/>
      <c r="B34" s="846"/>
      <c r="C34" s="2425" t="s">
        <v>2021</v>
      </c>
      <c r="D34" s="2426"/>
      <c r="E34" s="2426"/>
      <c r="F34" s="2426"/>
      <c r="G34" s="2426"/>
      <c r="H34" s="2426"/>
      <c r="I34" s="2426"/>
      <c r="J34" s="2426"/>
      <c r="K34" s="1967"/>
      <c r="L34" s="838"/>
      <c r="M34" s="838"/>
      <c r="N34" s="1949"/>
    </row>
    <row r="35" spans="1:14" x14ac:dyDescent="0.2">
      <c r="A35" s="1948"/>
      <c r="B35" s="838"/>
      <c r="C35" s="2426"/>
      <c r="D35" s="2426"/>
      <c r="E35" s="2426"/>
      <c r="F35" s="2426"/>
      <c r="G35" s="2426"/>
      <c r="H35" s="2426"/>
      <c r="I35" s="2426"/>
      <c r="J35" s="2426"/>
      <c r="K35" s="1967"/>
      <c r="L35" s="838"/>
      <c r="M35" s="838"/>
      <c r="N35" s="1949"/>
    </row>
    <row r="36" spans="1:14" x14ac:dyDescent="0.2">
      <c r="A36" s="1948"/>
      <c r="B36" s="838"/>
      <c r="C36" s="1968"/>
      <c r="D36" s="838"/>
      <c r="E36" s="838"/>
      <c r="F36" s="838"/>
      <c r="G36" s="838"/>
      <c r="H36" s="838"/>
      <c r="I36" s="838"/>
      <c r="J36" s="838"/>
      <c r="K36" s="838"/>
      <c r="L36" s="838"/>
      <c r="M36" s="838"/>
      <c r="N36" s="1949"/>
    </row>
    <row r="37" spans="1:14" x14ac:dyDescent="0.2">
      <c r="A37" s="1948"/>
      <c r="B37" s="846"/>
      <c r="C37" s="2425" t="s">
        <v>2022</v>
      </c>
      <c r="D37" s="2426"/>
      <c r="E37" s="2426"/>
      <c r="F37" s="2426"/>
      <c r="G37" s="2426"/>
      <c r="H37" s="2426"/>
      <c r="I37" s="2426"/>
      <c r="J37" s="2426"/>
      <c r="K37" s="1967"/>
      <c r="L37" s="1969"/>
      <c r="M37" s="838"/>
      <c r="N37" s="1949"/>
    </row>
    <row r="38" spans="1:14" x14ac:dyDescent="0.2">
      <c r="A38" s="1948"/>
      <c r="B38" s="838"/>
      <c r="C38" s="2426"/>
      <c r="D38" s="2426"/>
      <c r="E38" s="2426"/>
      <c r="F38" s="2426"/>
      <c r="G38" s="2426"/>
      <c r="H38" s="2426"/>
      <c r="I38" s="2426"/>
      <c r="J38" s="2426"/>
      <c r="K38" s="1967"/>
      <c r="L38" s="1969"/>
      <c r="M38" s="838"/>
      <c r="N38" s="1949"/>
    </row>
    <row r="39" spans="1:14" x14ac:dyDescent="0.2">
      <c r="A39" s="1948"/>
      <c r="B39" s="838"/>
      <c r="C39" s="1968"/>
      <c r="D39" s="838"/>
      <c r="E39" s="1912"/>
      <c r="F39" s="1913"/>
      <c r="G39" s="1913"/>
      <c r="H39" s="1912"/>
      <c r="I39" s="838"/>
      <c r="J39" s="838"/>
      <c r="K39" s="838"/>
      <c r="L39" s="838"/>
      <c r="M39" s="838"/>
      <c r="N39" s="1949"/>
    </row>
    <row r="40" spans="1:14" x14ac:dyDescent="0.2">
      <c r="A40" s="1948"/>
      <c r="B40" s="846"/>
      <c r="C40" s="2427" t="s">
        <v>2023</v>
      </c>
      <c r="D40" s="2428"/>
      <c r="E40" s="2428"/>
      <c r="F40" s="2428"/>
      <c r="G40" s="2428"/>
      <c r="H40" s="2428"/>
      <c r="I40" s="2428"/>
      <c r="J40" s="2428"/>
      <c r="K40" s="1914"/>
      <c r="L40" s="838"/>
      <c r="M40" s="838"/>
      <c r="N40" s="1949"/>
    </row>
    <row r="41" spans="1:14" x14ac:dyDescent="0.2">
      <c r="A41" s="1948"/>
      <c r="B41" s="838"/>
      <c r="C41" s="1970"/>
      <c r="D41" s="1970"/>
      <c r="E41" s="1970"/>
      <c r="F41" s="1970"/>
      <c r="G41" s="1970"/>
      <c r="H41" s="1970"/>
      <c r="I41" s="1970"/>
      <c r="J41" s="1970"/>
      <c r="K41" s="1970"/>
      <c r="L41" s="838"/>
      <c r="M41" s="838"/>
      <c r="N41" s="1949"/>
    </row>
    <row r="42" spans="1:14" ht="13.5" thickBot="1" x14ac:dyDescent="0.25">
      <c r="A42" s="1971"/>
      <c r="B42" s="1972"/>
      <c r="C42" s="1972"/>
      <c r="D42" s="1972"/>
      <c r="E42" s="1972"/>
      <c r="F42" s="1972"/>
      <c r="G42" s="1972"/>
      <c r="H42" s="1972"/>
      <c r="I42" s="1972"/>
      <c r="J42" s="1972"/>
      <c r="K42" s="1972"/>
      <c r="L42" s="1972"/>
      <c r="M42" s="1972"/>
      <c r="N42" s="1973"/>
    </row>
    <row r="43" spans="1:14" ht="27" thickBot="1" x14ac:dyDescent="0.45">
      <c r="A43" s="2429" t="s">
        <v>2024</v>
      </c>
      <c r="B43" s="2430"/>
      <c r="C43" s="2430"/>
      <c r="D43" s="2430"/>
      <c r="E43" s="2430"/>
      <c r="F43" s="2430"/>
      <c r="G43" s="2430"/>
      <c r="H43" s="2430"/>
      <c r="I43" s="2430"/>
      <c r="J43" s="2430"/>
      <c r="K43" s="2430"/>
      <c r="L43" s="2430"/>
      <c r="M43" s="2430"/>
      <c r="N43" s="2431"/>
    </row>
    <row r="44" spans="1:14" x14ac:dyDescent="0.2">
      <c r="A44" s="1933"/>
      <c r="B44" s="1934"/>
      <c r="C44" s="1934"/>
      <c r="D44" s="1934"/>
      <c r="E44" s="1934"/>
      <c r="F44" s="1934"/>
      <c r="G44" s="1934"/>
      <c r="H44" s="1934"/>
      <c r="I44" s="1934"/>
      <c r="J44" s="1934"/>
      <c r="K44" s="1934"/>
      <c r="L44" s="1934"/>
      <c r="M44" s="1934"/>
      <c r="N44" s="1935"/>
    </row>
    <row r="45" spans="1:14" x14ac:dyDescent="0.2">
      <c r="A45" s="1933" t="s">
        <v>2025</v>
      </c>
      <c r="B45" s="1934"/>
      <c r="C45" s="1934"/>
      <c r="D45" s="1934"/>
      <c r="E45" s="1934"/>
      <c r="F45" s="1934"/>
      <c r="G45" s="1934"/>
      <c r="H45" s="1934"/>
      <c r="I45" s="1934"/>
      <c r="J45" s="1934"/>
      <c r="K45" s="1934"/>
      <c r="L45" s="1934"/>
      <c r="M45" s="1934"/>
      <c r="N45" s="1935"/>
    </row>
    <row r="46" spans="1:14" x14ac:dyDescent="0.2">
      <c r="A46" s="2432" t="s">
        <v>2026</v>
      </c>
      <c r="B46" s="2433"/>
      <c r="C46" s="2433"/>
      <c r="D46" s="2433"/>
      <c r="E46" s="2433"/>
      <c r="F46" s="2433"/>
      <c r="G46" s="2433"/>
      <c r="H46" s="2433"/>
      <c r="I46" s="2433"/>
      <c r="J46" s="2433"/>
      <c r="K46" s="2433"/>
      <c r="L46" s="2433"/>
      <c r="M46" s="2433"/>
      <c r="N46" s="2434"/>
    </row>
    <row r="47" spans="1:14" x14ac:dyDescent="0.2">
      <c r="A47" s="2432"/>
      <c r="B47" s="2433"/>
      <c r="C47" s="2433"/>
      <c r="D47" s="2433"/>
      <c r="E47" s="2433"/>
      <c r="F47" s="2433"/>
      <c r="G47" s="2433"/>
      <c r="H47" s="2433"/>
      <c r="I47" s="2433"/>
      <c r="J47" s="2433"/>
      <c r="K47" s="2433"/>
      <c r="L47" s="2433"/>
      <c r="M47" s="2433"/>
      <c r="N47" s="2434"/>
    </row>
    <row r="48" spans="1:14" x14ac:dyDescent="0.2">
      <c r="A48" s="1936"/>
      <c r="B48" s="1934"/>
      <c r="C48" s="1934"/>
      <c r="D48" s="1937"/>
      <c r="E48" s="1937"/>
      <c r="F48" s="1937"/>
      <c r="G48" s="1937"/>
      <c r="H48" s="1937"/>
      <c r="I48" s="1937"/>
      <c r="J48" s="1937"/>
      <c r="K48" s="1937"/>
      <c r="L48" s="1937"/>
      <c r="M48" s="1937"/>
      <c r="N48" s="1938"/>
    </row>
    <row r="49" spans="1:14" s="1978" customFormat="1" ht="15.75" x14ac:dyDescent="0.25">
      <c r="A49" s="1979" t="s">
        <v>2042</v>
      </c>
      <c r="B49" s="1975"/>
      <c r="C49" s="1975"/>
      <c r="D49" s="1976"/>
      <c r="E49" s="1976"/>
      <c r="F49" s="1976"/>
      <c r="G49" s="1976"/>
      <c r="H49" s="1976"/>
      <c r="I49" s="1976"/>
      <c r="J49" s="1976"/>
      <c r="K49" s="1976"/>
      <c r="L49" s="1976"/>
      <c r="M49" s="1976"/>
      <c r="N49" s="1977"/>
    </row>
    <row r="50" spans="1:14" ht="15" x14ac:dyDescent="0.25">
      <c r="A50" s="1979" t="s">
        <v>2041</v>
      </c>
      <c r="B50" s="1934"/>
      <c r="C50" s="1934"/>
      <c r="D50" s="1934"/>
      <c r="E50" s="1934"/>
      <c r="F50" s="1934"/>
      <c r="G50" s="1934"/>
      <c r="H50" s="1934"/>
      <c r="I50" s="1934"/>
      <c r="J50" s="1934"/>
      <c r="K50" s="1934"/>
      <c r="L50" s="1934"/>
      <c r="M50" s="1934"/>
      <c r="N50" s="1935"/>
    </row>
    <row r="51" spans="1:14" x14ac:dyDescent="0.2">
      <c r="A51" s="1933"/>
      <c r="B51" s="1934"/>
      <c r="C51" s="1934"/>
      <c r="D51" s="1934"/>
      <c r="E51" s="1934"/>
      <c r="F51" s="1934"/>
      <c r="G51" s="1934"/>
      <c r="H51" s="1934"/>
      <c r="I51" s="1934"/>
      <c r="J51" s="1934"/>
      <c r="K51" s="1934"/>
      <c r="L51" s="1934"/>
      <c r="M51" s="1934"/>
      <c r="N51" s="1935"/>
    </row>
    <row r="52" spans="1:14" x14ac:dyDescent="0.2">
      <c r="A52" s="1933"/>
      <c r="B52" s="1934"/>
      <c r="C52" s="1934"/>
      <c r="D52" s="1934"/>
      <c r="E52" s="1934"/>
      <c r="F52" s="1934"/>
      <c r="G52" s="1934"/>
      <c r="H52" s="1934"/>
      <c r="I52" s="1934"/>
      <c r="J52" s="1934"/>
      <c r="K52" s="1875" t="s">
        <v>1021</v>
      </c>
      <c r="L52" s="2435" t="str">
        <f>J6</f>
        <v xml:space="preserve">   United Twp HSD 30</v>
      </c>
      <c r="M52" s="2435"/>
      <c r="N52" s="2436"/>
    </row>
    <row r="53" spans="1:14" x14ac:dyDescent="0.2">
      <c r="A53" s="1933"/>
      <c r="B53" s="1934"/>
      <c r="C53" s="1934"/>
      <c r="D53" s="1934"/>
      <c r="E53" s="1934"/>
      <c r="F53" s="1934"/>
      <c r="G53" s="1934"/>
      <c r="H53" s="1934"/>
      <c r="I53" s="1934"/>
      <c r="J53" s="1934"/>
      <c r="K53" s="1875" t="s">
        <v>369</v>
      </c>
      <c r="L53" s="2437">
        <f>J7</f>
        <v>49081030017</v>
      </c>
      <c r="M53" s="2437"/>
      <c r="N53" s="2438"/>
    </row>
    <row r="54" spans="1:14" ht="13.5" thickBot="1" x14ac:dyDescent="0.25">
      <c r="A54" s="1933"/>
      <c r="B54" s="1934"/>
      <c r="C54" s="1934"/>
      <c r="D54" s="1934"/>
      <c r="E54" s="1934"/>
      <c r="F54" s="1934"/>
      <c r="G54" s="1934"/>
      <c r="H54" s="1934"/>
      <c r="I54" s="1934"/>
      <c r="J54" s="1934"/>
      <c r="K54" s="1934"/>
      <c r="L54" s="1934"/>
      <c r="M54" s="1934"/>
      <c r="N54" s="1935"/>
    </row>
    <row r="55" spans="1:14" x14ac:dyDescent="0.2">
      <c r="A55" s="2439"/>
      <c r="B55" s="2440"/>
      <c r="C55" s="2440"/>
      <c r="D55" s="1921"/>
      <c r="E55" s="1921"/>
      <c r="F55" s="1921"/>
      <c r="G55" s="2441" t="s">
        <v>2027</v>
      </c>
      <c r="H55" s="2441"/>
      <c r="I55" s="2441"/>
      <c r="J55" s="2441"/>
      <c r="K55" s="2441"/>
      <c r="L55" s="2441"/>
      <c r="M55" s="2441"/>
      <c r="N55" s="2442"/>
    </row>
    <row r="56" spans="1:14" ht="63.75" x14ac:dyDescent="0.2">
      <c r="A56" s="2443" t="s">
        <v>2028</v>
      </c>
      <c r="B56" s="2444"/>
      <c r="C56" s="2445"/>
      <c r="D56" s="1915" t="s">
        <v>2029</v>
      </c>
      <c r="E56" s="1915" t="s">
        <v>2030</v>
      </c>
      <c r="F56" s="1922"/>
      <c r="G56" s="1915" t="s">
        <v>2031</v>
      </c>
      <c r="H56" s="1915" t="s">
        <v>2032</v>
      </c>
      <c r="I56" s="1915" t="s">
        <v>2033</v>
      </c>
      <c r="J56" s="1915" t="s">
        <v>2034</v>
      </c>
      <c r="K56" s="1915" t="s">
        <v>2035</v>
      </c>
      <c r="L56" s="1915" t="s">
        <v>2036</v>
      </c>
      <c r="M56" s="1915" t="s">
        <v>2037</v>
      </c>
      <c r="N56" s="1916" t="s">
        <v>2044</v>
      </c>
    </row>
    <row r="57" spans="1:14" ht="24.75" customHeight="1" x14ac:dyDescent="0.2">
      <c r="A57" s="2446" t="s">
        <v>296</v>
      </c>
      <c r="B57" s="2447"/>
      <c r="C57" s="2447"/>
      <c r="D57" s="1917">
        <v>2361</v>
      </c>
      <c r="E57" s="1927">
        <f>'Expenditures 15-22'!K319</f>
        <v>0</v>
      </c>
      <c r="F57" s="1923"/>
      <c r="G57" s="1980"/>
      <c r="H57" s="1981"/>
      <c r="I57" s="1981"/>
      <c r="J57" s="1981"/>
      <c r="K57" s="1981"/>
      <c r="L57" s="1981"/>
      <c r="M57" s="1981"/>
      <c r="N57" s="1926">
        <f>IF((SUM(G57:M57))=E57,SUM(G57:M57),"Column N does not agree with Column E")</f>
        <v>0</v>
      </c>
    </row>
    <row r="58" spans="1:14" ht="24" customHeight="1" x14ac:dyDescent="0.2">
      <c r="A58" s="2423" t="s">
        <v>2038</v>
      </c>
      <c r="B58" s="2424"/>
      <c r="C58" s="2424"/>
      <c r="D58" s="1918">
        <v>2362</v>
      </c>
      <c r="E58" s="1928">
        <f>'Expenditures 15-22'!K320</f>
        <v>76937</v>
      </c>
      <c r="F58" s="1923"/>
      <c r="G58" s="1982"/>
      <c r="H58" s="1983"/>
      <c r="I58" s="1983"/>
      <c r="J58" s="1983"/>
      <c r="K58" s="1983"/>
      <c r="L58" s="1983"/>
      <c r="M58" s="1983">
        <v>76937</v>
      </c>
      <c r="N58" s="1926">
        <f>IF((SUM(G58:M58))=E58,SUM(G58:M58),"Column N does not agree with Column E")</f>
        <v>76937</v>
      </c>
    </row>
    <row r="59" spans="1:14" ht="24.75" customHeight="1" x14ac:dyDescent="0.2">
      <c r="A59" s="2417" t="s">
        <v>297</v>
      </c>
      <c r="B59" s="2418"/>
      <c r="C59" s="2418"/>
      <c r="D59" s="1918">
        <v>2363</v>
      </c>
      <c r="E59" s="1928">
        <f>'Expenditures 15-22'!K321</f>
        <v>714</v>
      </c>
      <c r="F59" s="1923"/>
      <c r="G59" s="1982"/>
      <c r="H59" s="1983"/>
      <c r="I59" s="1983"/>
      <c r="J59" s="1983"/>
      <c r="K59" s="1983"/>
      <c r="L59" s="1983"/>
      <c r="M59" s="1983">
        <v>714</v>
      </c>
      <c r="N59" s="1926">
        <f>IF((SUM(G59:M59))=E59,SUM(G59:M59),"Column N does not agree with Column E")</f>
        <v>714</v>
      </c>
    </row>
    <row r="60" spans="1:14" ht="24" customHeight="1" x14ac:dyDescent="0.2">
      <c r="A60" s="2417" t="s">
        <v>236</v>
      </c>
      <c r="B60" s="2418"/>
      <c r="C60" s="2418"/>
      <c r="D60" s="1918">
        <v>2364</v>
      </c>
      <c r="E60" s="1928">
        <f>'Expenditures 15-22'!K322</f>
        <v>34254</v>
      </c>
      <c r="F60" s="1923"/>
      <c r="G60" s="1982"/>
      <c r="H60" s="1983"/>
      <c r="I60" s="1983"/>
      <c r="J60" s="1983"/>
      <c r="K60" s="1983"/>
      <c r="L60" s="1983"/>
      <c r="M60" s="1983">
        <v>34254</v>
      </c>
      <c r="N60" s="1926">
        <f t="shared" ref="N60:N67" si="4">IF((SUM(G60:M60))=E60,SUM(G60:M60),"Column N does not agree with Column E")</f>
        <v>34254</v>
      </c>
    </row>
    <row r="61" spans="1:14" ht="24.75" customHeight="1" x14ac:dyDescent="0.2">
      <c r="A61" s="2417" t="s">
        <v>697</v>
      </c>
      <c r="B61" s="2418"/>
      <c r="C61" s="2418"/>
      <c r="D61" s="1918">
        <v>2365</v>
      </c>
      <c r="E61" s="1928">
        <f>'Expenditures 15-22'!K323</f>
        <v>62707</v>
      </c>
      <c r="F61" s="1923"/>
      <c r="G61" s="1982">
        <v>43241</v>
      </c>
      <c r="H61" s="1983"/>
      <c r="I61" s="1983"/>
      <c r="J61" s="1983">
        <v>19466</v>
      </c>
      <c r="K61" s="1983"/>
      <c r="L61" s="1983"/>
      <c r="M61" s="1983">
        <v>0</v>
      </c>
      <c r="N61" s="1926">
        <f t="shared" si="4"/>
        <v>62707</v>
      </c>
    </row>
    <row r="62" spans="1:14" ht="24" customHeight="1" x14ac:dyDescent="0.2">
      <c r="A62" s="2417" t="s">
        <v>237</v>
      </c>
      <c r="B62" s="2418"/>
      <c r="C62" s="2418"/>
      <c r="D62" s="1918">
        <v>2366</v>
      </c>
      <c r="E62" s="1928">
        <f>'Expenditures 15-22'!K324</f>
        <v>0</v>
      </c>
      <c r="F62" s="1923"/>
      <c r="G62" s="1982"/>
      <c r="H62" s="1983"/>
      <c r="I62" s="1983"/>
      <c r="J62" s="1983"/>
      <c r="K62" s="1983"/>
      <c r="L62" s="1983"/>
      <c r="M62" s="1983">
        <v>0</v>
      </c>
      <c r="N62" s="1926">
        <f t="shared" si="4"/>
        <v>0</v>
      </c>
    </row>
    <row r="63" spans="1:14" ht="24" customHeight="1" x14ac:dyDescent="0.2">
      <c r="A63" s="2423" t="s">
        <v>1022</v>
      </c>
      <c r="B63" s="2424"/>
      <c r="C63" s="2424"/>
      <c r="D63" s="1918">
        <v>2367</v>
      </c>
      <c r="E63" s="1928">
        <f>'Expenditures 15-22'!K325</f>
        <v>609658</v>
      </c>
      <c r="F63" s="1923"/>
      <c r="G63" s="1982"/>
      <c r="H63" s="1983">
        <v>14662</v>
      </c>
      <c r="I63" s="1983"/>
      <c r="J63" s="1983"/>
      <c r="K63" s="1983"/>
      <c r="L63" s="1983"/>
      <c r="M63" s="1983">
        <v>594996</v>
      </c>
      <c r="N63" s="1926">
        <f t="shared" si="4"/>
        <v>609658</v>
      </c>
    </row>
    <row r="64" spans="1:14" ht="24" customHeight="1" x14ac:dyDescent="0.2">
      <c r="A64" s="2417" t="s">
        <v>1023</v>
      </c>
      <c r="B64" s="2418"/>
      <c r="C64" s="2418"/>
      <c r="D64" s="1918">
        <v>2368</v>
      </c>
      <c r="E64" s="1928">
        <f>'Expenditures 15-22'!K326</f>
        <v>0</v>
      </c>
      <c r="F64" s="1923"/>
      <c r="G64" s="1982"/>
      <c r="H64" s="1983"/>
      <c r="I64" s="1983"/>
      <c r="J64" s="1983"/>
      <c r="K64" s="1983"/>
      <c r="L64" s="1983"/>
      <c r="M64" s="1983">
        <v>0</v>
      </c>
      <c r="N64" s="1926">
        <f t="shared" si="4"/>
        <v>0</v>
      </c>
    </row>
    <row r="65" spans="1:14" ht="24" customHeight="1" x14ac:dyDescent="0.2">
      <c r="A65" s="2417" t="s">
        <v>965</v>
      </c>
      <c r="B65" s="2418"/>
      <c r="C65" s="2418"/>
      <c r="D65" s="1918">
        <v>2369</v>
      </c>
      <c r="E65" s="1928">
        <f>'Expenditures 15-22'!K327</f>
        <v>11981</v>
      </c>
      <c r="F65" s="1923"/>
      <c r="G65" s="1982"/>
      <c r="H65" s="1983"/>
      <c r="I65" s="1983"/>
      <c r="J65" s="1983"/>
      <c r="K65" s="1983"/>
      <c r="L65" s="1983"/>
      <c r="M65" s="1983">
        <v>11981</v>
      </c>
      <c r="N65" s="1926">
        <f t="shared" si="4"/>
        <v>11981</v>
      </c>
    </row>
    <row r="66" spans="1:14" ht="24" customHeight="1" x14ac:dyDescent="0.2">
      <c r="A66" s="2417" t="s">
        <v>469</v>
      </c>
      <c r="B66" s="2418"/>
      <c r="C66" s="2418"/>
      <c r="D66" s="1918">
        <v>2371</v>
      </c>
      <c r="E66" s="1928">
        <f>'Expenditures 15-22'!K328</f>
        <v>51272</v>
      </c>
      <c r="F66" s="1923"/>
      <c r="G66" s="1982"/>
      <c r="H66" s="1983"/>
      <c r="I66" s="1983"/>
      <c r="J66" s="1983"/>
      <c r="K66" s="1983"/>
      <c r="L66" s="1983"/>
      <c r="M66" s="1983">
        <v>51272</v>
      </c>
      <c r="N66" s="1926">
        <f t="shared" si="4"/>
        <v>51272</v>
      </c>
    </row>
    <row r="67" spans="1:14" ht="24.75" customHeight="1" x14ac:dyDescent="0.2">
      <c r="A67" s="2419" t="s">
        <v>2039</v>
      </c>
      <c r="B67" s="2420"/>
      <c r="C67" s="2420"/>
      <c r="D67" s="1920">
        <v>2372</v>
      </c>
      <c r="E67" s="1929">
        <f>'Expenditures 15-22'!K329</f>
        <v>15420</v>
      </c>
      <c r="F67" s="1923"/>
      <c r="G67" s="1984"/>
      <c r="H67" s="1985"/>
      <c r="I67" s="1985"/>
      <c r="J67" s="1985"/>
      <c r="K67" s="1985"/>
      <c r="L67" s="1985"/>
      <c r="M67" s="1985">
        <v>15420</v>
      </c>
      <c r="N67" s="1926">
        <f t="shared" si="4"/>
        <v>15420</v>
      </c>
    </row>
    <row r="68" spans="1:14" x14ac:dyDescent="0.2">
      <c r="A68" s="2421" t="s">
        <v>1151</v>
      </c>
      <c r="B68" s="2422"/>
      <c r="C68" s="2422"/>
      <c r="D68" s="1921"/>
      <c r="E68" s="1925">
        <f>SUM(E57:E67)</f>
        <v>862943</v>
      </c>
      <c r="F68" s="1924"/>
      <c r="G68" s="1925">
        <f t="shared" ref="G68:N68" si="5">SUM(G57:G67)</f>
        <v>43241</v>
      </c>
      <c r="H68" s="1925">
        <f t="shared" si="5"/>
        <v>14662</v>
      </c>
      <c r="I68" s="1925">
        <f t="shared" si="5"/>
        <v>0</v>
      </c>
      <c r="J68" s="1925">
        <f t="shared" si="5"/>
        <v>19466</v>
      </c>
      <c r="K68" s="1925">
        <f t="shared" si="5"/>
        <v>0</v>
      </c>
      <c r="L68" s="1925">
        <f t="shared" si="5"/>
        <v>0</v>
      </c>
      <c r="M68" s="1925">
        <f t="shared" si="5"/>
        <v>785574</v>
      </c>
      <c r="N68" s="1939">
        <f t="shared" si="5"/>
        <v>862943</v>
      </c>
    </row>
    <row r="69" spans="1:14" x14ac:dyDescent="0.2">
      <c r="A69" s="1940"/>
      <c r="B69" s="1941"/>
      <c r="C69" s="1941"/>
      <c r="D69" s="1941"/>
      <c r="E69" s="1941"/>
      <c r="F69" s="1941"/>
      <c r="G69" s="1941"/>
      <c r="H69" s="1941"/>
      <c r="I69" s="1941"/>
      <c r="J69" s="1941"/>
      <c r="K69" s="1941"/>
      <c r="L69" s="1941"/>
      <c r="M69" s="1941"/>
      <c r="N69" s="1942"/>
    </row>
    <row r="70" spans="1:14" ht="15.75" x14ac:dyDescent="0.25">
      <c r="A70" s="1974" t="s">
        <v>2040</v>
      </c>
      <c r="B70" s="1941"/>
      <c r="C70" s="1941"/>
      <c r="D70" s="1941"/>
      <c r="E70" s="1941"/>
      <c r="F70" s="1941"/>
      <c r="G70" s="1941"/>
      <c r="H70" s="1941"/>
      <c r="I70" s="1941"/>
      <c r="J70" s="1941"/>
      <c r="K70" s="1941"/>
      <c r="L70" s="1941"/>
      <c r="M70" s="1941"/>
      <c r="N70" s="1942"/>
    </row>
    <row r="71" spans="1:14" x14ac:dyDescent="0.2">
      <c r="A71" s="1940"/>
      <c r="B71" s="1941"/>
      <c r="C71" s="1941"/>
      <c r="D71" s="1941"/>
      <c r="E71" s="1941"/>
      <c r="F71" s="1941"/>
      <c r="G71" s="1941"/>
      <c r="H71" s="1941"/>
      <c r="I71" s="1941"/>
      <c r="J71" s="1941"/>
      <c r="K71" s="1941"/>
      <c r="L71" s="1941"/>
      <c r="M71" s="1941"/>
      <c r="N71" s="1942"/>
    </row>
    <row r="72" spans="1:14" x14ac:dyDescent="0.2">
      <c r="A72" s="1940"/>
      <c r="B72" s="1941"/>
      <c r="C72" s="1941"/>
      <c r="D72" s="1941"/>
      <c r="E72" s="1941"/>
      <c r="F72" s="1941"/>
      <c r="G72" s="1941"/>
      <c r="H72" s="1941"/>
      <c r="I72" s="1941"/>
      <c r="J72" s="1941"/>
      <c r="K72" s="1941"/>
      <c r="L72" s="1941"/>
      <c r="M72" s="1941"/>
      <c r="N72" s="1942"/>
    </row>
    <row r="73" spans="1:14" x14ac:dyDescent="0.2">
      <c r="A73" s="1940"/>
      <c r="B73" s="1941"/>
      <c r="C73" s="1941"/>
      <c r="D73" s="1941"/>
      <c r="E73" s="1941"/>
      <c r="F73" s="1941"/>
      <c r="G73" s="1941"/>
      <c r="H73" s="1941"/>
      <c r="I73" s="1941"/>
      <c r="J73" s="1941"/>
      <c r="K73" s="1941"/>
      <c r="L73" s="1941"/>
      <c r="M73" s="1941"/>
      <c r="N73" s="1942"/>
    </row>
    <row r="74" spans="1:14" x14ac:dyDescent="0.2">
      <c r="A74" s="1940"/>
      <c r="B74" s="1941"/>
      <c r="C74" s="1941"/>
      <c r="D74" s="1941"/>
      <c r="E74" s="1941"/>
      <c r="F74" s="1941"/>
      <c r="G74" s="1941"/>
      <c r="H74" s="1941"/>
      <c r="I74" s="1941"/>
      <c r="J74" s="1941"/>
      <c r="K74" s="1941"/>
      <c r="L74" s="1941"/>
      <c r="M74" s="1941"/>
      <c r="N74" s="1942"/>
    </row>
    <row r="75" spans="1:14" x14ac:dyDescent="0.2">
      <c r="A75" s="1940"/>
      <c r="B75" s="1941"/>
      <c r="C75" s="1941"/>
      <c r="D75" s="1941"/>
      <c r="E75" s="1941"/>
      <c r="F75" s="1941"/>
      <c r="G75" s="1941"/>
      <c r="H75" s="1941"/>
      <c r="I75" s="1941"/>
      <c r="J75" s="1941"/>
      <c r="K75" s="1941"/>
      <c r="L75" s="1941"/>
      <c r="M75" s="1941"/>
      <c r="N75" s="1942"/>
    </row>
    <row r="76" spans="1:14" x14ac:dyDescent="0.2">
      <c r="A76" s="1940"/>
      <c r="B76" s="1941"/>
      <c r="C76" s="1941"/>
      <c r="D76" s="1941"/>
      <c r="E76" s="1941"/>
      <c r="F76" s="1941"/>
      <c r="G76" s="1941"/>
      <c r="H76" s="1941"/>
      <c r="I76" s="1941"/>
      <c r="J76" s="1941"/>
      <c r="K76" s="1941"/>
      <c r="L76" s="1941"/>
      <c r="M76" s="1941"/>
      <c r="N76" s="1942"/>
    </row>
    <row r="77" spans="1:14" x14ac:dyDescent="0.2">
      <c r="A77" s="1940"/>
      <c r="B77" s="1941"/>
      <c r="C77" s="1941"/>
      <c r="D77" s="1941"/>
      <c r="E77" s="1941"/>
      <c r="F77" s="1941"/>
      <c r="G77" s="1941"/>
      <c r="H77" s="1941"/>
      <c r="I77" s="1941"/>
      <c r="J77" s="1941"/>
      <c r="K77" s="1941"/>
      <c r="L77" s="1941"/>
      <c r="M77" s="1941"/>
      <c r="N77" s="1942"/>
    </row>
    <row r="78" spans="1:14" x14ac:dyDescent="0.2">
      <c r="A78" s="1940"/>
      <c r="B78" s="1941"/>
      <c r="C78" s="1941"/>
      <c r="D78" s="1941"/>
      <c r="E78" s="1941"/>
      <c r="F78" s="1941"/>
      <c r="G78" s="1941"/>
      <c r="H78" s="1941"/>
      <c r="I78" s="1941"/>
      <c r="J78" s="1941"/>
      <c r="K78" s="1941"/>
      <c r="L78" s="1941"/>
      <c r="M78" s="1941"/>
      <c r="N78" s="1942"/>
    </row>
    <row r="79" spans="1:14" x14ac:dyDescent="0.2">
      <c r="A79" s="1940"/>
      <c r="B79" s="1941"/>
      <c r="C79" s="1941"/>
      <c r="D79" s="1941"/>
      <c r="E79" s="1941"/>
      <c r="F79" s="1941"/>
      <c r="G79" s="1941"/>
      <c r="H79" s="1941"/>
      <c r="I79" s="1941"/>
      <c r="J79" s="1941"/>
      <c r="K79" s="1941"/>
      <c r="L79" s="1941"/>
      <c r="M79" s="1941"/>
      <c r="N79" s="1942"/>
    </row>
    <row r="80" spans="1:14" x14ac:dyDescent="0.2">
      <c r="A80" s="1940"/>
      <c r="B80" s="1941"/>
      <c r="C80" s="1941"/>
      <c r="D80" s="1941"/>
      <c r="E80" s="1941"/>
      <c r="F80" s="1941"/>
      <c r="G80" s="1941"/>
      <c r="H80" s="1941"/>
      <c r="I80" s="1941"/>
      <c r="J80" s="1941"/>
      <c r="K80" s="1941"/>
      <c r="L80" s="1941"/>
      <c r="M80" s="1941"/>
      <c r="N80" s="1942"/>
    </row>
    <row r="81" spans="1:14" x14ac:dyDescent="0.2">
      <c r="A81" s="1940"/>
      <c r="B81" s="1941"/>
      <c r="C81" s="1941"/>
      <c r="D81" s="1941"/>
      <c r="E81" s="1941"/>
      <c r="F81" s="1941"/>
      <c r="G81" s="1941"/>
      <c r="H81" s="1941"/>
      <c r="I81" s="1941"/>
      <c r="J81" s="1941"/>
      <c r="K81" s="1941"/>
      <c r="L81" s="1941"/>
      <c r="M81" s="1941"/>
      <c r="N81" s="1942"/>
    </row>
    <row r="82" spans="1:14" x14ac:dyDescent="0.2">
      <c r="A82" s="1940"/>
      <c r="B82" s="1941"/>
      <c r="C82" s="1941"/>
      <c r="D82" s="1941"/>
      <c r="E82" s="1941"/>
      <c r="F82" s="1941"/>
      <c r="G82" s="1941"/>
      <c r="H82" s="1941"/>
      <c r="I82" s="1941"/>
      <c r="J82" s="1941"/>
      <c r="K82" s="1941"/>
      <c r="L82" s="1941"/>
      <c r="M82" s="1941"/>
      <c r="N82" s="1942"/>
    </row>
    <row r="83" spans="1:14" ht="13.5" thickBot="1" x14ac:dyDescent="0.25">
      <c r="A83" s="1943"/>
      <c r="B83" s="1944"/>
      <c r="C83" s="1944"/>
      <c r="D83" s="1944"/>
      <c r="E83" s="1944"/>
      <c r="F83" s="1944"/>
      <c r="G83" s="1944"/>
      <c r="H83" s="1944"/>
      <c r="I83" s="1944"/>
      <c r="J83" s="1944"/>
      <c r="K83" s="1944"/>
      <c r="L83" s="1944"/>
      <c r="M83" s="1944"/>
      <c r="N83" s="194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9" sqref="B1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row>
    <row r="6" spans="1:2" x14ac:dyDescent="0.2">
      <c r="A6" s="847">
        <v>1</v>
      </c>
      <c r="B6" s="307" t="s">
        <v>2074</v>
      </c>
    </row>
    <row r="7" spans="1:2" x14ac:dyDescent="0.2">
      <c r="A7" s="847">
        <v>2</v>
      </c>
      <c r="B7" s="307" t="s">
        <v>2075</v>
      </c>
    </row>
    <row r="8" spans="1:2" x14ac:dyDescent="0.2">
      <c r="A8" s="847">
        <v>3</v>
      </c>
      <c r="B8" s="307" t="s">
        <v>2076</v>
      </c>
    </row>
    <row r="9" spans="1:2" x14ac:dyDescent="0.2">
      <c r="A9" s="847">
        <v>4</v>
      </c>
      <c r="B9" s="307" t="s">
        <v>2256</v>
      </c>
    </row>
    <row r="10" spans="1:2" x14ac:dyDescent="0.2">
      <c r="A10" s="847">
        <v>5</v>
      </c>
      <c r="B10" s="307" t="s">
        <v>2078</v>
      </c>
    </row>
    <row r="11" spans="1:2" x14ac:dyDescent="0.2">
      <c r="A11" s="847">
        <v>6</v>
      </c>
      <c r="B11" s="307" t="s">
        <v>2077</v>
      </c>
    </row>
    <row r="12" spans="1:2" x14ac:dyDescent="0.2">
      <c r="A12" s="847"/>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United Twp HSD 30</v>
      </c>
    </row>
    <row r="65" spans="2:2" x14ac:dyDescent="0.2">
      <c r="B65" s="849">
        <f>COVER!A13</f>
        <v>49081030017</v>
      </c>
    </row>
  </sheetData>
  <phoneticPr fontId="15" type="noConversion"/>
  <pageMargins left="0.2" right="0.2" top="1.17" bottom="0.75" header="0.19" footer="0.16"/>
  <pageSetup scale="7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0" t="s">
        <v>1056</v>
      </c>
      <c r="B35" s="2150"/>
      <c r="C35" s="2150"/>
      <c r="D35" s="2150"/>
      <c r="E35" s="215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7" t="s">
        <v>686</v>
      </c>
      <c r="B40" s="2147"/>
      <c r="C40" s="2147"/>
      <c r="D40" s="2147"/>
      <c r="E40" s="2147"/>
    </row>
    <row r="41" spans="1:5" x14ac:dyDescent="0.2">
      <c r="A41" s="2148" t="s">
        <v>1591</v>
      </c>
      <c r="B41" s="2148"/>
      <c r="C41" s="2148"/>
      <c r="D41" s="2148"/>
      <c r="E41" s="2148"/>
    </row>
    <row r="42" spans="1:5" ht="12.75" customHeight="1" x14ac:dyDescent="0.2">
      <c r="A42" s="2149" t="s">
        <v>1015</v>
      </c>
      <c r="B42" s="2149"/>
      <c r="C42" s="2149"/>
      <c r="D42" s="2149"/>
      <c r="E42" s="2149"/>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6" sqref="F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5" t="s">
        <v>1665</v>
      </c>
      <c r="B18" s="246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74754" r:id="rId4">
          <objectPr defaultSize="0" r:id="rId5">
            <anchor moveWithCells="1">
              <from>
                <xdr:col>3</xdr:col>
                <xdr:colOff>0</xdr:colOff>
                <xdr:row>5</xdr:row>
                <xdr:rowOff>0</xdr:rowOff>
              </from>
              <to>
                <xdr:col>4</xdr:col>
                <xdr:colOff>285750</xdr:colOff>
                <xdr:row>9</xdr:row>
                <xdr:rowOff>95250</xdr:rowOff>
              </to>
            </anchor>
          </objectPr>
        </oleObject>
      </mc:Choice>
      <mc:Fallback>
        <oleObject progId="Acrobat Document" dvAspect="DVASPECT_ICON" shapeId="74754" r:id="rId4"/>
      </mc:Fallback>
    </mc:AlternateContent>
    <mc:AlternateContent xmlns:mc="http://schemas.openxmlformats.org/markup-compatibility/2006">
      <mc:Choice Requires="x14">
        <oleObject progId="Acrobat Document" dvAspect="DVASPECT_ICON" shapeId="74755" r:id="rId6">
          <objectPr defaultSize="0" r:id="rId7">
            <anchor moveWithCells="1">
              <from>
                <xdr:col>5</xdr:col>
                <xdr:colOff>0</xdr:colOff>
                <xdr:row>5</xdr:row>
                <xdr:rowOff>0</xdr:rowOff>
              </from>
              <to>
                <xdr:col>6</xdr:col>
                <xdr:colOff>285750</xdr:colOff>
                <xdr:row>9</xdr:row>
                <xdr:rowOff>95250</xdr:rowOff>
              </to>
            </anchor>
          </objectPr>
        </oleObject>
      </mc:Choice>
      <mc:Fallback>
        <oleObject progId="Acrobat Document" dvAspect="DVASPECT_ICON" shapeId="74755" r:id="rId6"/>
      </mc:Fallback>
    </mc:AlternateContent>
    <mc:AlternateContent xmlns:mc="http://schemas.openxmlformats.org/markup-compatibility/2006">
      <mc:Choice Requires="x14">
        <oleObject progId="Acrobat Document" dvAspect="DVASPECT_ICON" shapeId="74756" r:id="rId8">
          <objectPr defaultSize="0" r:id="rId9">
            <anchor moveWithCells="1">
              <from>
                <xdr:col>7</xdr:col>
                <xdr:colOff>0</xdr:colOff>
                <xdr:row>5</xdr:row>
                <xdr:rowOff>0</xdr:rowOff>
              </from>
              <to>
                <xdr:col>8</xdr:col>
                <xdr:colOff>285750</xdr:colOff>
                <xdr:row>9</xdr:row>
                <xdr:rowOff>95250</xdr:rowOff>
              </to>
            </anchor>
          </objectPr>
        </oleObject>
      </mc:Choice>
      <mc:Fallback>
        <oleObject progId="Acrobat Document" dvAspect="DVASPECT_ICON" shapeId="74756" r:id="rId8"/>
      </mc:Fallback>
    </mc:AlternateContent>
    <mc:AlternateContent xmlns:mc="http://schemas.openxmlformats.org/markup-compatibility/2006">
      <mc:Choice Requires="x14">
        <oleObject progId="Acrobat Document" dvAspect="DVASPECT_ICON" shapeId="74757" r:id="rId10">
          <objectPr defaultSize="0" r:id="rId11">
            <anchor moveWithCells="1">
              <from>
                <xdr:col>9</xdr:col>
                <xdr:colOff>0</xdr:colOff>
                <xdr:row>5</xdr:row>
                <xdr:rowOff>0</xdr:rowOff>
              </from>
              <to>
                <xdr:col>10</xdr:col>
                <xdr:colOff>285750</xdr:colOff>
                <xdr:row>9</xdr:row>
                <xdr:rowOff>95250</xdr:rowOff>
              </to>
            </anchor>
          </objectPr>
        </oleObject>
      </mc:Choice>
      <mc:Fallback>
        <oleObject progId="Acrobat Document" dvAspect="DVASPECT_ICON" shapeId="74757"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1669</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53"/>
      <c r="H2" s="853"/>
    </row>
    <row r="3" spans="1:8" ht="57" customHeight="1" x14ac:dyDescent="0.2">
      <c r="A3" s="2479" t="s">
        <v>1969</v>
      </c>
      <c r="B3" s="2480"/>
      <c r="C3" s="2480"/>
      <c r="D3" s="2480"/>
      <c r="E3" s="2480"/>
      <c r="F3" s="2481"/>
      <c r="G3" s="853"/>
      <c r="H3" s="853"/>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53"/>
      <c r="H4" s="853"/>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53"/>
      <c r="H5" s="853"/>
    </row>
    <row r="6" spans="1:8" s="854" customFormat="1" ht="41.25" customHeight="1" x14ac:dyDescent="0.2">
      <c r="A6" s="2482" t="s">
        <v>1670</v>
      </c>
      <c r="B6" s="2483"/>
      <c r="C6" s="2483"/>
      <c r="D6" s="2483"/>
      <c r="E6" s="2483"/>
      <c r="F6" s="248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16050976</v>
      </c>
      <c r="C8" s="1813">
        <f>'Acct Summary 7-8'!D8</f>
        <v>2383607</v>
      </c>
      <c r="D8" s="1813">
        <f>'Acct Summary 7-8'!F8</f>
        <v>916427</v>
      </c>
      <c r="E8" s="1813">
        <f>'Acct Summary 7-8'!I8</f>
        <v>325349</v>
      </c>
      <c r="F8" s="1813">
        <f>SUM(B8:E8)</f>
        <v>19676359</v>
      </c>
    </row>
    <row r="9" spans="1:8" s="858" customFormat="1" ht="14.25" customHeight="1" thickBot="1" x14ac:dyDescent="0.25">
      <c r="A9" s="857" t="s">
        <v>1353</v>
      </c>
      <c r="B9" s="1814">
        <f>'Acct Summary 7-8'!C17</f>
        <v>14947446</v>
      </c>
      <c r="C9" s="1814">
        <f>'Acct Summary 7-8'!D17</f>
        <v>2101828</v>
      </c>
      <c r="D9" s="1814">
        <f>'Acct Summary 7-8'!F17</f>
        <v>878837</v>
      </c>
      <c r="E9" s="1813"/>
      <c r="F9" s="1813">
        <f>SUM(B9:E9)</f>
        <v>17928111</v>
      </c>
    </row>
    <row r="10" spans="1:8" s="858" customFormat="1" ht="14.25" thickTop="1" thickBot="1" x14ac:dyDescent="0.25">
      <c r="A10" s="859" t="s">
        <v>1354</v>
      </c>
      <c r="B10" s="1815">
        <f>(B8-B9)</f>
        <v>1103530</v>
      </c>
      <c r="C10" s="1815">
        <f>(C8-C9)</f>
        <v>281779</v>
      </c>
      <c r="D10" s="1815">
        <f>(D8-D9)</f>
        <v>37590</v>
      </c>
      <c r="E10" s="1814">
        <f>(E8-E9)</f>
        <v>325349</v>
      </c>
      <c r="F10" s="1816">
        <f>SUM(F8-F9)</f>
        <v>1748248</v>
      </c>
    </row>
    <row r="11" spans="1:8" s="858" customFormat="1" ht="14.25" thickTop="1" thickBot="1" x14ac:dyDescent="0.25">
      <c r="A11" s="860" t="s">
        <v>1900</v>
      </c>
      <c r="B11" s="1817">
        <f>'Acct Summary 7-8'!C81</f>
        <v>6527152</v>
      </c>
      <c r="C11" s="1817">
        <f>'Acct Summary 7-8'!D81</f>
        <v>3625230</v>
      </c>
      <c r="D11" s="1817">
        <f>'Acct Summary 7-8'!F81</f>
        <v>1949055</v>
      </c>
      <c r="E11" s="1817">
        <f>'Acct Summary 7-8'!I81</f>
        <v>2353271</v>
      </c>
      <c r="F11" s="1818">
        <f>SUM(B11:E11)</f>
        <v>14454708</v>
      </c>
    </row>
    <row r="12" spans="1:8" ht="16.5" customHeight="1" thickTop="1" x14ac:dyDescent="0.2">
      <c r="A12" s="861"/>
      <c r="B12" s="862"/>
      <c r="C12" s="2470" t="str">
        <f>IF(AND(F10&lt;0,F11&gt;=0,ABS(F10*3)&gt;ABS(F11)),A16,IF(AND(F10&lt;0,F11&gt;0,ABS(F10*3)&lt;=ABS(F11)),A17,IF(AND(F10&lt;0,F11&lt;0),A16,IF(F11=0,A19,A18))))</f>
        <v>Balanced - no deficit reduction plan is required.</v>
      </c>
      <c r="D12" s="2471"/>
      <c r="E12" s="2471"/>
      <c r="F12" s="2472"/>
    </row>
    <row r="13" spans="1:8" ht="19.5" customHeight="1" x14ac:dyDescent="0.2">
      <c r="A13" s="863"/>
      <c r="B13" s="864"/>
      <c r="C13" s="2470"/>
      <c r="D13" s="2471"/>
      <c r="E13" s="2471"/>
      <c r="F13" s="2472"/>
      <c r="H13" s="853"/>
    </row>
    <row r="14" spans="1:8" ht="19.5" customHeight="1" x14ac:dyDescent="0.2">
      <c r="A14" s="863"/>
      <c r="B14" s="864"/>
      <c r="C14" s="2470"/>
      <c r="D14" s="2471"/>
      <c r="E14" s="2471"/>
      <c r="F14" s="2472"/>
      <c r="H14" s="853"/>
    </row>
    <row r="15" spans="1:8" ht="17.25" customHeight="1" x14ac:dyDescent="0.2">
      <c r="A15" s="863"/>
      <c r="B15" s="864"/>
      <c r="C15" s="2473"/>
      <c r="D15" s="2474"/>
      <c r="E15" s="2474"/>
      <c r="F15" s="2475"/>
      <c r="H15" s="853"/>
    </row>
    <row r="16" spans="1:8" s="288" customFormat="1" ht="51.75" hidden="1" customHeight="1" x14ac:dyDescent="0.2">
      <c r="A16" s="2469" t="s">
        <v>1666</v>
      </c>
      <c r="B16" s="2469"/>
      <c r="C16" s="2469"/>
      <c r="D16" s="2469"/>
      <c r="E16" s="246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colorId="8" zoomScale="110" zoomScaleNormal="110" workbookViewId="0">
      <selection activeCell="C86" sqref="C8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1" t="s">
        <v>660</v>
      </c>
      <c r="B3" s="2492"/>
      <c r="C3" s="2492"/>
      <c r="D3" s="2493"/>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2" t="s">
        <v>1487</v>
      </c>
      <c r="D7" s="2503"/>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4" t="s">
        <v>1001</v>
      </c>
      <c r="B15" s="2495"/>
      <c r="C15" s="2495"/>
      <c r="D15" s="2496"/>
    </row>
    <row r="16" spans="1:4" s="542" customFormat="1" ht="24" customHeight="1" x14ac:dyDescent="0.2">
      <c r="A16" s="2497" t="s">
        <v>658</v>
      </c>
      <c r="B16" s="2498"/>
      <c r="C16" s="2498"/>
      <c r="D16" s="2499"/>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6" t="s">
        <v>311</v>
      </c>
      <c r="D21" s="2507"/>
    </row>
    <row r="22" spans="1:10" ht="12.75" x14ac:dyDescent="0.2">
      <c r="A22" s="918"/>
      <c r="B22" s="919">
        <v>2</v>
      </c>
      <c r="C22" s="2504" t="s">
        <v>1507</v>
      </c>
      <c r="D22" s="2505"/>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8" t="s">
        <v>533</v>
      </c>
      <c r="D43" s="250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0" t="s">
        <v>779</v>
      </c>
      <c r="D56" s="250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0" t="s">
        <v>1674</v>
      </c>
      <c r="D70" s="250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61" t="e">
        <f>IF(#REF!&gt;0,"OK","PLEASE ENTER CONTRACTS PAID IN CURRENT YEAR.  IF NONE, STATE NO CONTRACTS ON PAGE 29.")</f>
        <v>#REF!</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5"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60" t="s">
        <v>1975</v>
      </c>
    </row>
    <row r="2" spans="1:7" ht="15.75" x14ac:dyDescent="0.25">
      <c r="A2" t="s">
        <v>260</v>
      </c>
      <c r="B2" s="135">
        <f>COVER!A13</f>
        <v>49081030017</v>
      </c>
      <c r="E2" s="1542">
        <v>2020</v>
      </c>
      <c r="F2" s="1542">
        <v>1</v>
      </c>
      <c r="G2" s="1859">
        <v>101000300</v>
      </c>
    </row>
    <row r="3" spans="1:7" ht="15" x14ac:dyDescent="0.25">
      <c r="A3" t="s">
        <v>950</v>
      </c>
      <c r="B3" s="135" t="str">
        <f>COVER!A15</f>
        <v>Rock Island</v>
      </c>
      <c r="E3" s="1830" t="s">
        <v>1968</v>
      </c>
      <c r="F3" s="1830" t="s">
        <v>1967</v>
      </c>
      <c r="G3" s="1859">
        <v>101000400</v>
      </c>
    </row>
    <row r="4" spans="1:7" ht="15" x14ac:dyDescent="0.25">
      <c r="A4" t="s">
        <v>1000</v>
      </c>
      <c r="B4" s="135" t="str">
        <f>COVER!A17</f>
        <v xml:space="preserve">   United Twp HSD 30</v>
      </c>
      <c r="E4" s="1828">
        <v>44119</v>
      </c>
      <c r="F4" s="1829">
        <v>44151</v>
      </c>
      <c r="G4" s="1859">
        <v>101000600</v>
      </c>
    </row>
    <row r="5" spans="1:7" ht="15" x14ac:dyDescent="0.25">
      <c r="A5" t="s">
        <v>699</v>
      </c>
      <c r="B5" s="135" t="str">
        <f>COVER!A38</f>
        <v>Dr. Jay Morrow</v>
      </c>
      <c r="G5" s="1859">
        <v>101000800</v>
      </c>
    </row>
    <row r="6" spans="1:7" ht="15" x14ac:dyDescent="0.25">
      <c r="A6" t="s">
        <v>704</v>
      </c>
      <c r="B6" s="135">
        <f>COVER!P35</f>
        <v>0</v>
      </c>
      <c r="G6" s="1859">
        <v>102100300</v>
      </c>
    </row>
    <row r="7" spans="1:7" ht="15" x14ac:dyDescent="0.25">
      <c r="A7" t="s">
        <v>700</v>
      </c>
      <c r="B7" s="135">
        <f>COVER!I38</f>
        <v>0</v>
      </c>
      <c r="G7" s="1859">
        <v>102100400</v>
      </c>
    </row>
    <row r="8" spans="1:7" ht="15" x14ac:dyDescent="0.25">
      <c r="A8" t="s">
        <v>701</v>
      </c>
      <c r="B8" s="135">
        <f>COVER!T38</f>
        <v>0</v>
      </c>
      <c r="G8" s="1859">
        <v>102100600</v>
      </c>
    </row>
    <row r="9" spans="1:7" ht="15" x14ac:dyDescent="0.25">
      <c r="A9" s="3" t="s">
        <v>951</v>
      </c>
      <c r="B9" s="153" t="str">
        <f>AUDITCHECK!D23</f>
        <v xml:space="preserve">ACCRUAL </v>
      </c>
      <c r="G9" s="1859">
        <v>102100800</v>
      </c>
    </row>
    <row r="10" spans="1:7" ht="15" x14ac:dyDescent="0.25">
      <c r="A10" t="s">
        <v>970</v>
      </c>
      <c r="B10" s="135" t="str">
        <f>COVER!B5</f>
        <v>x</v>
      </c>
      <c r="G10" s="1859">
        <v>202100300</v>
      </c>
    </row>
    <row r="11" spans="1:7" ht="15" x14ac:dyDescent="0.25">
      <c r="A11" t="s">
        <v>971</v>
      </c>
      <c r="B11" s="135">
        <f>COVER!B6</f>
        <v>0</v>
      </c>
      <c r="G11" s="1859">
        <v>202100400</v>
      </c>
    </row>
    <row r="12" spans="1:7" ht="15" x14ac:dyDescent="0.25">
      <c r="A12" s="1" t="s">
        <v>1526</v>
      </c>
      <c r="B12" s="135" t="str">
        <f>IF(COVER!J29="x","Yes",IF(COVER!L29="X","No",0))</f>
        <v>Yes</v>
      </c>
      <c r="G12" s="1859">
        <v>202100600</v>
      </c>
    </row>
    <row r="13" spans="1:7" ht="15" x14ac:dyDescent="0.25">
      <c r="A13" s="1" t="s">
        <v>1527</v>
      </c>
      <c r="B13" s="135" t="str">
        <f>IF(COVER!J30="x","Yes",IF(COVER!L30="x","No",0))</f>
        <v>Yes</v>
      </c>
      <c r="G13" s="1859">
        <v>202100800</v>
      </c>
    </row>
    <row r="14" spans="1:7" ht="15" x14ac:dyDescent="0.25">
      <c r="A14" t="s">
        <v>473</v>
      </c>
      <c r="B14" s="135" t="str">
        <f>IF(COVER!J31="x","Yes",IF(COVER!L31="x","No",0))</f>
        <v>No</v>
      </c>
      <c r="G14" s="1859">
        <v>402100300</v>
      </c>
    </row>
    <row r="15" spans="1:7" ht="15" x14ac:dyDescent="0.25">
      <c r="A15" t="s">
        <v>573</v>
      </c>
      <c r="B15" s="135" t="str">
        <f>COVER!T23</f>
        <v>066.004397</v>
      </c>
      <c r="G15" s="1859">
        <v>402100400</v>
      </c>
    </row>
    <row r="16" spans="1:7" ht="15" x14ac:dyDescent="0.25">
      <c r="A16" t="s">
        <v>419</v>
      </c>
      <c r="B16" s="135" t="str">
        <f>COVER!T13</f>
        <v>Bohnsack &amp; Frommelt, LLP</v>
      </c>
      <c r="G16" s="1859">
        <v>402100600</v>
      </c>
    </row>
    <row r="17" spans="1:7" ht="15" x14ac:dyDescent="0.25">
      <c r="A17" t="s">
        <v>878</v>
      </c>
      <c r="B17" s="135" t="str">
        <f>COVER!T15</f>
        <v>Sarah Bohnsack</v>
      </c>
      <c r="G17" s="1859">
        <v>402100800</v>
      </c>
    </row>
    <row r="18" spans="1:7" ht="15" x14ac:dyDescent="0.25">
      <c r="A18" t="s">
        <v>1140</v>
      </c>
      <c r="B18" s="135" t="str">
        <f>COVER!T17</f>
        <v>1500 River Drive, Suite 200</v>
      </c>
      <c r="G18" s="1859">
        <v>102200300</v>
      </c>
    </row>
    <row r="19" spans="1:7" ht="15" x14ac:dyDescent="0.25">
      <c r="A19" t="s">
        <v>880</v>
      </c>
      <c r="B19" s="135" t="str">
        <f>COVER!T25</f>
        <v>sarah@bohnsackfrommelt.com</v>
      </c>
      <c r="G19" s="1859">
        <v>102200400</v>
      </c>
    </row>
    <row r="20" spans="1:7" ht="15" x14ac:dyDescent="0.25">
      <c r="A20" t="s">
        <v>881</v>
      </c>
      <c r="B20" s="135" t="str">
        <f>COVER!T19</f>
        <v>Moline</v>
      </c>
      <c r="G20" s="1859">
        <v>102200600</v>
      </c>
    </row>
    <row r="21" spans="1:7" ht="15" x14ac:dyDescent="0.25">
      <c r="A21" t="s">
        <v>476</v>
      </c>
      <c r="B21" s="135" t="str">
        <f>COVER!X19</f>
        <v>IL</v>
      </c>
      <c r="G21" s="1859">
        <v>102200800</v>
      </c>
    </row>
    <row r="22" spans="1:7" ht="15" x14ac:dyDescent="0.25">
      <c r="A22" t="s">
        <v>882</v>
      </c>
      <c r="B22" s="135">
        <f>COVER!Z19</f>
        <v>61265</v>
      </c>
      <c r="G22" s="1859">
        <v>102300300</v>
      </c>
    </row>
    <row r="23" spans="1:7" ht="15" x14ac:dyDescent="0.25">
      <c r="A23" t="s">
        <v>1142</v>
      </c>
      <c r="B23" s="135" t="str">
        <f>COVER!T21</f>
        <v>563-343-9595</v>
      </c>
      <c r="G23" s="1859">
        <v>102300400</v>
      </c>
    </row>
    <row r="24" spans="1:7" ht="15" x14ac:dyDescent="0.25">
      <c r="A24" t="s">
        <v>1141</v>
      </c>
      <c r="B24" s="135">
        <f>COVER!Y21</f>
        <v>0</v>
      </c>
      <c r="G24" s="1859">
        <v>102300600</v>
      </c>
    </row>
    <row r="25" spans="1:7" ht="15" x14ac:dyDescent="0.25">
      <c r="A25" t="s">
        <v>756</v>
      </c>
      <c r="B25" s="135">
        <f>COVER!B34</f>
        <v>0</v>
      </c>
      <c r="G25" s="1859">
        <v>102300800</v>
      </c>
    </row>
    <row r="26" spans="1:7" ht="15" x14ac:dyDescent="0.25">
      <c r="A26" t="s">
        <v>1143</v>
      </c>
      <c r="B26" s="135">
        <f>COVER!L34</f>
        <v>0</v>
      </c>
      <c r="G26" s="1859">
        <v>802300300</v>
      </c>
    </row>
    <row r="27" spans="1:7" ht="15" x14ac:dyDescent="0.25">
      <c r="A27" t="s">
        <v>266</v>
      </c>
      <c r="B27" s="135">
        <f>COVER!U34</f>
        <v>0</v>
      </c>
      <c r="G27" s="1859">
        <v>802300400</v>
      </c>
    </row>
    <row r="28" spans="1:7" ht="15" x14ac:dyDescent="0.25">
      <c r="A28" t="s">
        <v>313</v>
      </c>
      <c r="B28" s="135" t="str">
        <f>IF('Aud Quest 2'!B9="x","Yes",IF('Aud Quest 2'!B9&lt;&gt;"x","0"))</f>
        <v>0</v>
      </c>
      <c r="G28" s="1859">
        <v>802300600</v>
      </c>
    </row>
    <row r="29" spans="1:7" ht="15" x14ac:dyDescent="0.25">
      <c r="A29" t="s">
        <v>314</v>
      </c>
      <c r="B29" s="135" t="str">
        <f>IF('Aud Quest 2'!B11="x","Yes",IF('Aud Quest 2'!B11&lt;&gt;"x","0"))</f>
        <v>0</v>
      </c>
      <c r="G29" s="1859">
        <v>802300800</v>
      </c>
    </row>
    <row r="30" spans="1:7" ht="15" x14ac:dyDescent="0.25">
      <c r="A30" t="s">
        <v>315</v>
      </c>
      <c r="B30" s="135" t="str">
        <f>IF('Aud Quest 2'!B13="x","Yes",IF('Aud Quest 2'!B13&lt;&gt;"x","0"))</f>
        <v>0</v>
      </c>
      <c r="G30" s="1859">
        <v>102400300</v>
      </c>
    </row>
    <row r="31" spans="1:7" ht="15" x14ac:dyDescent="0.25">
      <c r="A31" t="s">
        <v>654</v>
      </c>
      <c r="B31" s="135" t="str">
        <f>IF('Aud Quest 2'!B14="x","Yes",IF('Aud Quest 2'!B14&lt;&gt;"x","0"))</f>
        <v>0</v>
      </c>
      <c r="G31" s="1859">
        <v>102400400</v>
      </c>
    </row>
    <row r="32" spans="1:7" ht="15" x14ac:dyDescent="0.25">
      <c r="A32" t="s">
        <v>653</v>
      </c>
      <c r="B32" s="135" t="str">
        <f>IF('Aud Quest 2'!B15="x","Yes",IF('Aud Quest 2'!B15&lt;&gt;"x","0"))</f>
        <v>0</v>
      </c>
      <c r="G32" s="1859">
        <v>102400600</v>
      </c>
    </row>
    <row r="33" spans="1:7" ht="15" x14ac:dyDescent="0.25">
      <c r="A33" t="s">
        <v>655</v>
      </c>
      <c r="B33" s="135" t="str">
        <f>IF('Aud Quest 2'!B16="x","Yes",IF('Aud Quest 2'!B16&lt;&gt;"x","0"))</f>
        <v>0</v>
      </c>
      <c r="G33" s="1859">
        <v>102400800</v>
      </c>
    </row>
    <row r="34" spans="1:7" ht="15" x14ac:dyDescent="0.25">
      <c r="A34" t="s">
        <v>656</v>
      </c>
      <c r="B34" s="135" t="str">
        <f>IF('Aud Quest 2'!B18="x","Yes",IF('Aud Quest 2'!B18&lt;&gt;"x","0"))</f>
        <v>0</v>
      </c>
      <c r="G34" s="1859">
        <v>102510300</v>
      </c>
    </row>
    <row r="35" spans="1:7" ht="15" x14ac:dyDescent="0.25">
      <c r="A35" t="s">
        <v>657</v>
      </c>
      <c r="B35" s="135" t="str">
        <f>IF('Aud Quest 2'!B20="x","Yes",IF('Aud Quest 2'!B20&lt;&gt;"x","0"))</f>
        <v>0</v>
      </c>
      <c r="G35" s="1859">
        <v>102510400</v>
      </c>
    </row>
    <row r="36" spans="1:7" ht="15" x14ac:dyDescent="0.25">
      <c r="A36" t="s">
        <v>651</v>
      </c>
      <c r="B36" s="135" t="str">
        <f>IF('Aud Quest 2'!B22="x","Yes",IF('Aud Quest 2'!B22&lt;&gt;"x","0"))</f>
        <v>0</v>
      </c>
      <c r="G36" s="1859">
        <v>102510600</v>
      </c>
    </row>
    <row r="37" spans="1:7" ht="15" x14ac:dyDescent="0.25">
      <c r="A37" t="s">
        <v>755</v>
      </c>
      <c r="B37" s="135" t="str">
        <f>IF('Aud Quest 2'!B24="x","Yes",IF('Aud Quest 2'!B24&lt;&gt;"x","0"))</f>
        <v>0</v>
      </c>
      <c r="G37" s="1859">
        <v>102510800</v>
      </c>
    </row>
    <row r="38" spans="1:7" ht="15" x14ac:dyDescent="0.25">
      <c r="A38" t="s">
        <v>324</v>
      </c>
      <c r="B38" s="135" t="str">
        <f>IF('Aud Quest 2'!B25="x","Yes",IF('Aud Quest 2'!B25&lt;&gt;"x","0"))</f>
        <v>0</v>
      </c>
      <c r="G38" s="1859">
        <v>202510300</v>
      </c>
    </row>
    <row r="39" spans="1:7" ht="15" x14ac:dyDescent="0.25">
      <c r="A39" t="s">
        <v>325</v>
      </c>
      <c r="B39" s="135" t="str">
        <f>IF('Aud Quest 2'!B27="x","Yes",IF('Aud Quest 2'!B27&lt;&gt;"x","0"))</f>
        <v>0</v>
      </c>
      <c r="G39" s="1859">
        <v>202510400</v>
      </c>
    </row>
    <row r="40" spans="1:7" ht="15" x14ac:dyDescent="0.25">
      <c r="A40" t="s">
        <v>316</v>
      </c>
      <c r="B40" s="135" t="str">
        <f>IF('Aud Quest 2'!B29="x","Yes",IF('Aud Quest 2'!B29&lt;&gt;"x","0"))</f>
        <v>0</v>
      </c>
      <c r="G40" s="1859">
        <v>202510600</v>
      </c>
    </row>
    <row r="41" spans="1:7" ht="15" x14ac:dyDescent="0.25">
      <c r="A41" t="s">
        <v>317</v>
      </c>
      <c r="B41" s="135" t="str">
        <f>IF('Aud Quest 2'!B31="x","Yes",IF('Aud Quest 2'!B31&lt;&gt;"x","0"))</f>
        <v>0</v>
      </c>
      <c r="G41" s="1859">
        <v>202510800</v>
      </c>
    </row>
    <row r="42" spans="1:7" ht="15" x14ac:dyDescent="0.25">
      <c r="A42" t="s">
        <v>318</v>
      </c>
      <c r="B42" s="135" t="str">
        <f>IF('Aud Quest 2'!B37="x","Yes",IF('Aud Quest 2'!B37&lt;&gt;"x","0"))</f>
        <v>0</v>
      </c>
      <c r="G42" s="1859">
        <v>102520300</v>
      </c>
    </row>
    <row r="43" spans="1:7" ht="15" x14ac:dyDescent="0.25">
      <c r="A43" t="s">
        <v>319</v>
      </c>
      <c r="B43" s="135" t="str">
        <f>IF('Aud Quest 2'!B40="x","Yes",IF('Aud Quest 2'!B40&lt;&gt;"x","0"))</f>
        <v>0</v>
      </c>
      <c r="G43" s="1859">
        <v>102520400</v>
      </c>
    </row>
    <row r="44" spans="1:7" ht="15" x14ac:dyDescent="0.25">
      <c r="A44" s="1" t="s">
        <v>320</v>
      </c>
      <c r="B44" s="135" t="str">
        <f>IF('Aud Quest 2'!B42="x","Yes",IF('Aud Quest 2'!B42&lt;&gt;"x","0"))</f>
        <v>0</v>
      </c>
      <c r="G44" s="1859">
        <v>102520600</v>
      </c>
    </row>
    <row r="45" spans="1:7" ht="15" x14ac:dyDescent="0.25">
      <c r="A45" t="s">
        <v>321</v>
      </c>
      <c r="B45" s="135" t="str">
        <f>IF('Aud Quest 2'!B44="x","Yes",IF('Aud Quest 2'!B44&lt;&gt;"x","0"))</f>
        <v>0</v>
      </c>
      <c r="G45" s="1859">
        <v>102520800</v>
      </c>
    </row>
    <row r="46" spans="1:7" ht="15" x14ac:dyDescent="0.25">
      <c r="A46" t="s">
        <v>322</v>
      </c>
      <c r="B46" s="135" t="str">
        <f>IF('Aud Quest 2'!B49="x","Yes",IF('Aud Quest 2'!B49&lt;&gt;"x","0"))</f>
        <v>0</v>
      </c>
      <c r="G46" s="1859">
        <v>102540300</v>
      </c>
    </row>
    <row r="47" spans="1:7" ht="15" x14ac:dyDescent="0.25">
      <c r="A47" t="s">
        <v>323</v>
      </c>
      <c r="B47" s="135" t="str">
        <f>IF('Aud Quest 2'!B50="x","Yes",IF('Aud Quest 2'!B50&lt;&gt;"x","0"))</f>
        <v>0</v>
      </c>
      <c r="G47" s="1859">
        <v>102540400</v>
      </c>
    </row>
    <row r="48" spans="1:7" ht="15" x14ac:dyDescent="0.25">
      <c r="A48" t="s">
        <v>480</v>
      </c>
      <c r="B48" s="135" t="str">
        <f>IF('Aud Quest 2'!B51="x","Yes",IF('Aud Quest 2'!B51&lt;&gt;"x","0"))</f>
        <v>0</v>
      </c>
      <c r="G48" s="1859">
        <v>102540600</v>
      </c>
    </row>
    <row r="49" spans="1:7" ht="15" x14ac:dyDescent="0.25">
      <c r="A49" s="1" t="s">
        <v>1464</v>
      </c>
      <c r="B49" s="135" t="str">
        <f>IF('Aud Quest 2'!B53="x","Yes",IF('Aud Quest 2'!B53&lt;&gt;"x","0"))</f>
        <v>0</v>
      </c>
      <c r="G49" s="1859">
        <v>102540800</v>
      </c>
    </row>
    <row r="50" spans="1:7" ht="15" x14ac:dyDescent="0.25">
      <c r="A50" s="1" t="s">
        <v>1463</v>
      </c>
      <c r="B50" s="146">
        <f>'Aud Quest 2'!H53</f>
        <v>0</v>
      </c>
      <c r="G50" s="1859">
        <v>202540300</v>
      </c>
    </row>
    <row r="51" spans="1:7" ht="15" x14ac:dyDescent="0.25">
      <c r="A51" s="1" t="s">
        <v>1465</v>
      </c>
      <c r="B51" s="135" t="str">
        <f>IF('Aud Quest 2'!B54="x","Yes",IF('Aud Quest 2'!B54&lt;&gt;"x","0"))</f>
        <v>0</v>
      </c>
      <c r="G51" s="1859">
        <v>202540400</v>
      </c>
    </row>
    <row r="52" spans="1:7" ht="15" x14ac:dyDescent="0.25">
      <c r="A52" t="s">
        <v>326</v>
      </c>
      <c r="B52" s="135">
        <f>('Aud Quest 2'!D56)</f>
        <v>0</v>
      </c>
      <c r="G52" s="1859">
        <v>202540600</v>
      </c>
    </row>
    <row r="53" spans="1:7" ht="15" x14ac:dyDescent="0.25">
      <c r="A53" s="1" t="s">
        <v>327</v>
      </c>
      <c r="B53" s="135">
        <f>IF('FP Info 3'!B44="X","Yes",0)</f>
        <v>0</v>
      </c>
      <c r="G53" s="1859">
        <v>202540800</v>
      </c>
    </row>
    <row r="54" spans="1:7" ht="15" x14ac:dyDescent="0.25">
      <c r="A54" t="s">
        <v>328</v>
      </c>
      <c r="B54" s="135">
        <f>IF('FP Info 3'!B45="X","Yes",0)</f>
        <v>0</v>
      </c>
      <c r="G54" s="1859">
        <v>902540300</v>
      </c>
    </row>
    <row r="55" spans="1:7" ht="15" x14ac:dyDescent="0.25">
      <c r="A55" t="s">
        <v>329</v>
      </c>
      <c r="B55" s="135">
        <f>IF('FP Info 3'!B46="X","Yes",0)</f>
        <v>0</v>
      </c>
      <c r="G55" s="1859">
        <v>902540400</v>
      </c>
    </row>
    <row r="56" spans="1:7" ht="15" x14ac:dyDescent="0.25">
      <c r="A56" t="s">
        <v>330</v>
      </c>
      <c r="B56" s="135">
        <f>IF('FP Info 3'!B47="X","Yes",0)</f>
        <v>0</v>
      </c>
      <c r="G56" s="1859">
        <v>902540600</v>
      </c>
    </row>
    <row r="57" spans="1:7" ht="15" x14ac:dyDescent="0.25">
      <c r="A57" t="s">
        <v>331</v>
      </c>
      <c r="B57" s="135">
        <f>IF('FP Info 3'!B48="X","Yes",0)</f>
        <v>0</v>
      </c>
      <c r="G57" s="1859">
        <v>902540800</v>
      </c>
    </row>
    <row r="58" spans="1:7" ht="15" x14ac:dyDescent="0.25">
      <c r="A58" t="s">
        <v>332</v>
      </c>
      <c r="B58" s="135">
        <f>IF('FP Info 3'!B49="X","Yes",0)</f>
        <v>0</v>
      </c>
      <c r="G58" s="1859">
        <v>102550300</v>
      </c>
    </row>
    <row r="59" spans="1:7" ht="15" x14ac:dyDescent="0.25">
      <c r="A59" t="s">
        <v>333</v>
      </c>
      <c r="B59" s="135">
        <f>IF('FP Info 3'!B50="X","Yes",0)</f>
        <v>0</v>
      </c>
      <c r="G59" s="1859">
        <v>102550400</v>
      </c>
    </row>
    <row r="60" spans="1:7" ht="15" x14ac:dyDescent="0.25">
      <c r="A60" t="s">
        <v>334</v>
      </c>
      <c r="B60" s="135">
        <f>IF('FP Info 3'!B51="X","Yes",0)</f>
        <v>0</v>
      </c>
      <c r="G60" s="1859">
        <v>102550600</v>
      </c>
    </row>
    <row r="61" spans="1:7" ht="15" x14ac:dyDescent="0.25">
      <c r="A61" t="s">
        <v>335</v>
      </c>
      <c r="B61" s="135">
        <f>('FP Info 3'!A53)</f>
        <v>0</v>
      </c>
      <c r="D61" s="2" t="str">
        <f>IF(ISBLANK(B62),"OK",IF(A62-B62=0,"OK","Error?"))</f>
        <v>OK</v>
      </c>
      <c r="G61" s="1859">
        <v>102550800</v>
      </c>
    </row>
    <row r="62" spans="1:7" ht="15" x14ac:dyDescent="0.25">
      <c r="A62" s="10">
        <v>1</v>
      </c>
      <c r="B62" s="1832"/>
      <c r="D62" s="2" t="str">
        <f>IF(ISBLANK(B62),"OK",IF(A62-B62=0,"OK","Error?"))</f>
        <v>OK</v>
      </c>
      <c r="G62" s="1859">
        <v>202550300</v>
      </c>
    </row>
    <row r="63" spans="1:7" ht="15" x14ac:dyDescent="0.25">
      <c r="A63" s="10">
        <v>2</v>
      </c>
      <c r="B63" s="1832"/>
      <c r="D63" s="2" t="str">
        <f t="shared" ref="D63:D126" si="0">IF(ISBLANK(B63),"OK",IF(A63-B63=0,"OK","Error?"))</f>
        <v>OK</v>
      </c>
      <c r="G63" s="1859">
        <v>202550400</v>
      </c>
    </row>
    <row r="64" spans="1:7" ht="15" x14ac:dyDescent="0.25">
      <c r="A64" s="10">
        <v>3</v>
      </c>
      <c r="B64" s="1832"/>
      <c r="D64" s="2" t="str">
        <f t="shared" si="0"/>
        <v>OK</v>
      </c>
      <c r="G64" s="1859">
        <v>202550600</v>
      </c>
    </row>
    <row r="65" spans="1:7" ht="15" x14ac:dyDescent="0.25">
      <c r="A65" s="5">
        <v>4</v>
      </c>
      <c r="B65" s="1832">
        <f>'Assets-Liab 5-6'!C6</f>
        <v>5909499</v>
      </c>
      <c r="D65" s="2" t="str">
        <f t="shared" si="0"/>
        <v>Error?</v>
      </c>
      <c r="G65" s="1859">
        <v>202550800</v>
      </c>
    </row>
    <row r="66" spans="1:7" ht="15" x14ac:dyDescent="0.25">
      <c r="A66" s="10">
        <v>5</v>
      </c>
      <c r="B66" s="1832"/>
      <c r="D66" s="2" t="str">
        <f t="shared" si="0"/>
        <v>OK</v>
      </c>
      <c r="G66" s="1859">
        <v>402550300</v>
      </c>
    </row>
    <row r="67" spans="1:7" ht="15" x14ac:dyDescent="0.25">
      <c r="A67" s="10">
        <v>6</v>
      </c>
      <c r="B67" s="1832"/>
      <c r="D67" s="2" t="str">
        <f t="shared" si="0"/>
        <v>OK</v>
      </c>
      <c r="G67" s="1859">
        <v>402550400</v>
      </c>
    </row>
    <row r="68" spans="1:7" ht="15" x14ac:dyDescent="0.25">
      <c r="A68" s="10">
        <v>7</v>
      </c>
      <c r="B68" s="1832"/>
      <c r="D68" s="2" t="str">
        <f t="shared" si="0"/>
        <v>OK</v>
      </c>
      <c r="G68" s="1859">
        <v>402550600</v>
      </c>
    </row>
    <row r="69" spans="1:7" ht="15" x14ac:dyDescent="0.25">
      <c r="A69" s="10">
        <v>8</v>
      </c>
      <c r="B69" s="1832"/>
      <c r="D69" s="2" t="str">
        <f t="shared" si="0"/>
        <v>OK</v>
      </c>
      <c r="G69" s="1859">
        <v>402550800</v>
      </c>
    </row>
    <row r="70" spans="1:7" ht="15" x14ac:dyDescent="0.25">
      <c r="A70" s="10">
        <v>9</v>
      </c>
      <c r="B70" s="1832"/>
      <c r="D70" s="2" t="str">
        <f t="shared" si="0"/>
        <v>OK</v>
      </c>
      <c r="G70" s="1859">
        <v>102560300</v>
      </c>
    </row>
    <row r="71" spans="1:7" ht="15" x14ac:dyDescent="0.25">
      <c r="A71" s="10">
        <v>10</v>
      </c>
      <c r="B71" s="1832"/>
      <c r="D71" s="2" t="str">
        <f t="shared" si="0"/>
        <v>OK</v>
      </c>
      <c r="G71" s="1859">
        <v>102560400</v>
      </c>
    </row>
    <row r="72" spans="1:7" ht="15" x14ac:dyDescent="0.25">
      <c r="A72" s="5">
        <v>11</v>
      </c>
      <c r="B72" s="1832">
        <f>'Assets-Liab 5-6'!C10</f>
        <v>0</v>
      </c>
      <c r="D72" s="2" t="str">
        <f t="shared" si="0"/>
        <v>Error?</v>
      </c>
      <c r="G72" s="1859">
        <v>102560600</v>
      </c>
    </row>
    <row r="73" spans="1:7" ht="15" x14ac:dyDescent="0.25">
      <c r="A73" s="5">
        <v>12</v>
      </c>
      <c r="B73" s="1832">
        <f>'Assets-Liab 5-6'!C5</f>
        <v>0</v>
      </c>
      <c r="D73" s="2" t="str">
        <f t="shared" si="0"/>
        <v>Error?</v>
      </c>
      <c r="G73" s="1859">
        <v>102560800</v>
      </c>
    </row>
    <row r="74" spans="1:7" ht="15" x14ac:dyDescent="0.25">
      <c r="A74" s="10">
        <v>13</v>
      </c>
      <c r="B74" s="1832"/>
      <c r="D74" s="2" t="str">
        <f t="shared" si="0"/>
        <v>OK</v>
      </c>
      <c r="G74" s="1859">
        <v>102570300</v>
      </c>
    </row>
    <row r="75" spans="1:7" ht="15" x14ac:dyDescent="0.25">
      <c r="A75" s="10">
        <v>14</v>
      </c>
      <c r="B75" s="1832"/>
      <c r="D75" s="2" t="str">
        <f t="shared" si="0"/>
        <v>OK</v>
      </c>
      <c r="G75" s="1859">
        <v>102570400</v>
      </c>
    </row>
    <row r="76" spans="1:7" ht="15" x14ac:dyDescent="0.25">
      <c r="A76" s="5">
        <v>15</v>
      </c>
      <c r="B76" s="1832">
        <f>'Assets-Liab 5-6'!C12</f>
        <v>0</v>
      </c>
      <c r="D76" s="2" t="str">
        <f t="shared" si="0"/>
        <v>Error?</v>
      </c>
      <c r="G76" s="1859">
        <v>102570600</v>
      </c>
    </row>
    <row r="77" spans="1:7" ht="15" x14ac:dyDescent="0.25">
      <c r="A77" s="5">
        <v>16</v>
      </c>
      <c r="B77" s="1832">
        <f>'Assets-Liab 5-6'!C13</f>
        <v>15790774</v>
      </c>
      <c r="C77" s="2" t="s">
        <v>569</v>
      </c>
      <c r="D77" s="2" t="str">
        <f t="shared" si="0"/>
        <v>Error?</v>
      </c>
      <c r="G77" s="1859">
        <v>102570800</v>
      </c>
    </row>
    <row r="78" spans="1:7" ht="15" x14ac:dyDescent="0.25">
      <c r="A78" s="10">
        <v>17</v>
      </c>
      <c r="B78" s="1832"/>
      <c r="D78" s="2" t="str">
        <f t="shared" si="0"/>
        <v>OK</v>
      </c>
      <c r="G78" s="1859">
        <v>102610300</v>
      </c>
    </row>
    <row r="79" spans="1:7" ht="15" x14ac:dyDescent="0.25">
      <c r="A79" s="10">
        <v>18</v>
      </c>
      <c r="B79" s="1832"/>
      <c r="D79" s="2" t="str">
        <f t="shared" si="0"/>
        <v>OK</v>
      </c>
      <c r="G79" s="1859">
        <v>102610400</v>
      </c>
    </row>
    <row r="80" spans="1:7" ht="15" x14ac:dyDescent="0.25">
      <c r="A80" s="10">
        <v>19</v>
      </c>
      <c r="B80" s="1832"/>
      <c r="D80" s="2" t="str">
        <f t="shared" si="0"/>
        <v>OK</v>
      </c>
      <c r="G80" s="1859">
        <v>102610600</v>
      </c>
    </row>
    <row r="81" spans="1:7" ht="15" x14ac:dyDescent="0.25">
      <c r="A81" s="10">
        <v>20</v>
      </c>
      <c r="B81" s="1832"/>
      <c r="D81" s="2" t="str">
        <f t="shared" si="0"/>
        <v>OK</v>
      </c>
      <c r="G81" s="1859">
        <v>102610800</v>
      </c>
    </row>
    <row r="82" spans="1:7" ht="15" x14ac:dyDescent="0.25">
      <c r="A82" s="10">
        <v>21</v>
      </c>
      <c r="B82" s="1832"/>
      <c r="D82" s="2" t="str">
        <f t="shared" si="0"/>
        <v>OK</v>
      </c>
      <c r="G82" s="1859">
        <v>102620300</v>
      </c>
    </row>
    <row r="83" spans="1:7" ht="15" x14ac:dyDescent="0.25">
      <c r="A83" s="10">
        <v>22</v>
      </c>
      <c r="B83" s="1832"/>
      <c r="D83" s="2" t="str">
        <f t="shared" si="0"/>
        <v>OK</v>
      </c>
      <c r="G83" s="1859">
        <v>102620400</v>
      </c>
    </row>
    <row r="84" spans="1:7" ht="15" x14ac:dyDescent="0.25">
      <c r="A84" s="10">
        <v>23</v>
      </c>
      <c r="B84" s="1832"/>
      <c r="D84" s="2" t="str">
        <f t="shared" si="0"/>
        <v>OK</v>
      </c>
      <c r="G84" s="1859">
        <v>102620600</v>
      </c>
    </row>
    <row r="85" spans="1:7" ht="15" x14ac:dyDescent="0.25">
      <c r="A85" s="10">
        <v>24</v>
      </c>
      <c r="B85" s="1832"/>
      <c r="D85" s="2" t="str">
        <f t="shared" si="0"/>
        <v>OK</v>
      </c>
      <c r="G85" s="1859">
        <v>102620800</v>
      </c>
    </row>
    <row r="86" spans="1:7" ht="15" x14ac:dyDescent="0.25">
      <c r="A86" s="12">
        <v>25</v>
      </c>
      <c r="B86" s="1832">
        <f>'Assets-Liab 5-6'!C31</f>
        <v>0</v>
      </c>
      <c r="D86" s="2" t="str">
        <f t="shared" si="0"/>
        <v>Error?</v>
      </c>
      <c r="G86" s="1859">
        <v>102630300</v>
      </c>
    </row>
    <row r="87" spans="1:7" ht="15" x14ac:dyDescent="0.25">
      <c r="A87" s="10">
        <v>26</v>
      </c>
      <c r="B87" s="1832"/>
      <c r="D87" s="2" t="str">
        <f t="shared" si="0"/>
        <v>OK</v>
      </c>
      <c r="G87" s="1859">
        <v>102630400</v>
      </c>
    </row>
    <row r="88" spans="1:7" ht="15" x14ac:dyDescent="0.25">
      <c r="A88" s="5">
        <v>27</v>
      </c>
      <c r="B88" s="1832">
        <f>'Assets-Liab 5-6'!C32</f>
        <v>8022269</v>
      </c>
      <c r="D88" s="2" t="str">
        <f t="shared" si="0"/>
        <v>Error?</v>
      </c>
      <c r="G88" s="1859">
        <v>102630600</v>
      </c>
    </row>
    <row r="89" spans="1:7" ht="15" x14ac:dyDescent="0.25">
      <c r="A89" s="10">
        <v>28</v>
      </c>
      <c r="B89" s="1832"/>
      <c r="D89" s="2" t="str">
        <f t="shared" si="0"/>
        <v>OK</v>
      </c>
      <c r="G89" s="1859">
        <v>102630800</v>
      </c>
    </row>
    <row r="90" spans="1:7" ht="15" x14ac:dyDescent="0.25">
      <c r="A90" s="10">
        <v>29</v>
      </c>
      <c r="B90" s="1832"/>
      <c r="D90" s="2" t="str">
        <f t="shared" si="0"/>
        <v>OK</v>
      </c>
      <c r="G90" s="1859">
        <v>102640300</v>
      </c>
    </row>
    <row r="91" spans="1:7" ht="15" x14ac:dyDescent="0.25">
      <c r="A91" s="5">
        <v>30</v>
      </c>
      <c r="B91" s="1832">
        <f>'Assets-Liab 5-6'!C34</f>
        <v>9263622</v>
      </c>
      <c r="C91" s="2" t="s">
        <v>569</v>
      </c>
      <c r="D91" s="2" t="str">
        <f t="shared" si="0"/>
        <v>Error?</v>
      </c>
      <c r="G91" s="1859">
        <v>102640400</v>
      </c>
    </row>
    <row r="92" spans="1:7" ht="15" x14ac:dyDescent="0.25">
      <c r="A92" s="5">
        <v>31</v>
      </c>
      <c r="B92" s="1832">
        <f>'Assets-Liab 5-6'!C39</f>
        <v>6527152</v>
      </c>
      <c r="D92" s="2" t="str">
        <f t="shared" si="0"/>
        <v>Error?</v>
      </c>
      <c r="G92" s="1859">
        <v>102640600</v>
      </c>
    </row>
    <row r="93" spans="1:7" ht="15" x14ac:dyDescent="0.25">
      <c r="A93" s="5">
        <v>32</v>
      </c>
      <c r="B93" s="1832">
        <f>'Assets-Liab 5-6'!C41</f>
        <v>15790774</v>
      </c>
      <c r="C93" s="2" t="s">
        <v>569</v>
      </c>
      <c r="D93" s="2" t="str">
        <f t="shared" si="0"/>
        <v>Error?</v>
      </c>
      <c r="G93" s="1859">
        <v>102640800</v>
      </c>
    </row>
    <row r="94" spans="1:7" ht="15" x14ac:dyDescent="0.25">
      <c r="A94" s="10">
        <v>33</v>
      </c>
      <c r="B94" s="1832"/>
      <c r="D94" s="2" t="str">
        <f t="shared" si="0"/>
        <v>OK</v>
      </c>
      <c r="G94" s="1859">
        <v>102660300</v>
      </c>
    </row>
    <row r="95" spans="1:7" ht="15" x14ac:dyDescent="0.25">
      <c r="A95" s="10">
        <v>34</v>
      </c>
      <c r="B95" s="1832"/>
      <c r="D95" s="2" t="str">
        <f t="shared" si="0"/>
        <v>OK</v>
      </c>
      <c r="G95" s="1859">
        <v>102660400</v>
      </c>
    </row>
    <row r="96" spans="1:7" ht="15" x14ac:dyDescent="0.25">
      <c r="A96" s="10">
        <v>35</v>
      </c>
      <c r="B96" s="1832"/>
      <c r="D96" s="2" t="str">
        <f t="shared" si="0"/>
        <v>OK</v>
      </c>
      <c r="G96" s="1859">
        <v>102660600</v>
      </c>
    </row>
    <row r="97" spans="1:7" ht="15" x14ac:dyDescent="0.25">
      <c r="A97" s="5">
        <v>36</v>
      </c>
      <c r="B97" s="1832">
        <f>'Assets-Liab 5-6'!D6</f>
        <v>1731563</v>
      </c>
      <c r="D97" s="2" t="str">
        <f t="shared" si="0"/>
        <v>Error?</v>
      </c>
      <c r="G97" s="1859">
        <v>102660800</v>
      </c>
    </row>
    <row r="98" spans="1:7" ht="15" x14ac:dyDescent="0.25">
      <c r="A98" s="10">
        <v>37</v>
      </c>
      <c r="B98" s="1832"/>
      <c r="D98" s="2" t="str">
        <f t="shared" si="0"/>
        <v>OK</v>
      </c>
      <c r="G98" s="1859">
        <v>102900300</v>
      </c>
    </row>
    <row r="99" spans="1:7" ht="15" x14ac:dyDescent="0.25">
      <c r="A99" s="10">
        <v>38</v>
      </c>
      <c r="B99" s="1832"/>
      <c r="D99" s="2" t="str">
        <f t="shared" si="0"/>
        <v>OK</v>
      </c>
      <c r="G99" s="1859">
        <v>102900400</v>
      </c>
    </row>
    <row r="100" spans="1:7" ht="15" x14ac:dyDescent="0.25">
      <c r="A100" s="10">
        <v>39</v>
      </c>
      <c r="B100" s="1832"/>
      <c r="D100" s="2" t="str">
        <f t="shared" si="0"/>
        <v>OK</v>
      </c>
      <c r="G100" s="1859">
        <v>102900600</v>
      </c>
    </row>
    <row r="101" spans="1:7" ht="15" x14ac:dyDescent="0.25">
      <c r="A101" s="10">
        <v>40</v>
      </c>
      <c r="B101" s="1832"/>
      <c r="D101" s="2" t="str">
        <f t="shared" si="0"/>
        <v>OK</v>
      </c>
      <c r="G101" s="1859">
        <v>102900800</v>
      </c>
    </row>
    <row r="102" spans="1:7" ht="15" x14ac:dyDescent="0.25">
      <c r="A102" s="10">
        <v>41</v>
      </c>
      <c r="B102" s="1832"/>
      <c r="D102" s="2" t="str">
        <f t="shared" si="0"/>
        <v>OK</v>
      </c>
      <c r="G102" s="1859">
        <v>202900300</v>
      </c>
    </row>
    <row r="103" spans="1:7" ht="15" x14ac:dyDescent="0.25">
      <c r="A103" s="10">
        <v>42</v>
      </c>
      <c r="B103" s="1832"/>
      <c r="D103" s="2" t="str">
        <f t="shared" si="0"/>
        <v>OK</v>
      </c>
      <c r="G103" s="1859">
        <v>202900400</v>
      </c>
    </row>
    <row r="104" spans="1:7" ht="15" x14ac:dyDescent="0.25">
      <c r="A104" s="5">
        <v>43</v>
      </c>
      <c r="B104" s="1832">
        <f>'Assets-Liab 5-6'!D10</f>
        <v>0</v>
      </c>
      <c r="D104" s="2" t="str">
        <f t="shared" si="0"/>
        <v>Error?</v>
      </c>
      <c r="G104" s="1859">
        <v>202900600</v>
      </c>
    </row>
    <row r="105" spans="1:7" ht="15" x14ac:dyDescent="0.25">
      <c r="A105" s="5">
        <v>44</v>
      </c>
      <c r="B105" s="1832">
        <f>'Assets-Liab 5-6'!D5</f>
        <v>1300000</v>
      </c>
      <c r="D105" s="2" t="str">
        <f t="shared" si="0"/>
        <v>Error?</v>
      </c>
      <c r="G105" s="1859">
        <v>202900800</v>
      </c>
    </row>
    <row r="106" spans="1:7" ht="15" x14ac:dyDescent="0.25">
      <c r="A106" s="10">
        <v>45</v>
      </c>
      <c r="B106" s="1832"/>
      <c r="D106" s="2" t="str">
        <f t="shared" si="0"/>
        <v>OK</v>
      </c>
      <c r="G106" s="1859">
        <v>402900300</v>
      </c>
    </row>
    <row r="107" spans="1:7" ht="15" x14ac:dyDescent="0.25">
      <c r="A107" s="10">
        <v>46</v>
      </c>
      <c r="B107" s="1832"/>
      <c r="D107" s="2" t="str">
        <f t="shared" si="0"/>
        <v>OK</v>
      </c>
      <c r="G107" s="1859">
        <v>402900400</v>
      </c>
    </row>
    <row r="108" spans="1:7" ht="15" x14ac:dyDescent="0.25">
      <c r="A108" s="5">
        <v>47</v>
      </c>
      <c r="B108" s="1832">
        <f>'Assets-Liab 5-6'!D12</f>
        <v>0</v>
      </c>
      <c r="D108" s="2" t="str">
        <f t="shared" si="0"/>
        <v>Error?</v>
      </c>
      <c r="G108" s="1859">
        <v>402900600</v>
      </c>
    </row>
    <row r="109" spans="1:7" ht="15" x14ac:dyDescent="0.25">
      <c r="A109" s="5">
        <v>48</v>
      </c>
      <c r="B109" s="1832">
        <f>'Assets-Liab 5-6'!D13</f>
        <v>6004755</v>
      </c>
      <c r="C109" s="2" t="s">
        <v>569</v>
      </c>
      <c r="D109" s="2" t="str">
        <f t="shared" si="0"/>
        <v>Error?</v>
      </c>
      <c r="G109" s="1859">
        <v>402900800</v>
      </c>
    </row>
    <row r="110" spans="1:7" ht="15" x14ac:dyDescent="0.25">
      <c r="A110" s="10">
        <v>49</v>
      </c>
      <c r="B110" s="1832"/>
      <c r="D110" s="2" t="str">
        <f t="shared" si="0"/>
        <v>OK</v>
      </c>
      <c r="G110" s="1859">
        <v>602900300</v>
      </c>
    </row>
    <row r="111" spans="1:7" ht="15" x14ac:dyDescent="0.25">
      <c r="A111" s="10">
        <v>50</v>
      </c>
      <c r="B111" s="1832"/>
      <c r="D111" s="2" t="str">
        <f t="shared" si="0"/>
        <v>OK</v>
      </c>
      <c r="G111" s="1859">
        <v>602900400</v>
      </c>
    </row>
    <row r="112" spans="1:7" ht="15" x14ac:dyDescent="0.25">
      <c r="A112" s="10">
        <v>51</v>
      </c>
      <c r="B112" s="1832"/>
      <c r="D112" s="2" t="str">
        <f t="shared" si="0"/>
        <v>OK</v>
      </c>
      <c r="G112" s="1859">
        <v>602900600</v>
      </c>
    </row>
    <row r="113" spans="1:7" ht="15" x14ac:dyDescent="0.25">
      <c r="A113" s="10">
        <v>52</v>
      </c>
      <c r="B113" s="1832"/>
      <c r="D113" s="2" t="str">
        <f t="shared" si="0"/>
        <v>OK</v>
      </c>
      <c r="G113" s="1859">
        <v>602900800</v>
      </c>
    </row>
    <row r="114" spans="1:7" ht="15" x14ac:dyDescent="0.25">
      <c r="A114" s="10">
        <v>53</v>
      </c>
      <c r="B114" s="1832"/>
      <c r="D114" s="2" t="str">
        <f t="shared" si="0"/>
        <v>OK</v>
      </c>
      <c r="G114" s="1859">
        <v>902900300</v>
      </c>
    </row>
    <row r="115" spans="1:7" ht="15" x14ac:dyDescent="0.25">
      <c r="A115" s="10">
        <v>54</v>
      </c>
      <c r="B115" s="1832"/>
      <c r="D115" s="2" t="str">
        <f t="shared" si="0"/>
        <v>OK</v>
      </c>
      <c r="G115" s="1859">
        <v>902900400</v>
      </c>
    </row>
    <row r="116" spans="1:7" ht="15" x14ac:dyDescent="0.25">
      <c r="A116" s="10">
        <v>55</v>
      </c>
      <c r="B116" s="1832"/>
      <c r="D116" s="2" t="str">
        <f t="shared" si="0"/>
        <v>OK</v>
      </c>
      <c r="G116" s="1859">
        <v>902900600</v>
      </c>
    </row>
    <row r="117" spans="1:7" ht="15" x14ac:dyDescent="0.25">
      <c r="A117" s="5">
        <v>56</v>
      </c>
      <c r="B117" s="1832">
        <f>'Assets-Liab 5-6'!D31</f>
        <v>0</v>
      </c>
      <c r="D117" s="2" t="str">
        <f t="shared" si="0"/>
        <v>Error?</v>
      </c>
      <c r="G117" s="1859">
        <v>902900800</v>
      </c>
    </row>
    <row r="118" spans="1:7" ht="15" x14ac:dyDescent="0.25">
      <c r="A118" s="10">
        <v>57</v>
      </c>
      <c r="B118" s="1832"/>
      <c r="D118" s="2" t="str">
        <f t="shared" si="0"/>
        <v>OK</v>
      </c>
      <c r="G118" s="1859">
        <v>103000300</v>
      </c>
    </row>
    <row r="119" spans="1:7" ht="15" x14ac:dyDescent="0.25">
      <c r="A119" s="5">
        <v>58</v>
      </c>
      <c r="B119" s="1832">
        <f>'Assets-Liab 5-6'!D32</f>
        <v>2322776</v>
      </c>
      <c r="D119" s="2" t="str">
        <f t="shared" si="0"/>
        <v>Error?</v>
      </c>
      <c r="G119" s="1859">
        <v>103000400</v>
      </c>
    </row>
    <row r="120" spans="1:7" ht="15" x14ac:dyDescent="0.25">
      <c r="A120" s="10">
        <v>59</v>
      </c>
      <c r="B120" s="1832"/>
      <c r="D120" s="2" t="str">
        <f t="shared" si="0"/>
        <v>OK</v>
      </c>
      <c r="G120" s="1859">
        <v>103000600</v>
      </c>
    </row>
    <row r="121" spans="1:7" ht="15" x14ac:dyDescent="0.25">
      <c r="A121" s="10">
        <v>60</v>
      </c>
      <c r="B121" s="1832"/>
      <c r="D121" s="2" t="str">
        <f t="shared" si="0"/>
        <v>OK</v>
      </c>
      <c r="G121" s="1859">
        <v>103000800</v>
      </c>
    </row>
    <row r="122" spans="1:7" ht="15" x14ac:dyDescent="0.25">
      <c r="A122" s="5">
        <v>61</v>
      </c>
      <c r="B122" s="1832">
        <f>'Assets-Liab 5-6'!D34</f>
        <v>2379525</v>
      </c>
      <c r="C122" s="2" t="s">
        <v>569</v>
      </c>
      <c r="D122" s="2" t="str">
        <f t="shared" si="0"/>
        <v>Error?</v>
      </c>
      <c r="G122" s="1859">
        <v>203000300</v>
      </c>
    </row>
    <row r="123" spans="1:7" ht="15" x14ac:dyDescent="0.25">
      <c r="A123" s="5">
        <v>62</v>
      </c>
      <c r="B123" s="1832">
        <f>'Assets-Liab 5-6'!D39</f>
        <v>3625230</v>
      </c>
      <c r="D123" s="2" t="str">
        <f t="shared" si="0"/>
        <v>Error?</v>
      </c>
      <c r="G123" s="1859">
        <v>203000400</v>
      </c>
    </row>
    <row r="124" spans="1:7" ht="15" x14ac:dyDescent="0.25">
      <c r="A124" s="5">
        <v>63</v>
      </c>
      <c r="B124" s="1832">
        <f>'Assets-Liab 5-6'!D41</f>
        <v>6004755</v>
      </c>
      <c r="C124" s="2" t="s">
        <v>569</v>
      </c>
      <c r="D124" s="2" t="str">
        <f t="shared" si="0"/>
        <v>Error?</v>
      </c>
      <c r="G124" s="1859">
        <v>203000600</v>
      </c>
    </row>
    <row r="125" spans="1:7" ht="15" x14ac:dyDescent="0.25">
      <c r="A125" s="10">
        <v>64</v>
      </c>
      <c r="B125" s="1832"/>
      <c r="D125" s="2" t="str">
        <f t="shared" si="0"/>
        <v>OK</v>
      </c>
      <c r="G125" s="1859">
        <v>203000800</v>
      </c>
    </row>
    <row r="126" spans="1:7" ht="15" x14ac:dyDescent="0.25">
      <c r="A126" s="5">
        <v>65</v>
      </c>
      <c r="B126" s="1832">
        <f>'Assets-Liab 5-6'!E6</f>
        <v>1186830</v>
      </c>
      <c r="D126" s="2" t="str">
        <f t="shared" si="0"/>
        <v>Error?</v>
      </c>
      <c r="G126" s="1859">
        <v>403000300</v>
      </c>
    </row>
    <row r="127" spans="1:7" ht="15" x14ac:dyDescent="0.25">
      <c r="A127" s="10">
        <v>66</v>
      </c>
      <c r="B127" s="1832"/>
      <c r="D127" s="2" t="str">
        <f t="shared" ref="D127:D190" si="1">IF(ISBLANK(B127),"OK",IF(A127-B127=0,"OK","Error?"))</f>
        <v>OK</v>
      </c>
      <c r="G127" s="1859">
        <v>403000400</v>
      </c>
    </row>
    <row r="128" spans="1:7" ht="15" x14ac:dyDescent="0.25">
      <c r="A128" s="10">
        <v>67</v>
      </c>
      <c r="B128" s="1832"/>
      <c r="D128" s="2" t="str">
        <f t="shared" si="1"/>
        <v>OK</v>
      </c>
      <c r="G128" s="1859">
        <v>403000600</v>
      </c>
    </row>
    <row r="129" spans="1:7" ht="15" x14ac:dyDescent="0.25">
      <c r="A129" s="5">
        <v>68</v>
      </c>
      <c r="B129" s="1832">
        <f>'Assets-Liab 5-6'!E5</f>
        <v>0</v>
      </c>
      <c r="D129" s="2" t="str">
        <f t="shared" si="1"/>
        <v>Error?</v>
      </c>
      <c r="G129" s="1859">
        <v>403000800</v>
      </c>
    </row>
    <row r="130" spans="1:7" x14ac:dyDescent="0.2">
      <c r="A130" s="5">
        <v>69</v>
      </c>
      <c r="B130" s="1832">
        <f>'Assets-Liab 5-6'!E12</f>
        <v>0</v>
      </c>
      <c r="D130" s="2" t="str">
        <f t="shared" si="1"/>
        <v>Error?</v>
      </c>
    </row>
    <row r="131" spans="1:7" x14ac:dyDescent="0.2">
      <c r="A131" s="5">
        <v>70</v>
      </c>
      <c r="B131" s="1832">
        <f>'Assets-Liab 5-6'!E13</f>
        <v>2639270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1666283</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1666283</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2639270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739458</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750000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2949075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991933</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1000020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2949075</v>
      </c>
      <c r="C171" s="2" t="s">
        <v>569</v>
      </c>
      <c r="D171" s="2" t="str">
        <f t="shared" si="1"/>
        <v>Error?</v>
      </c>
    </row>
    <row r="172" spans="1:4" x14ac:dyDescent="0.2">
      <c r="A172" s="10">
        <v>111</v>
      </c>
      <c r="B172" s="1832"/>
      <c r="D172" s="2" t="str">
        <f t="shared" si="1"/>
        <v>OK</v>
      </c>
    </row>
    <row r="173" spans="1:4" x14ac:dyDescent="0.2">
      <c r="A173" s="5">
        <v>112</v>
      </c>
      <c r="B173" s="1832">
        <f>'Assets-Liab 5-6'!G6</f>
        <v>751782</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2530347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1008465</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1036560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2530347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896641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2822</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896641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563816</v>
      </c>
      <c r="D273" s="2" t="str">
        <f t="shared" si="3"/>
        <v>Error?</v>
      </c>
    </row>
    <row r="274" spans="1:4" x14ac:dyDescent="0.2">
      <c r="A274" s="5">
        <v>213</v>
      </c>
      <c r="B274" s="1832">
        <f>'Assets-Liab 5-6'!M17</f>
        <v>11784426</v>
      </c>
      <c r="D274" s="2" t="str">
        <f t="shared" si="3"/>
        <v>Error?</v>
      </c>
    </row>
    <row r="275" spans="1:4" x14ac:dyDescent="0.2">
      <c r="A275" s="5">
        <v>214</v>
      </c>
      <c r="B275" s="1832">
        <f>'Assets-Liab 5-6'!M18</f>
        <v>13928714</v>
      </c>
      <c r="D275" s="2" t="str">
        <f t="shared" si="3"/>
        <v>Error?</v>
      </c>
    </row>
    <row r="276" spans="1:4" x14ac:dyDescent="0.2">
      <c r="A276" s="5">
        <v>215</v>
      </c>
      <c r="B276" s="1832">
        <f>'Assets-Liab 5-6'!M19</f>
        <v>1948640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28228418</v>
      </c>
      <c r="C279" s="2" t="s">
        <v>569</v>
      </c>
      <c r="D279" s="2" t="str">
        <f t="shared" si="3"/>
        <v>Error?</v>
      </c>
    </row>
    <row r="280" spans="1:4" x14ac:dyDescent="0.2">
      <c r="A280" s="5">
        <v>219</v>
      </c>
      <c r="B280" s="1832">
        <f>'Assets-Liab 5-6'!M40</f>
        <v>28228418</v>
      </c>
      <c r="D280" s="2" t="str">
        <f t="shared" si="3"/>
        <v>Error?</v>
      </c>
    </row>
    <row r="281" spans="1:4" x14ac:dyDescent="0.2">
      <c r="A281" s="5">
        <v>220</v>
      </c>
      <c r="B281" s="1832">
        <f>'Assets-Liab 5-6'!M41</f>
        <v>28228418</v>
      </c>
      <c r="C281" s="2" t="s">
        <v>569</v>
      </c>
      <c r="D281" s="2" t="str">
        <f t="shared" si="3"/>
        <v>Error?</v>
      </c>
    </row>
    <row r="282" spans="1:4" x14ac:dyDescent="0.2">
      <c r="A282" s="5">
        <v>221</v>
      </c>
      <c r="B282" s="1832">
        <f>'Assets-Liab 5-6'!N21</f>
        <v>972987</v>
      </c>
      <c r="D282" s="2" t="str">
        <f t="shared" si="3"/>
        <v>Error?</v>
      </c>
    </row>
    <row r="283" spans="1:4" x14ac:dyDescent="0.2">
      <c r="A283" s="5">
        <v>222</v>
      </c>
      <c r="B283" s="1832">
        <f>'Assets-Liab 5-6'!N22</f>
        <v>7627013</v>
      </c>
      <c r="D283" s="2" t="str">
        <f t="shared" si="3"/>
        <v>Error?</v>
      </c>
    </row>
    <row r="284" spans="1:4" x14ac:dyDescent="0.2">
      <c r="A284" s="5">
        <v>223</v>
      </c>
      <c r="B284" s="1832">
        <f>'Assets-Liab 5-6'!N23</f>
        <v>8600000</v>
      </c>
      <c r="C284" s="2" t="s">
        <v>569</v>
      </c>
      <c r="D284" s="2" t="str">
        <f t="shared" si="3"/>
        <v>Error?</v>
      </c>
    </row>
    <row r="285" spans="1:4" x14ac:dyDescent="0.2">
      <c r="A285" s="5">
        <v>224</v>
      </c>
      <c r="B285" s="1832">
        <f>'Assets-Liab 5-6'!N36</f>
        <v>8600000</v>
      </c>
      <c r="D285" s="2" t="str">
        <f t="shared" si="3"/>
        <v>Error?</v>
      </c>
    </row>
    <row r="286" spans="1:4" x14ac:dyDescent="0.2">
      <c r="A286" s="10">
        <v>225</v>
      </c>
      <c r="B286" s="1832"/>
      <c r="D286" s="2" t="str">
        <f t="shared" si="3"/>
        <v>OK</v>
      </c>
    </row>
    <row r="287" spans="1:4" x14ac:dyDescent="0.2">
      <c r="A287" s="5">
        <v>226</v>
      </c>
      <c r="B287" s="1832">
        <f>'Assets-Liab 5-6'!N37</f>
        <v>8600000</v>
      </c>
      <c r="C287" s="2" t="s">
        <v>569</v>
      </c>
      <c r="D287" s="2" t="str">
        <f t="shared" si="3"/>
        <v>Error?</v>
      </c>
    </row>
    <row r="288" spans="1:4" x14ac:dyDescent="0.2">
      <c r="A288" s="5">
        <v>227</v>
      </c>
      <c r="B288" s="1832">
        <f>'Assets-Liab 5-6'!N41</f>
        <v>8600000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4371599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141110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588545</v>
      </c>
      <c r="D717" s="2" t="str">
        <f t="shared" si="10"/>
        <v>Error?</v>
      </c>
    </row>
    <row r="718" spans="1:4" x14ac:dyDescent="0.2">
      <c r="A718" s="5">
        <v>657</v>
      </c>
      <c r="B718" s="1832">
        <f>'Expenditures 15-22'!C14</f>
        <v>530197</v>
      </c>
      <c r="D718" s="2" t="str">
        <f t="shared" si="10"/>
        <v>Error?</v>
      </c>
    </row>
    <row r="719" spans="1:4" x14ac:dyDescent="0.2">
      <c r="A719" s="5">
        <v>658</v>
      </c>
      <c r="B719" s="1832">
        <f>'Expenditures 15-22'!C15</f>
        <v>3385</v>
      </c>
      <c r="D719" s="2" t="str">
        <f t="shared" si="10"/>
        <v>Error?</v>
      </c>
    </row>
    <row r="720" spans="1:4" x14ac:dyDescent="0.2">
      <c r="A720" s="5">
        <v>659</v>
      </c>
      <c r="B720" s="1832">
        <f>'Expenditures 15-22'!C33</f>
        <v>7537152</v>
      </c>
      <c r="C720" s="2" t="s">
        <v>569</v>
      </c>
      <c r="D720" s="2" t="str">
        <f t="shared" si="10"/>
        <v>Error?</v>
      </c>
    </row>
    <row r="721" spans="1:4" x14ac:dyDescent="0.2">
      <c r="A721" s="5">
        <v>660</v>
      </c>
      <c r="B721" s="1832">
        <f>'Expenditures 15-22'!C36</f>
        <v>234575</v>
      </c>
      <c r="D721" s="2" t="str">
        <f t="shared" si="10"/>
        <v>Error?</v>
      </c>
    </row>
    <row r="722" spans="1:4" x14ac:dyDescent="0.2">
      <c r="A722" s="5">
        <v>661</v>
      </c>
      <c r="B722" s="1832">
        <f>'Expenditures 15-22'!C37</f>
        <v>425764</v>
      </c>
      <c r="D722" s="2" t="str">
        <f t="shared" si="10"/>
        <v>Error?</v>
      </c>
    </row>
    <row r="723" spans="1:4" x14ac:dyDescent="0.2">
      <c r="A723" s="5">
        <v>662</v>
      </c>
      <c r="B723" s="1832">
        <f>'Expenditures 15-22'!C38</f>
        <v>26081</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20879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707299</v>
      </c>
      <c r="C727" s="2" t="s">
        <v>569</v>
      </c>
      <c r="D727" s="2" t="str">
        <f t="shared" si="10"/>
        <v>Error?</v>
      </c>
    </row>
    <row r="728" spans="1:4" x14ac:dyDescent="0.2">
      <c r="A728" s="5">
        <v>667</v>
      </c>
      <c r="B728" s="1832">
        <f>'Expenditures 15-22'!C44</f>
        <v>123552</v>
      </c>
      <c r="D728" s="2" t="str">
        <f t="shared" si="10"/>
        <v>Error?</v>
      </c>
    </row>
    <row r="729" spans="1:4" x14ac:dyDescent="0.2">
      <c r="A729" s="5">
        <v>668</v>
      </c>
      <c r="B729" s="1832">
        <f>'Expenditures 15-22'!C45</f>
        <v>160332</v>
      </c>
      <c r="D729" s="2" t="str">
        <f t="shared" si="10"/>
        <v>Error?</v>
      </c>
    </row>
    <row r="730" spans="1:4" x14ac:dyDescent="0.2">
      <c r="A730" s="5">
        <v>669</v>
      </c>
      <c r="B730" s="1832">
        <f>'Expenditures 15-22'!C46</f>
        <v>1125</v>
      </c>
      <c r="D730" s="2" t="str">
        <f t="shared" si="10"/>
        <v>Error?</v>
      </c>
    </row>
    <row r="731" spans="1:4" x14ac:dyDescent="0.2">
      <c r="A731" s="5">
        <v>670</v>
      </c>
      <c r="B731" s="1832">
        <f>'Expenditures 15-22'!C47</f>
        <v>285009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174180</v>
      </c>
      <c r="D733" s="2" t="str">
        <f t="shared" si="10"/>
        <v>Error?</v>
      </c>
    </row>
    <row r="734" spans="1:4" x14ac:dyDescent="0.2">
      <c r="A734" s="5">
        <v>673</v>
      </c>
      <c r="B734" s="1832">
        <f>'Expenditures 15-22'!C53</f>
        <v>174180</v>
      </c>
      <c r="C734" s="2" t="s">
        <v>569</v>
      </c>
      <c r="D734" s="2" t="str">
        <f t="shared" si="10"/>
        <v>Error?</v>
      </c>
    </row>
    <row r="735" spans="1:4" x14ac:dyDescent="0.2">
      <c r="A735" s="5">
        <v>674</v>
      </c>
      <c r="B735" s="1832">
        <f>'Expenditures 15-22'!C55</f>
        <v>634372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634372</v>
      </c>
      <c r="C737" s="2" t="s">
        <v>569</v>
      </c>
      <c r="D737" s="2" t="str">
        <f t="shared" si="10"/>
        <v>Error?</v>
      </c>
    </row>
    <row r="738" spans="1:4" x14ac:dyDescent="0.2">
      <c r="A738" s="5">
        <v>677</v>
      </c>
      <c r="B738" s="1832">
        <f>'Expenditures 15-22'!C59</f>
        <v>114495</v>
      </c>
      <c r="D738" s="2" t="str">
        <f t="shared" si="10"/>
        <v>Error?</v>
      </c>
    </row>
    <row r="739" spans="1:4" x14ac:dyDescent="0.2">
      <c r="A739" s="5">
        <v>678</v>
      </c>
      <c r="B739" s="1832">
        <f>'Expenditures 15-22'!C60</f>
        <v>89590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277822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481907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32189</v>
      </c>
      <c r="D749" s="2" t="str">
        <f t="shared" si="10"/>
        <v>Error?</v>
      </c>
    </row>
    <row r="750" spans="1:4" x14ac:dyDescent="0.2">
      <c r="A750" s="10">
        <v>689</v>
      </c>
      <c r="B750" s="1832"/>
      <c r="D750" s="2" t="str">
        <f t="shared" si="10"/>
        <v>OK</v>
      </c>
    </row>
    <row r="751" spans="1:4" x14ac:dyDescent="0.2">
      <c r="A751" s="5">
        <v>690</v>
      </c>
      <c r="B751" s="1832">
        <f>'Expenditures 15-22'!C71</f>
        <v>63332</v>
      </c>
      <c r="D751" s="2" t="str">
        <f t="shared" si="10"/>
        <v>Error?</v>
      </c>
    </row>
    <row r="752" spans="1:4" x14ac:dyDescent="0.2">
      <c r="A752" s="10">
        <v>691</v>
      </c>
      <c r="B752" s="1832"/>
      <c r="D752" s="2" t="str">
        <f t="shared" si="10"/>
        <v>OK</v>
      </c>
    </row>
    <row r="753" spans="1:4" x14ac:dyDescent="0.2">
      <c r="A753" s="5">
        <v>692</v>
      </c>
      <c r="B753" s="1832">
        <f>'Expenditures 15-22'!C72</f>
        <v>95521</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2378288</v>
      </c>
      <c r="C755" s="2" t="s">
        <v>569</v>
      </c>
      <c r="D755" s="2" t="str">
        <f t="shared" si="10"/>
        <v>Error?</v>
      </c>
    </row>
    <row r="756" spans="1:4" x14ac:dyDescent="0.2">
      <c r="A756" s="5">
        <v>695</v>
      </c>
      <c r="B756" s="1832">
        <f>'Expenditures 15-22'!C75</f>
        <v>6685</v>
      </c>
      <c r="D756" s="2" t="str">
        <f t="shared" si="10"/>
        <v>Error?</v>
      </c>
    </row>
    <row r="757" spans="1:4" x14ac:dyDescent="0.2">
      <c r="A757" s="5">
        <v>696</v>
      </c>
      <c r="B757" s="1832">
        <f>'Expenditures 15-22'!C114</f>
        <v>9922125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973876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47353</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126543</v>
      </c>
      <c r="D775" s="2" t="str">
        <f t="shared" si="11"/>
        <v>Error?</v>
      </c>
    </row>
    <row r="776" spans="1:4" x14ac:dyDescent="0.2">
      <c r="A776" s="5">
        <v>715</v>
      </c>
      <c r="B776" s="1832">
        <f>'Expenditures 15-22'!D14</f>
        <v>41917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1564552</v>
      </c>
      <c r="C778" s="2" t="s">
        <v>569</v>
      </c>
      <c r="D778" s="2" t="str">
        <f t="shared" si="11"/>
        <v>Error?</v>
      </c>
    </row>
    <row r="779" spans="1:4" x14ac:dyDescent="0.2">
      <c r="A779" s="5">
        <v>718</v>
      </c>
      <c r="B779" s="1832">
        <f>'Expenditures 15-22'!D36</f>
        <v>50227</v>
      </c>
      <c r="D779" s="2" t="str">
        <f t="shared" si="11"/>
        <v>Error?</v>
      </c>
    </row>
    <row r="780" spans="1:4" x14ac:dyDescent="0.2">
      <c r="A780" s="5">
        <v>719</v>
      </c>
      <c r="B780" s="1832">
        <f>'Expenditures 15-22'!D37</f>
        <v>75438</v>
      </c>
      <c r="D780" s="2" t="str">
        <f t="shared" si="11"/>
        <v>Error?</v>
      </c>
    </row>
    <row r="781" spans="1:4" x14ac:dyDescent="0.2">
      <c r="A781" s="5">
        <v>720</v>
      </c>
      <c r="B781" s="1832">
        <f>'Expenditures 15-22'!D38</f>
        <v>7829</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3825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137319</v>
      </c>
      <c r="C785" s="2" t="s">
        <v>569</v>
      </c>
      <c r="D785" s="2" t="str">
        <f t="shared" si="11"/>
        <v>Error?</v>
      </c>
    </row>
    <row r="786" spans="1:4" x14ac:dyDescent="0.2">
      <c r="A786" s="5">
        <v>725</v>
      </c>
      <c r="B786" s="1832">
        <f>'Expenditures 15-22'!D44</f>
        <v>31284</v>
      </c>
      <c r="D786" s="2" t="str">
        <f t="shared" si="11"/>
        <v>Error?</v>
      </c>
    </row>
    <row r="787" spans="1:4" x14ac:dyDescent="0.2">
      <c r="A787" s="5">
        <v>726</v>
      </c>
      <c r="B787" s="1832">
        <f>'Expenditures 15-22'!D45</f>
        <v>25496</v>
      </c>
      <c r="D787" s="2" t="str">
        <f t="shared" si="11"/>
        <v>Error?</v>
      </c>
    </row>
    <row r="788" spans="1:4" x14ac:dyDescent="0.2">
      <c r="A788" s="5">
        <v>727</v>
      </c>
      <c r="B788" s="1832">
        <f>'Expenditures 15-22'!D46</f>
        <v>101</v>
      </c>
      <c r="D788" s="2" t="str">
        <f t="shared" si="11"/>
        <v>Error?</v>
      </c>
    </row>
    <row r="789" spans="1:4" x14ac:dyDescent="0.2">
      <c r="A789" s="5">
        <v>728</v>
      </c>
      <c r="B789" s="1832">
        <f>'Expenditures 15-22'!D47</f>
        <v>56881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39814</v>
      </c>
      <c r="D791" s="2" t="str">
        <f t="shared" si="11"/>
        <v>Error?</v>
      </c>
    </row>
    <row r="792" spans="1:4" x14ac:dyDescent="0.2">
      <c r="A792" s="5">
        <v>731</v>
      </c>
      <c r="B792" s="1832">
        <f>'Expenditures 15-22'!D53</f>
        <v>39814</v>
      </c>
      <c r="C792" s="2" t="s">
        <v>569</v>
      </c>
      <c r="D792" s="2" t="str">
        <f t="shared" si="11"/>
        <v>Error?</v>
      </c>
    </row>
    <row r="793" spans="1:4" x14ac:dyDescent="0.2">
      <c r="A793" s="5">
        <v>732</v>
      </c>
      <c r="B793" s="1832">
        <f>'Expenditures 15-22'!D55</f>
        <v>136724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136724</v>
      </c>
      <c r="C795" s="2" t="s">
        <v>569</v>
      </c>
      <c r="D795" s="2" t="str">
        <f t="shared" si="11"/>
        <v>Error?</v>
      </c>
    </row>
    <row r="796" spans="1:4" x14ac:dyDescent="0.2">
      <c r="A796" s="5">
        <v>735</v>
      </c>
      <c r="B796" s="1832">
        <f>'Expenditures 15-22'!D59</f>
        <v>18021</v>
      </c>
      <c r="D796" s="2" t="str">
        <f t="shared" si="11"/>
        <v>Error?</v>
      </c>
    </row>
    <row r="797" spans="1:4" x14ac:dyDescent="0.2">
      <c r="A797" s="5">
        <v>736</v>
      </c>
      <c r="B797" s="1832">
        <f>'Expenditures 15-22'!D60</f>
        <v>13361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55255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86637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7321</v>
      </c>
      <c r="D807" s="2" t="str">
        <f t="shared" si="11"/>
        <v>Error?</v>
      </c>
    </row>
    <row r="808" spans="1:4" x14ac:dyDescent="0.2">
      <c r="A808" s="10">
        <v>747</v>
      </c>
      <c r="B808" s="1832"/>
      <c r="D808" s="2" t="str">
        <f t="shared" si="11"/>
        <v>OK</v>
      </c>
    </row>
    <row r="809" spans="1:4" x14ac:dyDescent="0.2">
      <c r="A809" s="5">
        <v>748</v>
      </c>
      <c r="B809" s="1832">
        <f>'Expenditures 15-22'!D71</f>
        <v>11022</v>
      </c>
      <c r="D809" s="2" t="str">
        <f t="shared" si="11"/>
        <v>Error?</v>
      </c>
    </row>
    <row r="810" spans="1:4" x14ac:dyDescent="0.2">
      <c r="A810" s="10">
        <v>749</v>
      </c>
      <c r="B810" s="1832"/>
      <c r="D810" s="2" t="str">
        <f t="shared" si="11"/>
        <v>OK</v>
      </c>
    </row>
    <row r="811" spans="1:4" x14ac:dyDescent="0.2">
      <c r="A811" s="5">
        <v>750</v>
      </c>
      <c r="B811" s="1832">
        <f>'Expenditures 15-22'!D72</f>
        <v>18343</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475718</v>
      </c>
      <c r="C813" s="2" t="s">
        <v>569</v>
      </c>
      <c r="D813" s="2" t="str">
        <f t="shared" si="11"/>
        <v>Error?</v>
      </c>
    </row>
    <row r="814" spans="1:4" x14ac:dyDescent="0.2">
      <c r="A814" s="5">
        <v>753</v>
      </c>
      <c r="B814" s="1832">
        <f>'Expenditures 15-22'!D75</f>
        <v>1327</v>
      </c>
      <c r="D814" s="2" t="str">
        <f t="shared" si="11"/>
        <v>Error?</v>
      </c>
    </row>
    <row r="815" spans="1:4" x14ac:dyDescent="0.2">
      <c r="A815" s="5">
        <v>754</v>
      </c>
      <c r="B815" s="1832">
        <f>'Expenditures 15-22'!D114</f>
        <v>2041597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72725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3933</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3413</v>
      </c>
      <c r="D833" s="2" t="str">
        <f t="shared" si="12"/>
        <v>Error?</v>
      </c>
    </row>
    <row r="834" spans="1:4" x14ac:dyDescent="0.2">
      <c r="A834" s="5">
        <v>773</v>
      </c>
      <c r="B834" s="1832">
        <f>'Expenditures 15-22'!E14</f>
        <v>30358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138236</v>
      </c>
      <c r="C836" s="2" t="s">
        <v>569</v>
      </c>
      <c r="D836" s="2" t="str">
        <f t="shared" si="12"/>
        <v>Error?</v>
      </c>
    </row>
    <row r="837" spans="1:4" x14ac:dyDescent="0.2">
      <c r="A837" s="5">
        <v>776</v>
      </c>
      <c r="B837" s="1832">
        <f>'Expenditures 15-22'!E36</f>
        <v>72810</v>
      </c>
      <c r="D837" s="2" t="str">
        <f t="shared" si="12"/>
        <v>Error?</v>
      </c>
    </row>
    <row r="838" spans="1:4" x14ac:dyDescent="0.2">
      <c r="A838" s="5">
        <v>777</v>
      </c>
      <c r="B838" s="1832">
        <f>'Expenditures 15-22'!E37</f>
        <v>2108</v>
      </c>
      <c r="D838" s="2" t="str">
        <f t="shared" si="12"/>
        <v>Error?</v>
      </c>
    </row>
    <row r="839" spans="1:4" x14ac:dyDescent="0.2">
      <c r="A839" s="5">
        <v>778</v>
      </c>
      <c r="B839" s="1832">
        <f>'Expenditures 15-22'!E38</f>
        <v>477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8615</v>
      </c>
      <c r="D842" s="2" t="str">
        <f t="shared" si="12"/>
        <v>Error?</v>
      </c>
    </row>
    <row r="843" spans="1:4" x14ac:dyDescent="0.2">
      <c r="A843" s="5">
        <v>782</v>
      </c>
      <c r="B843" s="1832">
        <f>'Expenditures 15-22'!E42</f>
        <v>84010</v>
      </c>
      <c r="C843" s="2" t="s">
        <v>569</v>
      </c>
      <c r="D843" s="2" t="str">
        <f t="shared" si="12"/>
        <v>Error?</v>
      </c>
    </row>
    <row r="844" spans="1:4" x14ac:dyDescent="0.2">
      <c r="A844" s="5">
        <v>783</v>
      </c>
      <c r="B844" s="1832">
        <f>'Expenditures 15-22'!E44</f>
        <v>24371</v>
      </c>
      <c r="D844" s="2" t="str">
        <f t="shared" si="12"/>
        <v>Error?</v>
      </c>
    </row>
    <row r="845" spans="1:4" x14ac:dyDescent="0.2">
      <c r="A845" s="5">
        <v>784</v>
      </c>
      <c r="B845" s="1832">
        <f>'Expenditures 15-22'!E45</f>
        <v>255918</v>
      </c>
      <c r="D845" s="2" t="str">
        <f t="shared" si="12"/>
        <v>Error?</v>
      </c>
    </row>
    <row r="846" spans="1:4" x14ac:dyDescent="0.2">
      <c r="A846" s="5">
        <v>785</v>
      </c>
      <c r="B846" s="1832">
        <f>'Expenditures 15-22'!E46</f>
        <v>28937</v>
      </c>
      <c r="D846" s="2" t="str">
        <f t="shared" si="12"/>
        <v>Error?</v>
      </c>
    </row>
    <row r="847" spans="1:4" x14ac:dyDescent="0.2">
      <c r="A847" s="5">
        <v>786</v>
      </c>
      <c r="B847" s="1832">
        <f>'Expenditures 15-22'!E47</f>
        <v>309226</v>
      </c>
      <c r="C847" s="2" t="s">
        <v>569</v>
      </c>
      <c r="D847" s="2" t="str">
        <f t="shared" si="12"/>
        <v>Error?</v>
      </c>
    </row>
    <row r="848" spans="1:4" x14ac:dyDescent="0.2">
      <c r="A848" s="5">
        <v>787</v>
      </c>
      <c r="B848" s="1832">
        <f>'Expenditures 15-22'!E49</f>
        <v>44362</v>
      </c>
      <c r="D848" s="2" t="str">
        <f t="shared" si="12"/>
        <v>Error?</v>
      </c>
    </row>
    <row r="849" spans="1:4" x14ac:dyDescent="0.2">
      <c r="A849" s="5">
        <v>788</v>
      </c>
      <c r="B849" s="1832">
        <f>'Expenditures 15-22'!E50</f>
        <v>269</v>
      </c>
      <c r="D849" s="2" t="str">
        <f t="shared" si="12"/>
        <v>Error?</v>
      </c>
    </row>
    <row r="850" spans="1:4" x14ac:dyDescent="0.2">
      <c r="A850" s="5">
        <v>789</v>
      </c>
      <c r="B850" s="1832">
        <f>'Expenditures 15-22'!E53</f>
        <v>44631</v>
      </c>
      <c r="C850" s="2" t="s">
        <v>569</v>
      </c>
      <c r="D850" s="2" t="str">
        <f t="shared" si="12"/>
        <v>Error?</v>
      </c>
    </row>
    <row r="851" spans="1:4" x14ac:dyDescent="0.2">
      <c r="A851" s="5">
        <v>790</v>
      </c>
      <c r="B851" s="1832">
        <f>'Expenditures 15-22'!E55</f>
        <v>16584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16584</v>
      </c>
      <c r="C853" s="2" t="s">
        <v>569</v>
      </c>
      <c r="D853" s="2" t="str">
        <f t="shared" si="12"/>
        <v>Error?</v>
      </c>
    </row>
    <row r="854" spans="1:4" x14ac:dyDescent="0.2">
      <c r="A854" s="5">
        <v>793</v>
      </c>
      <c r="B854" s="1832">
        <f>'Expenditures 15-22'!E59</f>
        <v>304</v>
      </c>
      <c r="D854" s="2" t="str">
        <f t="shared" si="12"/>
        <v>Error?</v>
      </c>
    </row>
    <row r="855" spans="1:4" x14ac:dyDescent="0.2">
      <c r="A855" s="5">
        <v>794</v>
      </c>
      <c r="B855" s="1832">
        <f>'Expenditures 15-22'!E60</f>
        <v>2586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11519</v>
      </c>
      <c r="D858" s="2" t="str">
        <f t="shared" si="12"/>
        <v>Error?</v>
      </c>
    </row>
    <row r="859" spans="1:4" x14ac:dyDescent="0.2">
      <c r="A859" s="5">
        <v>798</v>
      </c>
      <c r="B859" s="1832">
        <f>'Expenditures 15-22'!E64</f>
        <v>12899</v>
      </c>
      <c r="D859" s="2" t="str">
        <f t="shared" si="12"/>
        <v>Error?</v>
      </c>
    </row>
    <row r="860" spans="1:4" x14ac:dyDescent="0.2">
      <c r="A860" s="10">
        <v>799</v>
      </c>
      <c r="B860" s="1832"/>
      <c r="D860" s="2" t="str">
        <f t="shared" si="12"/>
        <v>OK</v>
      </c>
    </row>
    <row r="861" spans="1:4" x14ac:dyDescent="0.2">
      <c r="A861" s="5">
        <v>800</v>
      </c>
      <c r="B861" s="1832">
        <f>'Expenditures 15-22'!E65</f>
        <v>27308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10503</v>
      </c>
      <c r="D865" s="2" t="str">
        <f t="shared" si="12"/>
        <v>Error?</v>
      </c>
    </row>
    <row r="866" spans="1:4" x14ac:dyDescent="0.2">
      <c r="A866" s="10">
        <v>805</v>
      </c>
      <c r="B866" s="1832"/>
      <c r="D866" s="2" t="str">
        <f t="shared" si="12"/>
        <v>OK</v>
      </c>
    </row>
    <row r="867" spans="1:4" x14ac:dyDescent="0.2">
      <c r="A867" s="5">
        <v>806</v>
      </c>
      <c r="B867" s="1832">
        <f>'Expenditures 15-22'!E71</f>
        <v>42516</v>
      </c>
      <c r="D867" s="2" t="str">
        <f t="shared" si="12"/>
        <v>Error?</v>
      </c>
    </row>
    <row r="868" spans="1:4" x14ac:dyDescent="0.2">
      <c r="A868" s="10">
        <v>807</v>
      </c>
      <c r="B868" s="1832"/>
      <c r="D868" s="2" t="str">
        <f t="shared" si="12"/>
        <v>OK</v>
      </c>
    </row>
    <row r="869" spans="1:4" x14ac:dyDescent="0.2">
      <c r="A869" s="5">
        <v>808</v>
      </c>
      <c r="B869" s="1832">
        <f>'Expenditures 15-22'!E72</f>
        <v>53019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534778</v>
      </c>
      <c r="C871" s="2" t="s">
        <v>569</v>
      </c>
      <c r="D871" s="2" t="str">
        <f t="shared" si="12"/>
        <v>Error?</v>
      </c>
    </row>
    <row r="872" spans="1:4" x14ac:dyDescent="0.2">
      <c r="A872" s="5">
        <v>811</v>
      </c>
      <c r="B872" s="1832">
        <f>'Expenditures 15-22'!E75</f>
        <v>69624</v>
      </c>
      <c r="D872" s="2" t="str">
        <f t="shared" si="12"/>
        <v>Error?</v>
      </c>
    </row>
    <row r="873" spans="1:4" x14ac:dyDescent="0.2">
      <c r="A873" s="5">
        <v>812</v>
      </c>
      <c r="B873" s="1832">
        <f>'Expenditures 15-22'!E114</f>
        <v>1005661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72301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901</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20210</v>
      </c>
      <c r="D891" s="2" t="str">
        <f t="shared" si="12"/>
        <v>Error?</v>
      </c>
    </row>
    <row r="892" spans="1:4" x14ac:dyDescent="0.2">
      <c r="A892" s="5">
        <v>831</v>
      </c>
      <c r="B892" s="1832">
        <f>'Expenditures 15-22'!F14</f>
        <v>27090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198183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2436</v>
      </c>
      <c r="D896" s="2" t="str">
        <f t="shared" si="13"/>
        <v>Error?</v>
      </c>
    </row>
    <row r="897" spans="1:4" x14ac:dyDescent="0.2">
      <c r="A897" s="5">
        <v>836</v>
      </c>
      <c r="B897" s="1832">
        <f>'Expenditures 15-22'!F38</f>
        <v>865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7487</v>
      </c>
      <c r="D900" s="2" t="str">
        <f t="shared" si="13"/>
        <v>Error?</v>
      </c>
    </row>
    <row r="901" spans="1:4" x14ac:dyDescent="0.2">
      <c r="A901" s="5">
        <v>840</v>
      </c>
      <c r="B901" s="1832">
        <f>'Expenditures 15-22'!F42</f>
        <v>10788</v>
      </c>
      <c r="C901" s="2" t="s">
        <v>569</v>
      </c>
      <c r="D901" s="2" t="str">
        <f t="shared" si="13"/>
        <v>Error?</v>
      </c>
    </row>
    <row r="902" spans="1:4" x14ac:dyDescent="0.2">
      <c r="A902" s="5">
        <v>841</v>
      </c>
      <c r="B902" s="1832">
        <f>'Expenditures 15-22'!F44</f>
        <v>4044</v>
      </c>
      <c r="D902" s="2" t="str">
        <f t="shared" si="13"/>
        <v>Error?</v>
      </c>
    </row>
    <row r="903" spans="1:4" x14ac:dyDescent="0.2">
      <c r="A903" s="5">
        <v>842</v>
      </c>
      <c r="B903" s="1832">
        <f>'Expenditures 15-22'!F45</f>
        <v>21734</v>
      </c>
      <c r="D903" s="2" t="str">
        <f t="shared" si="13"/>
        <v>Error?</v>
      </c>
    </row>
    <row r="904" spans="1:4" x14ac:dyDescent="0.2">
      <c r="A904" s="5">
        <v>843</v>
      </c>
      <c r="B904" s="1832">
        <f>'Expenditures 15-22'!F46</f>
        <v>3611</v>
      </c>
      <c r="D904" s="2" t="str">
        <f t="shared" si="13"/>
        <v>Error?</v>
      </c>
    </row>
    <row r="905" spans="1:4" x14ac:dyDescent="0.2">
      <c r="A905" s="5">
        <v>844</v>
      </c>
      <c r="B905" s="1832">
        <f>'Expenditures 15-22'!F47</f>
        <v>29389</v>
      </c>
      <c r="C905" s="2" t="s">
        <v>569</v>
      </c>
      <c r="D905" s="2" t="str">
        <f t="shared" si="13"/>
        <v>Error?</v>
      </c>
    </row>
    <row r="906" spans="1:4" x14ac:dyDescent="0.2">
      <c r="A906" s="5">
        <v>845</v>
      </c>
      <c r="B906" s="1832">
        <f>'Expenditures 15-22'!F49</f>
        <v>528</v>
      </c>
      <c r="D906" s="2" t="str">
        <f t="shared" si="13"/>
        <v>Error?</v>
      </c>
    </row>
    <row r="907" spans="1:4" x14ac:dyDescent="0.2">
      <c r="A907" s="5">
        <v>846</v>
      </c>
      <c r="B907" s="1832">
        <f>'Expenditures 15-22'!F50</f>
        <v>524</v>
      </c>
      <c r="D907" s="2" t="str">
        <f t="shared" si="13"/>
        <v>Error?</v>
      </c>
    </row>
    <row r="908" spans="1:4" x14ac:dyDescent="0.2">
      <c r="A908" s="5">
        <v>847</v>
      </c>
      <c r="B908" s="1832">
        <f>'Expenditures 15-22'!F53</f>
        <v>1052</v>
      </c>
      <c r="C908" s="2" t="s">
        <v>569</v>
      </c>
      <c r="D908" s="2" t="str">
        <f t="shared" si="13"/>
        <v>Error?</v>
      </c>
    </row>
    <row r="909" spans="1:4" x14ac:dyDescent="0.2">
      <c r="A909" s="5">
        <v>848</v>
      </c>
      <c r="B909" s="1832">
        <f>'Expenditures 15-22'!F55</f>
        <v>3817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3817</v>
      </c>
      <c r="C911" s="2" t="s">
        <v>569</v>
      </c>
      <c r="D911" s="2" t="str">
        <f t="shared" si="13"/>
        <v>Error?</v>
      </c>
    </row>
    <row r="912" spans="1:4" x14ac:dyDescent="0.2">
      <c r="A912" s="5">
        <v>851</v>
      </c>
      <c r="B912" s="1832">
        <f>'Expenditures 15-22'!F59</f>
        <v>124</v>
      </c>
      <c r="D912" s="2" t="str">
        <f t="shared" si="13"/>
        <v>Error?</v>
      </c>
    </row>
    <row r="913" spans="1:4" x14ac:dyDescent="0.2">
      <c r="A913" s="5">
        <v>852</v>
      </c>
      <c r="B913" s="1832">
        <f>'Expenditures 15-22'!F60</f>
        <v>2526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310537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313187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42</v>
      </c>
      <c r="D923" s="2" t="str">
        <f t="shared" si="13"/>
        <v>Error?</v>
      </c>
    </row>
    <row r="924" spans="1:4" x14ac:dyDescent="0.2">
      <c r="A924" s="10">
        <v>863</v>
      </c>
      <c r="B924" s="1832"/>
      <c r="D924" s="2" t="str">
        <f t="shared" si="13"/>
        <v>OK</v>
      </c>
    </row>
    <row r="925" spans="1:4" x14ac:dyDescent="0.2">
      <c r="A925" s="5">
        <v>864</v>
      </c>
      <c r="B925" s="1832">
        <f>'Expenditures 15-22'!F71</f>
        <v>1961</v>
      </c>
      <c r="D925" s="2" t="str">
        <f t="shared" si="13"/>
        <v>Error?</v>
      </c>
    </row>
    <row r="926" spans="1:4" x14ac:dyDescent="0.2">
      <c r="A926" s="10">
        <v>865</v>
      </c>
      <c r="B926" s="1832"/>
      <c r="D926" s="2" t="str">
        <f t="shared" si="13"/>
        <v>OK</v>
      </c>
    </row>
    <row r="927" spans="1:4" x14ac:dyDescent="0.2">
      <c r="A927" s="5">
        <v>866</v>
      </c>
      <c r="B927" s="1832">
        <f>'Expenditures 15-22'!F72</f>
        <v>2003</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360236</v>
      </c>
      <c r="C929" s="2" t="s">
        <v>569</v>
      </c>
      <c r="D929" s="2" t="str">
        <f t="shared" si="13"/>
        <v>Error?</v>
      </c>
    </row>
    <row r="930" spans="1:4" x14ac:dyDescent="0.2">
      <c r="A930" s="5">
        <v>869</v>
      </c>
      <c r="B930" s="1832">
        <f>'Expenditures 15-22'!F75</f>
        <v>839</v>
      </c>
      <c r="D930" s="2" t="str">
        <f t="shared" si="13"/>
        <v>Error?</v>
      </c>
    </row>
    <row r="931" spans="1:4" x14ac:dyDescent="0.2">
      <c r="A931" s="5">
        <v>870</v>
      </c>
      <c r="B931" s="1832">
        <f>'Expenditures 15-22'!F114</f>
        <v>559258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26532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5204</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5204</v>
      </c>
      <c r="C959" s="2" t="s">
        <v>569</v>
      </c>
      <c r="D959" s="2" t="str">
        <f t="shared" ref="D959:D1022" si="14">IF(ISBLANK(B959),"OK",IF(A959-B959=0,"OK","Error?"))</f>
        <v>Error?</v>
      </c>
    </row>
    <row r="960" spans="1:4" x14ac:dyDescent="0.2">
      <c r="A960" s="5">
        <v>899</v>
      </c>
      <c r="B960" s="1832">
        <f>'Expenditures 15-22'!G44</f>
        <v>1041</v>
      </c>
      <c r="D960" s="2" t="str">
        <f t="shared" si="14"/>
        <v>Error?</v>
      </c>
    </row>
    <row r="961" spans="1:4" x14ac:dyDescent="0.2">
      <c r="A961" s="5">
        <v>900</v>
      </c>
      <c r="B961" s="1832">
        <f>'Expenditures 15-22'!G45</f>
        <v>88843</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89884</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13294</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13294</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2027</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8790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10817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2716</v>
      </c>
      <c r="D983" s="2" t="str">
        <f t="shared" si="14"/>
        <v>Error?</v>
      </c>
    </row>
    <row r="984" spans="1:4" x14ac:dyDescent="0.2">
      <c r="A984" s="10">
        <v>923</v>
      </c>
      <c r="B984" s="1832"/>
      <c r="D984" s="2" t="str">
        <f t="shared" si="14"/>
        <v>OK</v>
      </c>
    </row>
    <row r="985" spans="1:4" x14ac:dyDescent="0.2">
      <c r="A985" s="5">
        <v>924</v>
      </c>
      <c r="B985" s="1832">
        <f>'Expenditures 15-22'!G72</f>
        <v>2716</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121915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148447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1986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15360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180748</v>
      </c>
      <c r="C1010" s="2" t="s">
        <v>569</v>
      </c>
      <c r="D1010" s="2" t="str">
        <f t="shared" si="14"/>
        <v>Error?</v>
      </c>
    </row>
    <row r="1011" spans="1:4" x14ac:dyDescent="0.2">
      <c r="A1011" s="5">
        <v>950</v>
      </c>
      <c r="B1011" s="1832">
        <f>'Expenditures 15-22'!H36</f>
        <v>744</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744</v>
      </c>
      <c r="C1017" s="2" t="s">
        <v>569</v>
      </c>
      <c r="D1017" s="2" t="str">
        <f t="shared" si="14"/>
        <v>Error?</v>
      </c>
    </row>
    <row r="1018" spans="1:4" x14ac:dyDescent="0.2">
      <c r="A1018" s="5">
        <v>957</v>
      </c>
      <c r="B1018" s="1832">
        <f>'Expenditures 15-22'!H44</f>
        <v>239</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239</v>
      </c>
      <c r="C1021" s="2" t="s">
        <v>569</v>
      </c>
      <c r="D1021" s="2" t="str">
        <f t="shared" si="14"/>
        <v>Error?</v>
      </c>
    </row>
    <row r="1022" spans="1:4" x14ac:dyDescent="0.2">
      <c r="A1022" s="5">
        <v>961</v>
      </c>
      <c r="B1022" s="1832">
        <f>'Expenditures 15-22'!H49</f>
        <v>5072</v>
      </c>
      <c r="D1022" s="2" t="str">
        <f t="shared" si="14"/>
        <v>Error?</v>
      </c>
    </row>
    <row r="1023" spans="1:4" x14ac:dyDescent="0.2">
      <c r="A1023" s="5">
        <v>962</v>
      </c>
      <c r="B1023" s="1832">
        <f>'Expenditures 15-22'!H50</f>
        <v>2602</v>
      </c>
      <c r="D1023" s="2" t="str">
        <f t="shared" ref="D1023:D1086" si="15">IF(ISBLANK(B1023),"OK",IF(A1023-B1023=0,"OK","Error?"))</f>
        <v>Error?</v>
      </c>
    </row>
    <row r="1024" spans="1:4" x14ac:dyDescent="0.2">
      <c r="A1024" s="5">
        <v>963</v>
      </c>
      <c r="B1024" s="1832">
        <f>'Expenditures 15-22'!H53</f>
        <v>7674</v>
      </c>
      <c r="C1024" s="2" t="s">
        <v>569</v>
      </c>
      <c r="D1024" s="2" t="str">
        <f t="shared" si="15"/>
        <v>Error?</v>
      </c>
    </row>
    <row r="1025" spans="1:4" x14ac:dyDescent="0.2">
      <c r="A1025" s="5">
        <v>964</v>
      </c>
      <c r="B1025" s="1832">
        <f>'Expenditures 15-22'!H55</f>
        <v>730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730</v>
      </c>
      <c r="C1027" s="2" t="s">
        <v>569</v>
      </c>
      <c r="D1027" s="2" t="str">
        <f t="shared" si="15"/>
        <v>Error?</v>
      </c>
    </row>
    <row r="1028" spans="1:4" x14ac:dyDescent="0.2">
      <c r="A1028" s="5">
        <v>967</v>
      </c>
      <c r="B1028" s="1832">
        <f>'Expenditures 15-22'!H59</f>
        <v>390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152</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542</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9929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1079681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1270358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5492487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193297</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738711</v>
      </c>
      <c r="C1105" s="2" t="s">
        <v>569</v>
      </c>
      <c r="D1105" s="2" t="str">
        <f t="shared" si="16"/>
        <v>Error?</v>
      </c>
    </row>
    <row r="1106" spans="1:4" x14ac:dyDescent="0.2">
      <c r="A1106" s="5">
        <v>1045</v>
      </c>
      <c r="B1106" s="1832">
        <f>'Expenditures 15-22'!K14</f>
        <v>644922</v>
      </c>
      <c r="C1106" s="2" t="s">
        <v>569</v>
      </c>
      <c r="D1106" s="2" t="str">
        <f t="shared" si="16"/>
        <v>Error?</v>
      </c>
    </row>
    <row r="1107" spans="1:4" x14ac:dyDescent="0.2">
      <c r="A1107" s="5">
        <v>1046</v>
      </c>
      <c r="B1107" s="1832">
        <f>'Expenditures 15-22'!K15</f>
        <v>3385</v>
      </c>
      <c r="C1107" s="2" t="s">
        <v>569</v>
      </c>
      <c r="D1107" s="2" t="str">
        <f t="shared" si="16"/>
        <v>Error?</v>
      </c>
    </row>
    <row r="1108" spans="1:4" x14ac:dyDescent="0.2">
      <c r="A1108" s="5">
        <v>1047</v>
      </c>
      <c r="B1108" s="1832">
        <f>'Expenditures 15-22'!K33</f>
        <v>9645403</v>
      </c>
      <c r="C1108" s="2" t="s">
        <v>569</v>
      </c>
      <c r="D1108" s="2" t="str">
        <f t="shared" si="16"/>
        <v>Error?</v>
      </c>
    </row>
    <row r="1109" spans="1:4" x14ac:dyDescent="0.2">
      <c r="A1109" s="5">
        <v>1048</v>
      </c>
      <c r="B1109" s="1832">
        <f>'Expenditures 15-22'!K36</f>
        <v>358356</v>
      </c>
      <c r="C1109" s="2" t="s">
        <v>569</v>
      </c>
      <c r="D1109" s="2" t="str">
        <f t="shared" si="16"/>
        <v>Error?</v>
      </c>
    </row>
    <row r="1110" spans="1:4" x14ac:dyDescent="0.2">
      <c r="A1110" s="5">
        <v>1049</v>
      </c>
      <c r="B1110" s="1832">
        <f>'Expenditures 15-22'!K37</f>
        <v>510950</v>
      </c>
      <c r="C1110" s="2" t="s">
        <v>569</v>
      </c>
      <c r="D1110" s="2" t="str">
        <f t="shared" si="16"/>
        <v>Error?</v>
      </c>
    </row>
    <row r="1111" spans="1:4" x14ac:dyDescent="0.2">
      <c r="A1111" s="5">
        <v>1050</v>
      </c>
      <c r="B1111" s="1832">
        <f>'Expenditures 15-22'!K38</f>
        <v>35252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24704</v>
      </c>
      <c r="C1113" s="2" t="s">
        <v>569</v>
      </c>
      <c r="D1113" s="2" t="str">
        <f t="shared" si="16"/>
        <v>Error?</v>
      </c>
    </row>
    <row r="1114" spans="1:4" x14ac:dyDescent="0.2">
      <c r="A1114" s="5">
        <v>1053</v>
      </c>
      <c r="B1114" s="1832">
        <f>'Expenditures 15-22'!K41</f>
        <v>16102</v>
      </c>
      <c r="C1114" s="2" t="s">
        <v>569</v>
      </c>
      <c r="D1114" s="2" t="str">
        <f t="shared" si="16"/>
        <v>Error?</v>
      </c>
    </row>
    <row r="1115" spans="1:4" x14ac:dyDescent="0.2">
      <c r="A1115" s="5">
        <v>1054</v>
      </c>
      <c r="B1115" s="1832">
        <f>'Expenditures 15-22'!K42</f>
        <v>945364</v>
      </c>
      <c r="C1115" s="2" t="s">
        <v>569</v>
      </c>
      <c r="D1115" s="2" t="str">
        <f t="shared" si="16"/>
        <v>Error?</v>
      </c>
    </row>
    <row r="1116" spans="1:4" x14ac:dyDescent="0.2">
      <c r="A1116" s="5">
        <v>1055</v>
      </c>
      <c r="B1116" s="1832">
        <f>'Expenditures 15-22'!K44</f>
        <v>184531</v>
      </c>
      <c r="C1116" s="2" t="s">
        <v>569</v>
      </c>
      <c r="D1116" s="2" t="str">
        <f t="shared" si="16"/>
        <v>Error?</v>
      </c>
    </row>
    <row r="1117" spans="1:4" x14ac:dyDescent="0.2">
      <c r="A1117" s="5">
        <v>1056</v>
      </c>
      <c r="B1117" s="1832">
        <f>'Expenditures 15-22'!K45</f>
        <v>552323</v>
      </c>
      <c r="C1117" s="2" t="s">
        <v>569</v>
      </c>
      <c r="D1117" s="2" t="str">
        <f t="shared" si="16"/>
        <v>Error?</v>
      </c>
    </row>
    <row r="1118" spans="1:4" x14ac:dyDescent="0.2">
      <c r="A1118" s="5">
        <v>1057</v>
      </c>
      <c r="B1118" s="1832">
        <f>'Expenditures 15-22'!K46</f>
        <v>33774</v>
      </c>
      <c r="C1118" s="2" t="s">
        <v>569</v>
      </c>
      <c r="D1118" s="2" t="str">
        <f t="shared" si="16"/>
        <v>Error?</v>
      </c>
    </row>
    <row r="1119" spans="1:4" x14ac:dyDescent="0.2">
      <c r="A1119" s="5">
        <v>1058</v>
      </c>
      <c r="B1119" s="1832">
        <f>'Expenditures 15-22'!K47</f>
        <v>770628</v>
      </c>
      <c r="C1119" s="2" t="s">
        <v>569</v>
      </c>
      <c r="D1119" s="2" t="str">
        <f t="shared" si="16"/>
        <v>Error?</v>
      </c>
    </row>
    <row r="1120" spans="1:4" x14ac:dyDescent="0.2">
      <c r="A1120" s="5">
        <v>1059</v>
      </c>
      <c r="B1120" s="1832">
        <f>'Expenditures 15-22'!K49</f>
        <v>49962</v>
      </c>
      <c r="C1120" s="2" t="s">
        <v>569</v>
      </c>
      <c r="D1120" s="2" t="str">
        <f t="shared" si="16"/>
        <v>Error?</v>
      </c>
    </row>
    <row r="1121" spans="1:4" x14ac:dyDescent="0.2">
      <c r="A1121" s="5">
        <v>1060</v>
      </c>
      <c r="B1121" s="1832">
        <f>'Expenditures 15-22'!K50</f>
        <v>217389</v>
      </c>
      <c r="C1121" s="2" t="s">
        <v>569</v>
      </c>
      <c r="D1121" s="2" t="str">
        <f t="shared" si="16"/>
        <v>Error?</v>
      </c>
    </row>
    <row r="1122" spans="1:4" x14ac:dyDescent="0.2">
      <c r="A1122" s="5">
        <v>1061</v>
      </c>
      <c r="B1122" s="1832">
        <f>'Expenditures 15-22'!K53</f>
        <v>267351</v>
      </c>
      <c r="C1122" s="2" t="s">
        <v>569</v>
      </c>
      <c r="D1122" s="2" t="str">
        <f t="shared" si="16"/>
        <v>Error?</v>
      </c>
    </row>
    <row r="1123" spans="1:4" x14ac:dyDescent="0.2">
      <c r="A1123" s="5">
        <v>1062</v>
      </c>
      <c r="B1123" s="1832">
        <f>'Expenditures 15-22'!K55</f>
        <v>805521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805521</v>
      </c>
      <c r="C1125" s="2" t="s">
        <v>569</v>
      </c>
      <c r="D1125" s="2" t="str">
        <f t="shared" si="16"/>
        <v>Error?</v>
      </c>
    </row>
    <row r="1126" spans="1:4" x14ac:dyDescent="0.2">
      <c r="A1126" s="5">
        <v>1065</v>
      </c>
      <c r="B1126" s="1832">
        <f>'Expenditures 15-22'!K59</f>
        <v>133334</v>
      </c>
      <c r="C1126" s="2" t="s">
        <v>569</v>
      </c>
      <c r="D1126" s="2" t="str">
        <f t="shared" si="16"/>
        <v>Error?</v>
      </c>
    </row>
    <row r="1127" spans="1:4" x14ac:dyDescent="0.2">
      <c r="A1127" s="5">
        <v>1066</v>
      </c>
      <c r="B1127" s="1832">
        <f>'Expenditures 15-22'!K60</f>
        <v>110090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664075</v>
      </c>
      <c r="C1130" s="2" t="s">
        <v>569</v>
      </c>
      <c r="D1130" s="2" t="str">
        <f t="shared" si="16"/>
        <v>Error?</v>
      </c>
    </row>
    <row r="1131" spans="1:4" x14ac:dyDescent="0.2">
      <c r="A1131" s="5">
        <v>1070</v>
      </c>
      <c r="B1131" s="1832">
        <f>'Expenditures 15-22'!K64</f>
        <v>12899</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920398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50055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121547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171602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3880864</v>
      </c>
      <c r="C1143" s="2" t="s">
        <v>569</v>
      </c>
      <c r="D1143" s="2" t="str">
        <f t="shared" si="16"/>
        <v>Error?</v>
      </c>
    </row>
    <row r="1144" spans="1:4" x14ac:dyDescent="0.2">
      <c r="A1144" s="5">
        <v>1083</v>
      </c>
      <c r="B1144" s="1832">
        <f>'Expenditures 15-22'!K75</f>
        <v>78475</v>
      </c>
      <c r="C1144" s="2" t="s">
        <v>569</v>
      </c>
      <c r="D1144" s="2" t="str">
        <f t="shared" si="16"/>
        <v>Error?</v>
      </c>
    </row>
    <row r="1145" spans="1:4" x14ac:dyDescent="0.2">
      <c r="A1145" s="5">
        <v>1084</v>
      </c>
      <c r="B1145" s="1832">
        <f>'Expenditures 15-22'!K102</f>
        <v>1342704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14947446</v>
      </c>
      <c r="C1152" s="2" t="s">
        <v>569</v>
      </c>
      <c r="D1152" s="2" t="str">
        <f t="shared" si="17"/>
        <v>Error?</v>
      </c>
    </row>
    <row r="1153" spans="1:4" x14ac:dyDescent="0.2">
      <c r="A1153" s="5">
        <v>1092</v>
      </c>
      <c r="B1153" s="1832">
        <f>'Expenditures 15-22'!K115</f>
        <v>1103530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16325</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867165</v>
      </c>
      <c r="D1221" s="2" t="str">
        <f t="shared" si="18"/>
        <v>Error?</v>
      </c>
    </row>
    <row r="1222" spans="1:4" x14ac:dyDescent="0.2">
      <c r="A1222" s="10">
        <v>1161</v>
      </c>
      <c r="B1222" s="1832"/>
      <c r="D1222" s="2" t="str">
        <f t="shared" si="18"/>
        <v>OK</v>
      </c>
    </row>
    <row r="1223" spans="1:4" x14ac:dyDescent="0.2">
      <c r="A1223" s="5">
        <v>1162</v>
      </c>
      <c r="B1223" s="1832">
        <f>'Expenditures 15-22'!C127</f>
        <v>883490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883490</v>
      </c>
      <c r="C1225" s="2" t="s">
        <v>569</v>
      </c>
      <c r="D1225" s="2" t="str">
        <f t="shared" si="18"/>
        <v>Error?</v>
      </c>
    </row>
    <row r="1226" spans="1:4" x14ac:dyDescent="0.2">
      <c r="A1226" s="5">
        <v>1165</v>
      </c>
      <c r="B1226" s="1832">
        <f>'Expenditures 15-22'!C151</f>
        <v>883490</v>
      </c>
      <c r="C1226" s="2" t="s">
        <v>569</v>
      </c>
      <c r="D1226" s="2" t="str">
        <f t="shared" si="18"/>
        <v>Error?</v>
      </c>
    </row>
    <row r="1227" spans="1:4" x14ac:dyDescent="0.2">
      <c r="A1227" s="5">
        <v>1166</v>
      </c>
      <c r="B1227" s="1832">
        <f>'Expenditures 15-22'!D122</f>
        <v>3141</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128572</v>
      </c>
      <c r="D1229" s="2" t="str">
        <f t="shared" si="18"/>
        <v>Error?</v>
      </c>
    </row>
    <row r="1230" spans="1:4" x14ac:dyDescent="0.2">
      <c r="A1230" s="10">
        <v>1169</v>
      </c>
      <c r="B1230" s="1832"/>
      <c r="D1230" s="2" t="str">
        <f t="shared" si="18"/>
        <v>OK</v>
      </c>
    </row>
    <row r="1231" spans="1:4" x14ac:dyDescent="0.2">
      <c r="A1231" s="5">
        <v>1170</v>
      </c>
      <c r="B1231" s="1832">
        <f>'Expenditures 15-22'!D127</f>
        <v>131713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131713</v>
      </c>
      <c r="C1233" s="2" t="s">
        <v>569</v>
      </c>
      <c r="D1233" s="2" t="str">
        <f t="shared" si="18"/>
        <v>Error?</v>
      </c>
    </row>
    <row r="1234" spans="1:4" x14ac:dyDescent="0.2">
      <c r="A1234" s="5">
        <v>1173</v>
      </c>
      <c r="B1234" s="1832">
        <f>'Expenditures 15-22'!D151</f>
        <v>131713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308235</v>
      </c>
      <c r="D1237" s="2" t="str">
        <f t="shared" si="18"/>
        <v>Error?</v>
      </c>
    </row>
    <row r="1238" spans="1:4" x14ac:dyDescent="0.2">
      <c r="A1238" s="10">
        <v>1177</v>
      </c>
      <c r="B1238" s="1832"/>
      <c r="D1238" s="2" t="str">
        <f t="shared" si="18"/>
        <v>OK</v>
      </c>
    </row>
    <row r="1239" spans="1:4" x14ac:dyDescent="0.2">
      <c r="A1239" s="5">
        <v>1178</v>
      </c>
      <c r="B1239" s="1832">
        <f>'Expenditures 15-22'!E127</f>
        <v>308235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308235</v>
      </c>
      <c r="C1241" s="2" t="s">
        <v>569</v>
      </c>
      <c r="D1241" s="2" t="str">
        <f t="shared" si="18"/>
        <v>Error?</v>
      </c>
    </row>
    <row r="1242" spans="1:4" x14ac:dyDescent="0.2">
      <c r="A1242" s="5">
        <v>1181</v>
      </c>
      <c r="B1242" s="1832">
        <f>'Expenditures 15-22'!E151</f>
        <v>308235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336899</v>
      </c>
      <c r="D1245" s="2" t="str">
        <f t="shared" si="18"/>
        <v>Error?</v>
      </c>
    </row>
    <row r="1246" spans="1:4" x14ac:dyDescent="0.2">
      <c r="A1246" s="10">
        <v>1185</v>
      </c>
      <c r="B1246" s="1832"/>
      <c r="D1246" s="2" t="str">
        <f t="shared" si="18"/>
        <v>OK</v>
      </c>
    </row>
    <row r="1247" spans="1:4" x14ac:dyDescent="0.2">
      <c r="A1247" s="5">
        <v>1186</v>
      </c>
      <c r="B1247" s="1832">
        <f>'Expenditures 15-22'!F127</f>
        <v>336899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336899</v>
      </c>
      <c r="C1249" s="2" t="s">
        <v>569</v>
      </c>
      <c r="D1249" s="2" t="str">
        <f t="shared" si="18"/>
        <v>Error?</v>
      </c>
    </row>
    <row r="1250" spans="1:4" x14ac:dyDescent="0.2">
      <c r="A1250" s="5">
        <v>1189</v>
      </c>
      <c r="B1250" s="1832">
        <f>'Expenditures 15-22'!F151</f>
        <v>336899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441491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441491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441491</v>
      </c>
      <c r="C1258" s="2" t="s">
        <v>569</v>
      </c>
      <c r="D1258" s="2" t="str">
        <f t="shared" si="18"/>
        <v>Error?</v>
      </c>
    </row>
    <row r="1259" spans="1:4" x14ac:dyDescent="0.2">
      <c r="A1259" s="5">
        <v>1198</v>
      </c>
      <c r="B1259" s="1832">
        <f>'Expenditures 15-22'!G151</f>
        <v>441491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19466</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2082362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2101828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2101828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2101828</v>
      </c>
      <c r="C1288" s="2" t="s">
        <v>569</v>
      </c>
      <c r="D1288" s="2" t="str">
        <f t="shared" si="19"/>
        <v>Error?</v>
      </c>
    </row>
    <row r="1289" spans="1:4" x14ac:dyDescent="0.2">
      <c r="A1289" s="5">
        <v>1228</v>
      </c>
      <c r="B1289" s="1832">
        <f>'Expenditures 15-22'!K152</f>
        <v>281779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308771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1445000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1753771</v>
      </c>
      <c r="C1317" s="2" t="s">
        <v>569</v>
      </c>
      <c r="D1317" s="2" t="str">
        <f t="shared" si="19"/>
        <v>Error?</v>
      </c>
    </row>
    <row r="1318" spans="1:4" x14ac:dyDescent="0.2">
      <c r="A1318" s="5">
        <v>1257</v>
      </c>
      <c r="B1318" s="1832">
        <f>'Expenditures 15-22'!H174</f>
        <v>1753771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308771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1445000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1753771</v>
      </c>
      <c r="C1331" s="2" t="s">
        <v>569</v>
      </c>
      <c r="D1331" s="2" t="str">
        <f t="shared" si="19"/>
        <v>Error?</v>
      </c>
    </row>
    <row r="1332" spans="1:4" x14ac:dyDescent="0.2">
      <c r="A1332" s="5">
        <v>1271</v>
      </c>
      <c r="B1332" s="1832">
        <f>'Expenditures 15-22'!K174</f>
        <v>1753771</v>
      </c>
      <c r="C1332" s="2" t="s">
        <v>569</v>
      </c>
      <c r="D1332" s="2" t="str">
        <f t="shared" si="19"/>
        <v>Error?</v>
      </c>
    </row>
    <row r="1333" spans="1:4" x14ac:dyDescent="0.2">
      <c r="A1333" s="5">
        <v>1272</v>
      </c>
      <c r="B1333" s="1832">
        <f>'Expenditures 15-22'!K175</f>
        <v>172441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448350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448350</v>
      </c>
      <c r="C1339" s="2" t="s">
        <v>569</v>
      </c>
      <c r="D1339" s="2" t="str">
        <f t="shared" si="19"/>
        <v>Error?</v>
      </c>
    </row>
    <row r="1340" spans="1:4" x14ac:dyDescent="0.2">
      <c r="A1340" s="5">
        <v>1279</v>
      </c>
      <c r="B1340" s="1832">
        <f>'Expenditures 15-22'!C210</f>
        <v>448350</v>
      </c>
      <c r="C1340" s="2" t="s">
        <v>569</v>
      </c>
      <c r="D1340" s="2" t="str">
        <f t="shared" si="19"/>
        <v>Error?</v>
      </c>
    </row>
    <row r="1341" spans="1:4" x14ac:dyDescent="0.2">
      <c r="A1341" s="5">
        <v>1280</v>
      </c>
      <c r="B1341" s="1832">
        <f>'Expenditures 15-22'!D182</f>
        <v>49115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49115</v>
      </c>
      <c r="C1345" s="2" t="s">
        <v>569</v>
      </c>
      <c r="D1345" s="2" t="str">
        <f t="shared" si="20"/>
        <v>Error?</v>
      </c>
    </row>
    <row r="1346" spans="1:4" x14ac:dyDescent="0.2">
      <c r="A1346" s="5">
        <v>1285</v>
      </c>
      <c r="B1346" s="1832">
        <f>'Expenditures 15-22'!D210</f>
        <v>49115</v>
      </c>
      <c r="C1346" s="2" t="s">
        <v>569</v>
      </c>
      <c r="D1346" s="2" t="str">
        <f t="shared" si="20"/>
        <v>Error?</v>
      </c>
    </row>
    <row r="1347" spans="1:4" x14ac:dyDescent="0.2">
      <c r="A1347" s="5">
        <v>1286</v>
      </c>
      <c r="B1347" s="1832">
        <f>'Expenditures 15-22'!E182</f>
        <v>85924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85924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85924</v>
      </c>
      <c r="C1353" s="2" t="s">
        <v>569</v>
      </c>
      <c r="D1353" s="2" t="str">
        <f t="shared" si="20"/>
        <v>Error?</v>
      </c>
    </row>
    <row r="1354" spans="1:4" x14ac:dyDescent="0.2">
      <c r="A1354" s="5">
        <v>1293</v>
      </c>
      <c r="B1354" s="1832">
        <f>'Expenditures 15-22'!F182</f>
        <v>112168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112168</v>
      </c>
      <c r="C1358" s="2" t="s">
        <v>569</v>
      </c>
      <c r="D1358" s="2" t="str">
        <f t="shared" si="20"/>
        <v>Error?</v>
      </c>
    </row>
    <row r="1359" spans="1:4" x14ac:dyDescent="0.2">
      <c r="A1359" s="5">
        <v>1298</v>
      </c>
      <c r="B1359" s="1832">
        <f>'Expenditures 15-22'!F210</f>
        <v>112168</v>
      </c>
      <c r="C1359" s="2" t="s">
        <v>569</v>
      </c>
      <c r="D1359" s="2" t="str">
        <f t="shared" si="20"/>
        <v>Error?</v>
      </c>
    </row>
    <row r="1360" spans="1:4" x14ac:dyDescent="0.2">
      <c r="A1360" s="5">
        <v>1299</v>
      </c>
      <c r="B1360" s="1832">
        <f>'Expenditures 15-22'!G182</f>
        <v>183213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183213</v>
      </c>
      <c r="C1364" s="2" t="s">
        <v>569</v>
      </c>
      <c r="D1364" s="2" t="str">
        <f t="shared" si="20"/>
        <v>Error?</v>
      </c>
    </row>
    <row r="1365" spans="1:4" x14ac:dyDescent="0.2">
      <c r="A1365" s="5">
        <v>1304</v>
      </c>
      <c r="B1365" s="1832">
        <f>'Expenditures 15-22'!G210</f>
        <v>183213</v>
      </c>
      <c r="C1365" s="2" t="s">
        <v>569</v>
      </c>
      <c r="D1365" s="2" t="str">
        <f t="shared" si="20"/>
        <v>Error?</v>
      </c>
    </row>
    <row r="1366" spans="1:4" x14ac:dyDescent="0.2">
      <c r="A1366" s="5">
        <v>1305</v>
      </c>
      <c r="B1366" s="1832">
        <f>'Expenditures 15-22'!H182</f>
        <v>67</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67</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67</v>
      </c>
      <c r="C1376" s="2" t="s">
        <v>569</v>
      </c>
      <c r="D1376" s="2" t="str">
        <f t="shared" si="20"/>
        <v>Error?</v>
      </c>
    </row>
    <row r="1377" spans="1:4" x14ac:dyDescent="0.2">
      <c r="A1377" s="5">
        <v>1316</v>
      </c>
      <c r="B1377" s="1832">
        <f>'Expenditures 15-22'!K182</f>
        <v>878837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878837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878837</v>
      </c>
      <c r="C1388" s="2" t="s">
        <v>569</v>
      </c>
      <c r="D1388" s="2" t="str">
        <f t="shared" si="20"/>
        <v>Error?</v>
      </c>
    </row>
    <row r="1389" spans="1:4" x14ac:dyDescent="0.2">
      <c r="A1389" s="5">
        <v>1328</v>
      </c>
      <c r="B1389" s="1832">
        <f>'Expenditures 15-22'!K211</f>
        <v>37590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5691</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8675</v>
      </c>
      <c r="D1407" s="2" t="str">
        <f t="shared" ref="D1407:D1470" si="21">IF(ISBLANK(B1407),"OK",IF(A1407-B1407=0,"OK","Error?"))</f>
        <v>Error?</v>
      </c>
    </row>
    <row r="1408" spans="1:4" x14ac:dyDescent="0.2">
      <c r="A1408" s="5">
        <v>1347</v>
      </c>
      <c r="B1408" s="1832">
        <f>'Expenditures 15-22'!D223</f>
        <v>34375</v>
      </c>
      <c r="D1408" s="2" t="str">
        <f t="shared" si="21"/>
        <v>Error?</v>
      </c>
    </row>
    <row r="1409" spans="1:4" x14ac:dyDescent="0.2">
      <c r="A1409" s="5">
        <v>1348</v>
      </c>
      <c r="B1409" s="1832">
        <f>'Expenditures 15-22'!D224</f>
        <v>617</v>
      </c>
      <c r="D1409" s="2" t="str">
        <f t="shared" si="21"/>
        <v>Error?</v>
      </c>
    </row>
    <row r="1410" spans="1:4" x14ac:dyDescent="0.2">
      <c r="A1410" s="5">
        <v>1349</v>
      </c>
      <c r="B1410" s="1832">
        <f>'Expenditures 15-22'!D229</f>
        <v>226279</v>
      </c>
      <c r="C1410" s="2" t="s">
        <v>569</v>
      </c>
      <c r="D1410" s="2" t="str">
        <f t="shared" si="21"/>
        <v>Error?</v>
      </c>
    </row>
    <row r="1411" spans="1:4" x14ac:dyDescent="0.2">
      <c r="A1411" s="5">
        <v>1350</v>
      </c>
      <c r="B1411" s="1832">
        <f>'Expenditures 15-22'!D232</f>
        <v>15882</v>
      </c>
      <c r="D1411" s="2" t="str">
        <f t="shared" si="21"/>
        <v>Error?</v>
      </c>
    </row>
    <row r="1412" spans="1:4" x14ac:dyDescent="0.2">
      <c r="A1412" s="5">
        <v>1351</v>
      </c>
      <c r="B1412" s="1832">
        <f>'Expenditures 15-22'!D233</f>
        <v>11892</v>
      </c>
      <c r="D1412" s="2" t="str">
        <f t="shared" si="21"/>
        <v>Error?</v>
      </c>
    </row>
    <row r="1413" spans="1:4" x14ac:dyDescent="0.2">
      <c r="A1413" s="5">
        <v>1352</v>
      </c>
      <c r="B1413" s="1832">
        <f>'Expenditures 15-22'!D234</f>
        <v>4201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298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32273</v>
      </c>
      <c r="C1417" s="2" t="s">
        <v>569</v>
      </c>
      <c r="D1417" s="2" t="str">
        <f t="shared" si="21"/>
        <v>Error?</v>
      </c>
    </row>
    <row r="1418" spans="1:4" x14ac:dyDescent="0.2">
      <c r="A1418" s="5">
        <v>1357</v>
      </c>
      <c r="B1418" s="1832">
        <f>'Expenditures 15-22'!D240</f>
        <v>3052</v>
      </c>
      <c r="D1418" s="2" t="str">
        <f t="shared" si="21"/>
        <v>Error?</v>
      </c>
    </row>
    <row r="1419" spans="1:4" x14ac:dyDescent="0.2">
      <c r="A1419" s="5">
        <v>1358</v>
      </c>
      <c r="B1419" s="1832">
        <f>'Expenditures 15-22'!D241</f>
        <v>15492</v>
      </c>
      <c r="D1419" s="2" t="str">
        <f t="shared" si="21"/>
        <v>Error?</v>
      </c>
    </row>
    <row r="1420" spans="1:4" x14ac:dyDescent="0.2">
      <c r="A1420" s="5">
        <v>1359</v>
      </c>
      <c r="B1420" s="1832">
        <f>'Expenditures 15-22'!D242</f>
        <v>15</v>
      </c>
      <c r="D1420" s="2" t="str">
        <f t="shared" si="21"/>
        <v>Error?</v>
      </c>
    </row>
    <row r="1421" spans="1:4" x14ac:dyDescent="0.2">
      <c r="A1421" s="5">
        <v>1360</v>
      </c>
      <c r="B1421" s="1832">
        <f>'Expenditures 15-22'!D243</f>
        <v>18559</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7702</v>
      </c>
      <c r="D1423" s="2" t="str">
        <f t="shared" si="21"/>
        <v>Error?</v>
      </c>
    </row>
    <row r="1424" spans="1:4" x14ac:dyDescent="0.2">
      <c r="A1424" s="5">
        <v>1363</v>
      </c>
      <c r="B1424" s="1832">
        <f>'Expenditures 15-22'!D257</f>
        <v>47753</v>
      </c>
      <c r="C1424" s="2" t="s">
        <v>569</v>
      </c>
      <c r="D1424" s="2" t="str">
        <f t="shared" si="21"/>
        <v>Error?</v>
      </c>
    </row>
    <row r="1425" spans="1:4" x14ac:dyDescent="0.2">
      <c r="A1425" s="5">
        <v>1364</v>
      </c>
      <c r="B1425" s="1832">
        <f>'Expenditures 15-22'!D259</f>
        <v>48236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48236</v>
      </c>
      <c r="C1427" s="2" t="s">
        <v>569</v>
      </c>
      <c r="D1427" s="2" t="str">
        <f t="shared" si="21"/>
        <v>Error?</v>
      </c>
    </row>
    <row r="1428" spans="1:4" x14ac:dyDescent="0.2">
      <c r="A1428" s="5">
        <v>1367</v>
      </c>
      <c r="B1428" s="1832">
        <f>'Expenditures 15-22'!D263</f>
        <v>23176</v>
      </c>
      <c r="D1428" s="2" t="str">
        <f t="shared" si="21"/>
        <v>Error?</v>
      </c>
    </row>
    <row r="1429" spans="1:4" x14ac:dyDescent="0.2">
      <c r="A1429" s="5">
        <v>1368</v>
      </c>
      <c r="B1429" s="1832">
        <f>'Expenditures 15-22'!D264</f>
        <v>15474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148337</v>
      </c>
      <c r="D1431" s="2" t="str">
        <f t="shared" si="21"/>
        <v>Error?</v>
      </c>
    </row>
    <row r="1432" spans="1:4" x14ac:dyDescent="0.2">
      <c r="A1432" s="5">
        <v>1371</v>
      </c>
      <c r="B1432" s="1832">
        <f>'Expenditures 15-22'!D267</f>
        <v>71725</v>
      </c>
      <c r="D1432" s="2" t="str">
        <f t="shared" si="21"/>
        <v>Error?</v>
      </c>
    </row>
    <row r="1433" spans="1:4" x14ac:dyDescent="0.2">
      <c r="A1433" s="5">
        <v>1372</v>
      </c>
      <c r="B1433" s="1832">
        <f>'Expenditures 15-22'!D268</f>
        <v>43690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302402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5250</v>
      </c>
      <c r="D1440" s="2" t="str">
        <f t="shared" si="21"/>
        <v>Error?</v>
      </c>
    </row>
    <row r="1441" spans="1:4" x14ac:dyDescent="0.2">
      <c r="A1441" s="10">
        <v>1380</v>
      </c>
      <c r="B1441" s="1832"/>
      <c r="D1441" s="2" t="str">
        <f t="shared" si="21"/>
        <v>OK</v>
      </c>
    </row>
    <row r="1442" spans="1:4" x14ac:dyDescent="0.2">
      <c r="A1442" s="5">
        <v>1381</v>
      </c>
      <c r="B1442" s="1832">
        <f>'Expenditures 15-22'!D276</f>
        <v>10713</v>
      </c>
      <c r="D1442" s="2" t="str">
        <f t="shared" si="21"/>
        <v>Error?</v>
      </c>
    </row>
    <row r="1443" spans="1:4" x14ac:dyDescent="0.2">
      <c r="A1443" s="10">
        <v>1382</v>
      </c>
      <c r="B1443" s="1832"/>
      <c r="D1443" s="2" t="str">
        <f t="shared" si="21"/>
        <v>OK</v>
      </c>
    </row>
    <row r="1444" spans="1:4" x14ac:dyDescent="0.2">
      <c r="A1444" s="5">
        <v>1383</v>
      </c>
      <c r="B1444" s="1832">
        <f>'Expenditures 15-22'!D277</f>
        <v>15963</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465186</v>
      </c>
      <c r="C1446" s="2" t="s">
        <v>569</v>
      </c>
      <c r="D1446" s="2" t="str">
        <f t="shared" si="21"/>
        <v>Error?</v>
      </c>
    </row>
    <row r="1447" spans="1:4" x14ac:dyDescent="0.2">
      <c r="A1447" s="5">
        <v>1386</v>
      </c>
      <c r="B1447" s="1832">
        <f>'Expenditures 15-22'!D280</f>
        <v>87</v>
      </c>
      <c r="D1447" s="2" t="str">
        <f t="shared" si="21"/>
        <v>Error?</v>
      </c>
    </row>
    <row r="1448" spans="1:4" x14ac:dyDescent="0.2">
      <c r="A1448" s="5">
        <v>1387</v>
      </c>
      <c r="B1448" s="1832">
        <f>'Expenditures 15-22'!D295</f>
        <v>691552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5691</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8675</v>
      </c>
      <c r="C1471" s="2" t="s">
        <v>569</v>
      </c>
      <c r="D1471" s="2" t="str">
        <f t="shared" ref="D1471:D1534" si="22">IF(ISBLANK(B1471),"OK",IF(A1471-B1471=0,"OK","Error?"))</f>
        <v>Error?</v>
      </c>
    </row>
    <row r="1472" spans="1:4" x14ac:dyDescent="0.2">
      <c r="A1472" s="5">
        <v>1411</v>
      </c>
      <c r="B1472" s="1832">
        <f>'Expenditures 15-22'!K223</f>
        <v>34375</v>
      </c>
      <c r="C1472" s="2" t="s">
        <v>569</v>
      </c>
      <c r="D1472" s="2" t="str">
        <f t="shared" si="22"/>
        <v>Error?</v>
      </c>
    </row>
    <row r="1473" spans="1:4" x14ac:dyDescent="0.2">
      <c r="A1473" s="5">
        <v>1412</v>
      </c>
      <c r="B1473" s="1832">
        <f>'Expenditures 15-22'!K224</f>
        <v>617</v>
      </c>
      <c r="C1473" s="2" t="s">
        <v>569</v>
      </c>
      <c r="D1473" s="2" t="str">
        <f t="shared" si="22"/>
        <v>Error?</v>
      </c>
    </row>
    <row r="1474" spans="1:4" x14ac:dyDescent="0.2">
      <c r="A1474" s="5">
        <v>1413</v>
      </c>
      <c r="B1474" s="1832">
        <f>'Expenditures 15-22'!K229</f>
        <v>226279</v>
      </c>
      <c r="C1474" s="2" t="s">
        <v>569</v>
      </c>
      <c r="D1474" s="2" t="str">
        <f t="shared" si="22"/>
        <v>Error?</v>
      </c>
    </row>
    <row r="1475" spans="1:4" x14ac:dyDescent="0.2">
      <c r="A1475" s="5">
        <v>1414</v>
      </c>
      <c r="B1475" s="1832">
        <f>'Expenditures 15-22'!K232</f>
        <v>15882</v>
      </c>
      <c r="C1475" s="2" t="s">
        <v>569</v>
      </c>
      <c r="D1475" s="2" t="str">
        <f t="shared" si="22"/>
        <v>Error?</v>
      </c>
    </row>
    <row r="1476" spans="1:4" x14ac:dyDescent="0.2">
      <c r="A1476" s="5">
        <v>1415</v>
      </c>
      <c r="B1476" s="1832">
        <f>'Expenditures 15-22'!K233</f>
        <v>11892</v>
      </c>
      <c r="C1476" s="2" t="s">
        <v>569</v>
      </c>
      <c r="D1476" s="2" t="str">
        <f t="shared" si="22"/>
        <v>Error?</v>
      </c>
    </row>
    <row r="1477" spans="1:4" x14ac:dyDescent="0.2">
      <c r="A1477" s="5">
        <v>1416</v>
      </c>
      <c r="B1477" s="1832">
        <f>'Expenditures 15-22'!K234</f>
        <v>4201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298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32273</v>
      </c>
      <c r="C1481" s="2" t="s">
        <v>569</v>
      </c>
      <c r="D1481" s="2" t="str">
        <f t="shared" si="22"/>
        <v>Error?</v>
      </c>
    </row>
    <row r="1482" spans="1:4" x14ac:dyDescent="0.2">
      <c r="A1482" s="5">
        <v>1421</v>
      </c>
      <c r="B1482" s="1832">
        <f>'Expenditures 15-22'!K240</f>
        <v>3052</v>
      </c>
      <c r="C1482" s="2" t="s">
        <v>569</v>
      </c>
      <c r="D1482" s="2" t="str">
        <f t="shared" si="22"/>
        <v>Error?</v>
      </c>
    </row>
    <row r="1483" spans="1:4" x14ac:dyDescent="0.2">
      <c r="A1483" s="5">
        <v>1422</v>
      </c>
      <c r="B1483" s="1832">
        <f>'Expenditures 15-22'!K241</f>
        <v>15492</v>
      </c>
      <c r="C1483" s="2" t="s">
        <v>569</v>
      </c>
      <c r="D1483" s="2" t="str">
        <f t="shared" si="22"/>
        <v>Error?</v>
      </c>
    </row>
    <row r="1484" spans="1:4" x14ac:dyDescent="0.2">
      <c r="A1484" s="5">
        <v>1423</v>
      </c>
      <c r="B1484" s="1832">
        <f>'Expenditures 15-22'!K242</f>
        <v>15</v>
      </c>
      <c r="C1484" s="2" t="s">
        <v>569</v>
      </c>
      <c r="D1484" s="2" t="str">
        <f t="shared" si="22"/>
        <v>Error?</v>
      </c>
    </row>
    <row r="1485" spans="1:4" x14ac:dyDescent="0.2">
      <c r="A1485" s="5">
        <v>1424</v>
      </c>
      <c r="B1485" s="1832">
        <f>'Expenditures 15-22'!K243</f>
        <v>18559</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7702</v>
      </c>
      <c r="C1487" s="2" t="s">
        <v>569</v>
      </c>
      <c r="D1487" s="2" t="str">
        <f t="shared" si="22"/>
        <v>Error?</v>
      </c>
    </row>
    <row r="1488" spans="1:4" x14ac:dyDescent="0.2">
      <c r="A1488" s="5">
        <v>1427</v>
      </c>
      <c r="B1488" s="1832">
        <f>'Expenditures 15-22'!K257</f>
        <v>47753</v>
      </c>
      <c r="C1488" s="2" t="s">
        <v>569</v>
      </c>
      <c r="D1488" s="2" t="str">
        <f t="shared" si="22"/>
        <v>Error?</v>
      </c>
    </row>
    <row r="1489" spans="1:4" x14ac:dyDescent="0.2">
      <c r="A1489" s="5">
        <v>1428</v>
      </c>
      <c r="B1489" s="1832">
        <f>'Expenditures 15-22'!K259</f>
        <v>48236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48236</v>
      </c>
      <c r="C1491" s="2" t="s">
        <v>569</v>
      </c>
      <c r="D1491" s="2" t="str">
        <f t="shared" si="22"/>
        <v>Error?</v>
      </c>
    </row>
    <row r="1492" spans="1:4" x14ac:dyDescent="0.2">
      <c r="A1492" s="5">
        <v>1431</v>
      </c>
      <c r="B1492" s="1832">
        <f>'Expenditures 15-22'!K263</f>
        <v>23176</v>
      </c>
      <c r="C1492" s="2" t="s">
        <v>569</v>
      </c>
      <c r="D1492" s="2" t="str">
        <f t="shared" si="22"/>
        <v>Error?</v>
      </c>
    </row>
    <row r="1493" spans="1:4" x14ac:dyDescent="0.2">
      <c r="A1493" s="5">
        <v>1432</v>
      </c>
      <c r="B1493" s="1832">
        <f>'Expenditures 15-22'!K264</f>
        <v>15474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148337</v>
      </c>
      <c r="C1495" s="2" t="s">
        <v>569</v>
      </c>
      <c r="D1495" s="2" t="str">
        <f t="shared" si="22"/>
        <v>Error?</v>
      </c>
    </row>
    <row r="1496" spans="1:4" x14ac:dyDescent="0.2">
      <c r="A1496" s="5">
        <v>1435</v>
      </c>
      <c r="B1496" s="1832">
        <f>'Expenditures 15-22'!K267</f>
        <v>71725</v>
      </c>
      <c r="C1496" s="2" t="s">
        <v>569</v>
      </c>
      <c r="D1496" s="2" t="str">
        <f t="shared" si="22"/>
        <v>Error?</v>
      </c>
    </row>
    <row r="1497" spans="1:4" x14ac:dyDescent="0.2">
      <c r="A1497" s="5">
        <v>1436</v>
      </c>
      <c r="B1497" s="1832">
        <f>'Expenditures 15-22'!K268</f>
        <v>43690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302402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5250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10713</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15963</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465186</v>
      </c>
      <c r="C1510" s="2" t="s">
        <v>569</v>
      </c>
      <c r="D1510" s="2" t="str">
        <f t="shared" si="22"/>
        <v>Error?</v>
      </c>
    </row>
    <row r="1511" spans="1:4" x14ac:dyDescent="0.2">
      <c r="A1511" s="5">
        <v>1450</v>
      </c>
      <c r="B1511" s="1832">
        <f>'Expenditures 15-22'!K280</f>
        <v>87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691552</v>
      </c>
      <c r="C1517" s="2" t="s">
        <v>569</v>
      </c>
      <c r="D1517" s="2" t="str">
        <f t="shared" si="22"/>
        <v>Error?</v>
      </c>
    </row>
    <row r="1518" spans="1:4" x14ac:dyDescent="0.2">
      <c r="A1518" s="5">
        <v>1457</v>
      </c>
      <c r="B1518" s="1832">
        <f>'Expenditures 15-22'!K296</f>
        <v>154984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245973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245973</v>
      </c>
      <c r="C1535" s="2" t="s">
        <v>569</v>
      </c>
      <c r="D1535" s="2" t="str">
        <f t="shared" ref="D1535:D1598" si="23">IF(ISBLANK(B1535),"OK",IF(A1535-B1535=0,"OK","Error?"))</f>
        <v>Error?</v>
      </c>
    </row>
    <row r="1536" spans="1:4" x14ac:dyDescent="0.2">
      <c r="A1536" s="5">
        <v>1475</v>
      </c>
      <c r="B1536" s="1832">
        <f>'Expenditures 15-22'!E312</f>
        <v>245973</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1119017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1119017</v>
      </c>
      <c r="C1547" s="2" t="s">
        <v>569</v>
      </c>
      <c r="D1547" s="2" t="str">
        <f t="shared" si="23"/>
        <v>Error?</v>
      </c>
    </row>
    <row r="1548" spans="1:4" x14ac:dyDescent="0.2">
      <c r="A1548" s="5">
        <v>1487</v>
      </c>
      <c r="B1548" s="1832">
        <f>'Expenditures 15-22'!G312</f>
        <v>1119017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1364990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1364990</v>
      </c>
      <c r="C1559" s="2" t="s">
        <v>569</v>
      </c>
      <c r="D1559" s="2" t="str">
        <f t="shared" si="23"/>
        <v>Error?</v>
      </c>
    </row>
    <row r="1560" spans="1:4" x14ac:dyDescent="0.2">
      <c r="A1560" s="5">
        <v>1499</v>
      </c>
      <c r="B1560" s="1832">
        <f>'Expenditures 15-22'!K312</f>
        <v>1364990</v>
      </c>
      <c r="C1560" s="2" t="s">
        <v>569</v>
      </c>
      <c r="D1560" s="2" t="str">
        <f t="shared" si="23"/>
        <v>Error?</v>
      </c>
    </row>
    <row r="1561" spans="1:4" x14ac:dyDescent="0.2">
      <c r="A1561" s="5">
        <v>1500</v>
      </c>
      <c r="B1561" s="1832">
        <f>'Expenditures 15-22'!K313</f>
        <v>-1347383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4423622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6527152</v>
      </c>
      <c r="C1630" s="2" t="s">
        <v>569</v>
      </c>
      <c r="D1630" s="2" t="str">
        <f t="shared" si="24"/>
        <v>Error?</v>
      </c>
    </row>
    <row r="1631" spans="1:4" x14ac:dyDescent="0.2">
      <c r="A1631" s="5">
        <v>1570</v>
      </c>
      <c r="B1631" s="1832">
        <f>'Acct Summary 7-8'!D79</f>
        <v>3343451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3625230</v>
      </c>
      <c r="C1644" s="2" t="s">
        <v>569</v>
      </c>
      <c r="D1644" s="2" t="str">
        <f t="shared" si="24"/>
        <v>Error?</v>
      </c>
    </row>
    <row r="1645" spans="1:4" x14ac:dyDescent="0.2">
      <c r="A1645" s="5">
        <v>1584</v>
      </c>
      <c r="B1645" s="1832">
        <f>'Acct Summary 7-8'!E79</f>
        <v>800546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972987</v>
      </c>
      <c r="C1658" s="2" t="s">
        <v>569</v>
      </c>
      <c r="D1658" s="2" t="str">
        <f t="shared" si="24"/>
        <v>Error?</v>
      </c>
    </row>
    <row r="1659" spans="1:4" x14ac:dyDescent="0.2">
      <c r="A1659" s="5">
        <v>1598</v>
      </c>
      <c r="B1659" s="1832">
        <f>'Acct Summary 7-8'!F79</f>
        <v>1911465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1949055</v>
      </c>
      <c r="C1672" s="2" t="s">
        <v>569</v>
      </c>
      <c r="D1672" s="2" t="str">
        <f t="shared" si="25"/>
        <v>Error?</v>
      </c>
    </row>
    <row r="1673" spans="1:4" x14ac:dyDescent="0.2">
      <c r="A1673" s="5">
        <v>1612</v>
      </c>
      <c r="B1673" s="1832">
        <f>'Acct Summary 7-8'!G79</f>
        <v>1338803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1493787</v>
      </c>
      <c r="C1686" s="2" t="s">
        <v>569</v>
      </c>
      <c r="D1686" s="2" t="str">
        <f t="shared" si="25"/>
        <v>Error?</v>
      </c>
    </row>
    <row r="1687" spans="1:4" x14ac:dyDescent="0.2">
      <c r="A1687" s="5">
        <v>1626</v>
      </c>
      <c r="B1687" s="1832">
        <f>'Acct Summary 7-8'!H79</f>
        <v>2241202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893819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5197908</v>
      </c>
      <c r="C1744" s="2" t="s">
        <v>569</v>
      </c>
      <c r="D1744" s="2" t="str">
        <f t="shared" si="26"/>
        <v>Error?</v>
      </c>
    </row>
    <row r="1745" spans="1:5" x14ac:dyDescent="0.2">
      <c r="A1745" s="5">
        <v>1684</v>
      </c>
      <c r="B1745" s="1832">
        <f>'Tax Sched 23'!B5</f>
        <v>1412509</v>
      </c>
      <c r="C1745" s="2" t="s">
        <v>569</v>
      </c>
      <c r="D1745" s="2" t="str">
        <f t="shared" si="26"/>
        <v>Error?</v>
      </c>
    </row>
    <row r="1746" spans="1:5" x14ac:dyDescent="0.2">
      <c r="A1746" s="5">
        <v>1685</v>
      </c>
      <c r="B1746" s="1832">
        <f>'Tax Sched 23'!B6</f>
        <v>1098095</v>
      </c>
      <c r="C1746" s="2" t="s">
        <v>569</v>
      </c>
      <c r="D1746" s="2" t="str">
        <f t="shared" si="26"/>
        <v>Error?</v>
      </c>
    </row>
    <row r="1747" spans="1:5" x14ac:dyDescent="0.2">
      <c r="A1747" s="5">
        <v>1686</v>
      </c>
      <c r="B1747" s="1832">
        <f>'Tax Sched 23'!B7</f>
        <v>677985</v>
      </c>
      <c r="C1747" s="2" t="s">
        <v>569</v>
      </c>
      <c r="D1747" s="2" t="str">
        <f t="shared" si="26"/>
        <v>Error?</v>
      </c>
    </row>
    <row r="1748" spans="1:5" x14ac:dyDescent="0.2">
      <c r="A1748" s="5">
        <v>1687</v>
      </c>
      <c r="B1748" s="1832">
        <f>'Tax Sched 23'!B8</f>
        <v>27449</v>
      </c>
      <c r="C1748" s="2" t="s">
        <v>569</v>
      </c>
      <c r="D1748" s="2" t="str">
        <f t="shared" si="26"/>
        <v>Error?</v>
      </c>
    </row>
    <row r="1749" spans="1:5" x14ac:dyDescent="0.2">
      <c r="A1749" s="5">
        <v>1688</v>
      </c>
      <c r="B1749" s="1832">
        <f>'Tax Sched 23'!B10</f>
        <v>282494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639729</v>
      </c>
      <c r="C1752" s="2" t="s">
        <v>569</v>
      </c>
      <c r="D1752" s="2" t="str">
        <f t="shared" si="26"/>
        <v>Error?</v>
      </c>
    </row>
    <row r="1753" spans="1:5" x14ac:dyDescent="0.2">
      <c r="A1753" s="5">
        <v>1692</v>
      </c>
      <c r="B1753" s="1832">
        <f>'Tax Sched 23'!B12</f>
        <v>282494</v>
      </c>
      <c r="C1753" s="2" t="s">
        <v>569</v>
      </c>
      <c r="D1753" s="2" t="str">
        <f t="shared" si="26"/>
        <v>Error?</v>
      </c>
    </row>
    <row r="1754" spans="1:5" x14ac:dyDescent="0.2">
      <c r="A1754" s="5">
        <v>1693</v>
      </c>
      <c r="B1754" s="1832">
        <f>'Tax Sched 23'!B14</f>
        <v>112980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10675110</v>
      </c>
      <c r="C1759" s="2" t="s">
        <v>569</v>
      </c>
      <c r="D1759" s="2" t="str">
        <f t="shared" si="26"/>
        <v>Error?</v>
      </c>
    </row>
    <row r="1760" spans="1:5" x14ac:dyDescent="0.2">
      <c r="A1760" s="5">
        <v>1699</v>
      </c>
      <c r="B1760" s="1832">
        <f>'Tax Sched 23'!D4</f>
        <v>3262264</v>
      </c>
      <c r="C1760" s="2" t="s">
        <v>569</v>
      </c>
      <c r="D1760" s="2" t="str">
        <f t="shared" si="26"/>
        <v>Error?</v>
      </c>
    </row>
    <row r="1761" spans="1:7" x14ac:dyDescent="0.2">
      <c r="A1761" s="5">
        <v>1700</v>
      </c>
      <c r="B1761" s="1832">
        <f>'Tax Sched 23'!D5</f>
        <v>886519</v>
      </c>
      <c r="C1761" s="2" t="s">
        <v>569</v>
      </c>
      <c r="D1761" s="2" t="str">
        <f t="shared" si="26"/>
        <v>Error?</v>
      </c>
    </row>
    <row r="1762" spans="1:7" s="8" customFormat="1" x14ac:dyDescent="0.2">
      <c r="A1762" s="5">
        <v>1701</v>
      </c>
      <c r="B1762" s="1832">
        <f>'Tax Sched 23'!D6</f>
        <v>692872</v>
      </c>
      <c r="C1762" s="2" t="s">
        <v>569</v>
      </c>
      <c r="D1762" s="2" t="str">
        <f t="shared" si="26"/>
        <v>Error?</v>
      </c>
      <c r="E1762" s="9"/>
      <c r="G1762"/>
    </row>
    <row r="1763" spans="1:7" x14ac:dyDescent="0.2">
      <c r="A1763" s="5">
        <v>1702</v>
      </c>
      <c r="B1763" s="1832">
        <f>'Tax Sched 23'!D7</f>
        <v>425510</v>
      </c>
      <c r="C1763" s="2" t="s">
        <v>569</v>
      </c>
      <c r="D1763" s="2" t="str">
        <f t="shared" si="26"/>
        <v>Error?</v>
      </c>
    </row>
    <row r="1764" spans="1:7" x14ac:dyDescent="0.2">
      <c r="A1764" s="5">
        <v>1703</v>
      </c>
      <c r="B1764" s="1832">
        <f>'Tax Sched 23'!D8</f>
        <v>21979</v>
      </c>
      <c r="C1764" s="2" t="s">
        <v>569</v>
      </c>
      <c r="D1764" s="2" t="str">
        <f t="shared" si="26"/>
        <v>Error?</v>
      </c>
    </row>
    <row r="1765" spans="1:7" x14ac:dyDescent="0.2">
      <c r="A1765" s="5">
        <v>1704</v>
      </c>
      <c r="B1765" s="1832">
        <f>'Tax Sched 23'!D10</f>
        <v>177296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397142</v>
      </c>
      <c r="C1768" s="2" t="s">
        <v>569</v>
      </c>
      <c r="D1768" s="2" t="str">
        <f t="shared" si="26"/>
        <v>Error?</v>
      </c>
    </row>
    <row r="1769" spans="1:7" x14ac:dyDescent="0.2">
      <c r="A1769" s="5">
        <v>1708</v>
      </c>
      <c r="B1769" s="1832">
        <f>'Tax Sched 23'!D12</f>
        <v>177296</v>
      </c>
      <c r="C1769" s="2" t="s">
        <v>569</v>
      </c>
      <c r="D1769" s="2" t="str">
        <f t="shared" si="26"/>
        <v>Error?</v>
      </c>
    </row>
    <row r="1770" spans="1:7" x14ac:dyDescent="0.2">
      <c r="A1770" s="5">
        <v>1709</v>
      </c>
      <c r="B1770" s="1832">
        <f>'Tax Sched 23'!D14</f>
        <v>70901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6698835</v>
      </c>
      <c r="C1775" s="2" t="s">
        <v>569</v>
      </c>
      <c r="D1775" s="2" t="str">
        <f t="shared" si="26"/>
        <v>Error?</v>
      </c>
    </row>
    <row r="1776" spans="1:7" x14ac:dyDescent="0.2">
      <c r="A1776" s="5">
        <v>1715</v>
      </c>
      <c r="B1776" s="1832">
        <f>'Tax Sched 23'!C4</f>
        <v>1935644</v>
      </c>
      <c r="D1776" s="2" t="str">
        <f t="shared" si="26"/>
        <v>Error?</v>
      </c>
    </row>
    <row r="1777" spans="1:4" x14ac:dyDescent="0.2">
      <c r="A1777" s="5">
        <v>1716</v>
      </c>
      <c r="B1777" s="1832">
        <f>'Tax Sched 23'!C5</f>
        <v>525990</v>
      </c>
      <c r="D1777" s="2" t="str">
        <f t="shared" si="26"/>
        <v>Error?</v>
      </c>
    </row>
    <row r="1778" spans="1:4" x14ac:dyDescent="0.2">
      <c r="A1778" s="5">
        <v>1717</v>
      </c>
      <c r="B1778" s="1832">
        <f>'Tax Sched 23'!C6</f>
        <v>405223</v>
      </c>
      <c r="D1778" s="2" t="str">
        <f t="shared" si="26"/>
        <v>Error?</v>
      </c>
    </row>
    <row r="1779" spans="1:4" x14ac:dyDescent="0.2">
      <c r="A1779" s="5">
        <v>1718</v>
      </c>
      <c r="B1779" s="1832">
        <f>'Tax Sched 23'!C7</f>
        <v>252475</v>
      </c>
      <c r="D1779" s="2" t="str">
        <f t="shared" si="26"/>
        <v>Error?</v>
      </c>
    </row>
    <row r="1780" spans="1:4" x14ac:dyDescent="0.2">
      <c r="A1780" s="5">
        <v>1719</v>
      </c>
      <c r="B1780" s="1832">
        <f>'Tax Sched 23'!C8</f>
        <v>5470</v>
      </c>
      <c r="D1780" s="2" t="str">
        <f t="shared" si="26"/>
        <v>Error?</v>
      </c>
    </row>
    <row r="1781" spans="1:4" x14ac:dyDescent="0.2">
      <c r="A1781" s="5">
        <v>1720</v>
      </c>
      <c r="B1781" s="1832">
        <f>'Tax Sched 23'!C10</f>
        <v>105198</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242587</v>
      </c>
      <c r="D1784" s="2" t="str">
        <f t="shared" si="26"/>
        <v>Error?</v>
      </c>
    </row>
    <row r="1785" spans="1:4" x14ac:dyDescent="0.2">
      <c r="A1785" s="5">
        <v>1724</v>
      </c>
      <c r="B1785" s="1832">
        <f>'Tax Sched 23'!C12</f>
        <v>105198</v>
      </c>
      <c r="D1785" s="2" t="str">
        <f t="shared" si="26"/>
        <v>Error?</v>
      </c>
    </row>
    <row r="1786" spans="1:4" x14ac:dyDescent="0.2">
      <c r="A1786" s="5">
        <v>1725</v>
      </c>
      <c r="B1786" s="1832">
        <f>'Tax Sched 23'!C14</f>
        <v>42079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3976275</v>
      </c>
      <c r="C1791" s="2" t="s">
        <v>569</v>
      </c>
      <c r="D1791" s="2" t="str">
        <f t="shared" ref="D1791:D1854" si="27">IF(ISBLANK(B1791),"OK",IF(A1791-B1791=0,"OK","Error?"))</f>
        <v>Error?</v>
      </c>
    </row>
    <row r="1792" spans="1:4" x14ac:dyDescent="0.2">
      <c r="A1792" s="5">
        <v>1731</v>
      </c>
      <c r="B1792" s="1832">
        <f>'Tax Sched 23'!F4</f>
        <v>3114037</v>
      </c>
      <c r="C1792" s="2" t="s">
        <v>569</v>
      </c>
      <c r="D1792" s="2" t="str">
        <f t="shared" si="27"/>
        <v>Error?</v>
      </c>
    </row>
    <row r="1793" spans="1:4" x14ac:dyDescent="0.2">
      <c r="A1793" s="5">
        <v>1732</v>
      </c>
      <c r="B1793" s="1832">
        <f>'Tax Sched 23'!F5</f>
        <v>846206</v>
      </c>
      <c r="C1793" s="2" t="s">
        <v>569</v>
      </c>
      <c r="D1793" s="2" t="str">
        <f t="shared" si="27"/>
        <v>Error?</v>
      </c>
    </row>
    <row r="1794" spans="1:4" x14ac:dyDescent="0.2">
      <c r="A1794" s="5">
        <v>1733</v>
      </c>
      <c r="B1794" s="1832">
        <f>'Tax Sched 23'!F6</f>
        <v>651917</v>
      </c>
      <c r="C1794" s="2" t="s">
        <v>569</v>
      </c>
      <c r="D1794" s="2" t="str">
        <f t="shared" si="27"/>
        <v>Error?</v>
      </c>
    </row>
    <row r="1795" spans="1:4" x14ac:dyDescent="0.2">
      <c r="A1795" s="5">
        <v>1734</v>
      </c>
      <c r="B1795" s="1832">
        <f>'Tax Sched 23'!F7</f>
        <v>406179</v>
      </c>
      <c r="C1795" s="2" t="s">
        <v>569</v>
      </c>
      <c r="D1795" s="2" t="str">
        <f t="shared" si="27"/>
        <v>Error?</v>
      </c>
    </row>
    <row r="1796" spans="1:4" x14ac:dyDescent="0.2">
      <c r="A1796" s="5">
        <v>1735</v>
      </c>
      <c r="B1796" s="1832">
        <f>'Tax Sched 23'!F8</f>
        <v>8800</v>
      </c>
      <c r="C1796" s="2" t="s">
        <v>569</v>
      </c>
      <c r="D1796" s="2" t="str">
        <f t="shared" si="27"/>
        <v>Error?</v>
      </c>
    </row>
    <row r="1797" spans="1:4" x14ac:dyDescent="0.2">
      <c r="A1797" s="5">
        <v>1736</v>
      </c>
      <c r="B1797" s="1832">
        <f>'Tax Sched 23'!F10</f>
        <v>169241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390270</v>
      </c>
      <c r="C1800" s="2" t="s">
        <v>569</v>
      </c>
      <c r="D1800" s="2" t="str">
        <f t="shared" si="27"/>
        <v>Error?</v>
      </c>
    </row>
    <row r="1801" spans="1:4" x14ac:dyDescent="0.2">
      <c r="A1801" s="5">
        <v>1740</v>
      </c>
      <c r="B1801" s="1832">
        <f>'Tax Sched 23'!F12</f>
        <v>169241</v>
      </c>
      <c r="C1801" s="2" t="s">
        <v>569</v>
      </c>
      <c r="D1801" s="2" t="str">
        <f t="shared" si="27"/>
        <v>Error?</v>
      </c>
    </row>
    <row r="1802" spans="1:4" x14ac:dyDescent="0.2">
      <c r="A1802" s="5">
        <v>1741</v>
      </c>
      <c r="B1802" s="1832">
        <f>'Tax Sched 23'!F14</f>
        <v>67697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6396977</v>
      </c>
      <c r="C1807" s="2" t="s">
        <v>569</v>
      </c>
      <c r="D1807" s="2" t="str">
        <f t="shared" si="27"/>
        <v>Error?</v>
      </c>
    </row>
    <row r="1808" spans="1:4" x14ac:dyDescent="0.2">
      <c r="A1808" s="5">
        <v>1747</v>
      </c>
      <c r="B1808" s="1832">
        <f>'Tax Sched 23'!E4</f>
        <v>5049681</v>
      </c>
      <c r="D1808" s="2" t="str">
        <f t="shared" si="27"/>
        <v>Error?</v>
      </c>
    </row>
    <row r="1809" spans="1:4" x14ac:dyDescent="0.2">
      <c r="A1809" s="5">
        <v>1748</v>
      </c>
      <c r="B1809" s="1832">
        <f>'Tax Sched 23'!E5</f>
        <v>1372196</v>
      </c>
      <c r="D1809" s="2" t="str">
        <f t="shared" si="27"/>
        <v>Error?</v>
      </c>
    </row>
    <row r="1810" spans="1:4" x14ac:dyDescent="0.2">
      <c r="A1810" s="5">
        <v>1749</v>
      </c>
      <c r="B1810" s="1832">
        <f>'Tax Sched 23'!E6</f>
        <v>1057140</v>
      </c>
      <c r="D1810" s="2" t="str">
        <f t="shared" si="27"/>
        <v>Error?</v>
      </c>
    </row>
    <row r="1811" spans="1:4" x14ac:dyDescent="0.2">
      <c r="A1811" s="5">
        <v>1750</v>
      </c>
      <c r="B1811" s="1832">
        <f>'Tax Sched 23'!E7</f>
        <v>658654</v>
      </c>
      <c r="D1811" s="2" t="str">
        <f t="shared" si="27"/>
        <v>Error?</v>
      </c>
    </row>
    <row r="1812" spans="1:4" x14ac:dyDescent="0.2">
      <c r="A1812" s="5">
        <v>1751</v>
      </c>
      <c r="B1812" s="1832">
        <f>'Tax Sched 23'!E8</f>
        <v>14270</v>
      </c>
      <c r="D1812" s="2" t="str">
        <f t="shared" si="27"/>
        <v>Error?</v>
      </c>
    </row>
    <row r="1813" spans="1:4" x14ac:dyDescent="0.2">
      <c r="A1813" s="5">
        <v>1752</v>
      </c>
      <c r="B1813" s="1832">
        <f>'Tax Sched 23'!E10</f>
        <v>274439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632857</v>
      </c>
      <c r="D1816" s="2" t="str">
        <f t="shared" si="27"/>
        <v>Error?</v>
      </c>
    </row>
    <row r="1817" spans="1:4" x14ac:dyDescent="0.2">
      <c r="A1817" s="5">
        <v>1756</v>
      </c>
      <c r="B1817" s="1832">
        <f>'Tax Sched 23'!E12</f>
        <v>274439</v>
      </c>
      <c r="D1817" s="2" t="str">
        <f t="shared" si="27"/>
        <v>Error?</v>
      </c>
    </row>
    <row r="1818" spans="1:4" x14ac:dyDescent="0.2">
      <c r="A1818" s="5">
        <v>1757</v>
      </c>
      <c r="B1818" s="1832">
        <f>'Tax Sched 23'!E14</f>
        <v>109776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10373252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10045000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108211</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108211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108211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30139800</v>
      </c>
      <c r="D2009" s="2" t="str">
        <f t="shared" si="30"/>
        <v>Error?</v>
      </c>
    </row>
    <row r="2010" spans="1:4" x14ac:dyDescent="0.2">
      <c r="A2010" s="5">
        <v>1949</v>
      </c>
      <c r="B2010" s="1832">
        <f>'Cap Outlay Deprec 26'!C10</f>
        <v>8635164</v>
      </c>
      <c r="D2010" s="2" t="str">
        <f t="shared" si="30"/>
        <v>Error?</v>
      </c>
    </row>
    <row r="2011" spans="1:4" x14ac:dyDescent="0.2">
      <c r="A2011" s="5">
        <v>1950</v>
      </c>
      <c r="B2011" s="1832">
        <f>'Cap Outlay Deprec 26'!C12</f>
        <v>2770353</v>
      </c>
      <c r="D2011" s="2" t="str">
        <f t="shared" si="30"/>
        <v>Error?</v>
      </c>
    </row>
    <row r="2012" spans="1:4" x14ac:dyDescent="0.2">
      <c r="A2012" s="5">
        <v>1951</v>
      </c>
      <c r="B2012" s="1832">
        <f>'Cap Outlay Deprec 26'!C13</f>
        <v>1643091</v>
      </c>
      <c r="D2012" s="2" t="str">
        <f t="shared" si="30"/>
        <v>Error?</v>
      </c>
    </row>
    <row r="2013" spans="1:4" x14ac:dyDescent="0.2">
      <c r="A2013" s="5">
        <v>1952</v>
      </c>
      <c r="B2013" s="1832">
        <f>'Cap Outlay Deprec 26'!C16</f>
        <v>51262769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9276184</v>
      </c>
      <c r="D2016" s="2" t="str">
        <f t="shared" si="30"/>
        <v>Error?</v>
      </c>
    </row>
    <row r="2017" spans="1:4" x14ac:dyDescent="0.2">
      <c r="A2017" s="5">
        <v>1956</v>
      </c>
      <c r="B2017" s="1832">
        <f>'Cap Outlay Deprec 26'!D12</f>
        <v>487999</v>
      </c>
      <c r="D2017" s="2" t="str">
        <f t="shared" si="30"/>
        <v>Error?</v>
      </c>
    </row>
    <row r="2018" spans="1:4" x14ac:dyDescent="0.2">
      <c r="A2018" s="5">
        <v>1957</v>
      </c>
      <c r="B2018" s="1832">
        <f>'Cap Outlay Deprec 26'!D13</f>
        <v>670307</v>
      </c>
      <c r="D2018" s="2" t="str">
        <f t="shared" si="30"/>
        <v>Error?</v>
      </c>
    </row>
    <row r="2019" spans="1:4" x14ac:dyDescent="0.2">
      <c r="A2019" s="5">
        <v>1958</v>
      </c>
      <c r="B2019" s="1832">
        <f>'Cap Outlay Deprec 26'!D16</f>
        <v>12924619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57475</v>
      </c>
      <c r="D2024" s="2" t="str">
        <f t="shared" si="30"/>
        <v>Error?</v>
      </c>
    </row>
    <row r="2025" spans="1:4" x14ac:dyDescent="0.2">
      <c r="A2025" s="5">
        <v>1964</v>
      </c>
      <c r="B2025" s="1832">
        <f>'Cap Outlay Deprec 26'!E16</f>
        <v>9656059</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30139800</v>
      </c>
      <c r="C2027" s="2" t="s">
        <v>569</v>
      </c>
      <c r="D2027" s="2" t="str">
        <f t="shared" si="30"/>
        <v>Error?</v>
      </c>
    </row>
    <row r="2028" spans="1:4" x14ac:dyDescent="0.2">
      <c r="A2028" s="5">
        <v>1967</v>
      </c>
      <c r="B2028" s="1832">
        <f>'Cap Outlay Deprec 26'!F10</f>
        <v>17911348</v>
      </c>
      <c r="C2028" s="2" t="s">
        <v>569</v>
      </c>
      <c r="D2028" s="2" t="str">
        <f t="shared" si="30"/>
        <v>Error?</v>
      </c>
    </row>
    <row r="2029" spans="1:4" x14ac:dyDescent="0.2">
      <c r="A2029" s="5">
        <v>1968</v>
      </c>
      <c r="B2029" s="1832">
        <f>'Cap Outlay Deprec 26'!F12</f>
        <v>3258352</v>
      </c>
      <c r="C2029" s="2" t="s">
        <v>569</v>
      </c>
      <c r="D2029" s="2" t="str">
        <f t="shared" si="30"/>
        <v>Error?</v>
      </c>
    </row>
    <row r="2030" spans="1:4" x14ac:dyDescent="0.2">
      <c r="A2030" s="5">
        <v>1969</v>
      </c>
      <c r="B2030" s="1832">
        <f>'Cap Outlay Deprec 26'!F13</f>
        <v>2255923</v>
      </c>
      <c r="C2030" s="2" t="s">
        <v>569</v>
      </c>
      <c r="D2030" s="2" t="str">
        <f t="shared" si="30"/>
        <v>Error?</v>
      </c>
    </row>
    <row r="2031" spans="1:4" x14ac:dyDescent="0.2">
      <c r="A2031" s="5">
        <v>1970</v>
      </c>
      <c r="B2031" s="1832">
        <f>'Cap Outlay Deprec 26'!F16</f>
        <v>54531329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17889290</v>
      </c>
      <c r="D2033" s="2" t="str">
        <f t="shared" si="30"/>
        <v>Error?</v>
      </c>
    </row>
    <row r="2034" spans="1:4" x14ac:dyDescent="0.2">
      <c r="A2034" s="5">
        <v>1973</v>
      </c>
      <c r="B2034" s="1832">
        <f>'Cap Outlay Deprec 26'!H10</f>
        <v>3136560</v>
      </c>
      <c r="D2034" s="2" t="str">
        <f t="shared" si="30"/>
        <v>Error?</v>
      </c>
    </row>
    <row r="2035" spans="1:4" x14ac:dyDescent="0.2">
      <c r="A2035" s="5">
        <v>1974</v>
      </c>
      <c r="B2035" s="1832">
        <f>'Cap Outlay Deprec 26'!H12</f>
        <v>2262606</v>
      </c>
      <c r="D2035" s="2" t="str">
        <f t="shared" si="30"/>
        <v>Error?</v>
      </c>
    </row>
    <row r="2036" spans="1:4" x14ac:dyDescent="0.2">
      <c r="A2036" s="5">
        <v>1975</v>
      </c>
      <c r="B2036" s="1832">
        <f>'Cap Outlay Deprec 26'!H13</f>
        <v>1138032</v>
      </c>
      <c r="D2036" s="2" t="str">
        <f t="shared" si="30"/>
        <v>Error?</v>
      </c>
    </row>
    <row r="2037" spans="1:4" x14ac:dyDescent="0.2">
      <c r="A2037" s="5">
        <v>1976</v>
      </c>
      <c r="B2037" s="1832">
        <f>'Cap Outlay Deprec 26'!H16</f>
        <v>24432345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466084</v>
      </c>
      <c r="D2039" s="2" t="str">
        <f t="shared" si="30"/>
        <v>Error?</v>
      </c>
    </row>
    <row r="2040" spans="1:4" x14ac:dyDescent="0.2">
      <c r="A2040" s="5">
        <v>1979</v>
      </c>
      <c r="B2040" s="1832">
        <f>'Cap Outlay Deprec 26'!I10</f>
        <v>846074</v>
      </c>
      <c r="D2040" s="2" t="str">
        <f t="shared" si="30"/>
        <v>Error?</v>
      </c>
    </row>
    <row r="2041" spans="1:4" x14ac:dyDescent="0.2">
      <c r="A2041" s="5">
        <v>1980</v>
      </c>
      <c r="B2041" s="1832">
        <f>'Cap Outlay Deprec 26'!I12</f>
        <v>189279</v>
      </c>
      <c r="D2041" s="2" t="str">
        <f t="shared" si="30"/>
        <v>Error?</v>
      </c>
    </row>
    <row r="2042" spans="1:4" x14ac:dyDescent="0.2">
      <c r="A2042" s="5">
        <v>1981</v>
      </c>
      <c r="B2042" s="1832">
        <f>'Cap Outlay Deprec 26'!I13</f>
        <v>299372</v>
      </c>
      <c r="D2042" s="2" t="str">
        <f t="shared" si="30"/>
        <v>Error?</v>
      </c>
    </row>
    <row r="2043" spans="1:4" x14ac:dyDescent="0.2">
      <c r="A2043" s="5">
        <v>1982</v>
      </c>
      <c r="B2043" s="1832">
        <f>'Cap Outlay Deprec 26'!I16</f>
        <v>1933898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57475</v>
      </c>
      <c r="D2048" s="2" t="str">
        <f t="shared" si="31"/>
        <v>Error?</v>
      </c>
    </row>
    <row r="2049" spans="1:4" x14ac:dyDescent="0.2">
      <c r="A2049" s="5">
        <v>1988</v>
      </c>
      <c r="B2049" s="1832">
        <f>'Cap Outlay Deprec 26'!J16</f>
        <v>63332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18355374</v>
      </c>
      <c r="C2051" s="2" t="s">
        <v>569</v>
      </c>
      <c r="D2051" s="2" t="str">
        <f t="shared" si="31"/>
        <v>Error?</v>
      </c>
    </row>
    <row r="2052" spans="1:4" x14ac:dyDescent="0.2">
      <c r="A2052" s="5">
        <v>1991</v>
      </c>
      <c r="B2052" s="1832">
        <f>'Cap Outlay Deprec 26'!K10</f>
        <v>3982634</v>
      </c>
      <c r="C2052" s="2" t="s">
        <v>569</v>
      </c>
      <c r="D2052" s="2" t="str">
        <f t="shared" si="31"/>
        <v>Error?</v>
      </c>
    </row>
    <row r="2053" spans="1:4" x14ac:dyDescent="0.2">
      <c r="A2053" s="5">
        <v>1992</v>
      </c>
      <c r="B2053" s="1832">
        <f>'Cap Outlay Deprec 26'!K12</f>
        <v>2451885</v>
      </c>
      <c r="C2053" s="2" t="s">
        <v>569</v>
      </c>
      <c r="D2053" s="2" t="str">
        <f t="shared" si="31"/>
        <v>Error?</v>
      </c>
    </row>
    <row r="2054" spans="1:4" x14ac:dyDescent="0.2">
      <c r="A2054" s="5">
        <v>1993</v>
      </c>
      <c r="B2054" s="1832">
        <f>'Cap Outlay Deprec 26'!K13</f>
        <v>1379929</v>
      </c>
      <c r="C2054" s="2" t="s">
        <v>569</v>
      </c>
      <c r="D2054" s="2" t="str">
        <f t="shared" si="31"/>
        <v>Error?</v>
      </c>
    </row>
    <row r="2055" spans="1:4" x14ac:dyDescent="0.2">
      <c r="A2055" s="5">
        <v>1994</v>
      </c>
      <c r="B2055" s="1832">
        <f>'Cap Outlay Deprec 26'!K16</f>
        <v>26302911</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11784426</v>
      </c>
      <c r="C2057" s="2" t="s">
        <v>569</v>
      </c>
      <c r="D2057" s="2" t="str">
        <f t="shared" si="31"/>
        <v>Error?</v>
      </c>
    </row>
    <row r="2058" spans="1:4" x14ac:dyDescent="0.2">
      <c r="A2058" s="5">
        <v>1997</v>
      </c>
      <c r="B2058" s="1832">
        <f>'Cap Outlay Deprec 26'!L10</f>
        <v>13928714</v>
      </c>
      <c r="C2058" s="2" t="s">
        <v>569</v>
      </c>
      <c r="D2058" s="2" t="str">
        <f t="shared" si="31"/>
        <v>Error?</v>
      </c>
    </row>
    <row r="2059" spans="1:4" x14ac:dyDescent="0.2">
      <c r="A2059" s="5">
        <v>1998</v>
      </c>
      <c r="B2059" s="1832">
        <f>'Cap Outlay Deprec 26'!L12</f>
        <v>806467</v>
      </c>
      <c r="C2059" s="2" t="s">
        <v>569</v>
      </c>
      <c r="D2059" s="2" t="str">
        <f t="shared" si="31"/>
        <v>Error?</v>
      </c>
    </row>
    <row r="2060" spans="1:4" x14ac:dyDescent="0.2">
      <c r="A2060" s="5">
        <v>1999</v>
      </c>
      <c r="B2060" s="1832">
        <f>'Cap Outlay Deprec 26'!L13</f>
        <v>875994</v>
      </c>
      <c r="C2060" s="2" t="s">
        <v>569</v>
      </c>
      <c r="D2060" s="2" t="str">
        <f t="shared" si="31"/>
        <v>Error?</v>
      </c>
    </row>
    <row r="2061" spans="1:4" x14ac:dyDescent="0.2">
      <c r="A2061" s="5">
        <v>2000</v>
      </c>
      <c r="B2061" s="1832">
        <f>'Cap Outlay Deprec 26'!L16</f>
        <v>28228418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263023</v>
      </c>
      <c r="C2088" s="2" t="s">
        <v>569</v>
      </c>
      <c r="D2088" s="2" t="str">
        <f t="shared" si="31"/>
        <v>Error?</v>
      </c>
    </row>
    <row r="2089" spans="1:4" x14ac:dyDescent="0.2">
      <c r="A2089" s="5">
        <v>2028</v>
      </c>
      <c r="B2089" s="1832">
        <f>'Expenditures 15-22'!K92</f>
        <v>1079681</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1000000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1949055</v>
      </c>
      <c r="D2475" s="2" t="str">
        <f t="shared" si="37"/>
        <v>Error?</v>
      </c>
    </row>
    <row r="2476" spans="1:4" x14ac:dyDescent="0.2">
      <c r="A2476" s="10">
        <v>2415</v>
      </c>
      <c r="B2476" s="1832"/>
      <c r="D2476" s="2" t="str">
        <f t="shared" si="37"/>
        <v>OK</v>
      </c>
    </row>
    <row r="2477" spans="1:4" x14ac:dyDescent="0.2">
      <c r="A2477" s="5">
        <v>2416</v>
      </c>
      <c r="B2477" s="1832">
        <f>'Assets-Liab 5-6'!G38</f>
        <v>1493787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972987</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893819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7798485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6498419</v>
      </c>
      <c r="C2553" s="2" t="s">
        <v>569</v>
      </c>
      <c r="D2553" s="2" t="str">
        <f t="shared" si="38"/>
        <v>Error?</v>
      </c>
    </row>
    <row r="2554" spans="1:4" x14ac:dyDescent="0.2">
      <c r="A2554" s="5">
        <v>2493</v>
      </c>
      <c r="B2554" s="1832">
        <f>'Acct Summary 7-8'!C7</f>
        <v>1754072</v>
      </c>
      <c r="C2554" s="2" t="s">
        <v>569</v>
      </c>
      <c r="D2554" s="2" t="str">
        <f t="shared" si="38"/>
        <v>Error?</v>
      </c>
    </row>
    <row r="2555" spans="1:4" x14ac:dyDescent="0.2">
      <c r="A2555" s="5">
        <v>2494</v>
      </c>
      <c r="B2555" s="1832">
        <f>'Acct Summary 7-8'!C8</f>
        <v>16050976</v>
      </c>
      <c r="C2555" s="2" t="s">
        <v>569</v>
      </c>
      <c r="D2555" s="2" t="str">
        <f t="shared" si="38"/>
        <v>Error?</v>
      </c>
    </row>
    <row r="2556" spans="1:4" x14ac:dyDescent="0.2">
      <c r="A2556" s="5">
        <v>2495</v>
      </c>
      <c r="B2556" s="1832">
        <f>'Acct Summary 7-8'!C12</f>
        <v>9645403</v>
      </c>
      <c r="C2556" s="2" t="s">
        <v>569</v>
      </c>
      <c r="D2556" s="2" t="str">
        <f t="shared" si="38"/>
        <v>Error?</v>
      </c>
    </row>
    <row r="2557" spans="1:4" x14ac:dyDescent="0.2">
      <c r="A2557" s="5">
        <v>2496</v>
      </c>
      <c r="B2557" s="1832">
        <f>'Acct Summary 7-8'!C13</f>
        <v>3880864</v>
      </c>
      <c r="C2557" s="2" t="s">
        <v>569</v>
      </c>
      <c r="D2557" s="2" t="str">
        <f t="shared" si="38"/>
        <v>Error?</v>
      </c>
    </row>
    <row r="2558" spans="1:4" x14ac:dyDescent="0.2">
      <c r="A2558" s="5">
        <v>2497</v>
      </c>
      <c r="B2558" s="1832">
        <f>'Acct Summary 7-8'!C14</f>
        <v>78475</v>
      </c>
      <c r="C2558" s="2" t="s">
        <v>569</v>
      </c>
      <c r="D2558" s="2" t="str">
        <f t="shared" si="38"/>
        <v>Error?</v>
      </c>
    </row>
    <row r="2559" spans="1:4" x14ac:dyDescent="0.2">
      <c r="A2559" s="5">
        <v>2498</v>
      </c>
      <c r="B2559" s="1832">
        <f>'Acct Summary 7-8'!C15</f>
        <v>1342704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14947446</v>
      </c>
      <c r="C2561" s="2" t="s">
        <v>569</v>
      </c>
      <c r="D2561" s="2" t="str">
        <f t="shared" si="39"/>
        <v>Error?</v>
      </c>
    </row>
    <row r="2562" spans="1:4" x14ac:dyDescent="0.2">
      <c r="A2562" s="5">
        <v>2501</v>
      </c>
      <c r="B2562" s="1832">
        <f>'Acct Summary 7-8'!C20</f>
        <v>1103530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2383607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2383607</v>
      </c>
      <c r="C2568" s="2" t="s">
        <v>569</v>
      </c>
      <c r="D2568" s="2" t="str">
        <f t="shared" si="39"/>
        <v>Error?</v>
      </c>
    </row>
    <row r="2569" spans="1:4" x14ac:dyDescent="0.2">
      <c r="A2569" s="5">
        <v>2508</v>
      </c>
      <c r="B2569" s="1832">
        <f>'Acct Summary 7-8'!D13</f>
        <v>2101828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2101828</v>
      </c>
      <c r="C2573" s="2" t="s">
        <v>569</v>
      </c>
      <c r="D2573" s="2" t="str">
        <f t="shared" si="39"/>
        <v>Error?</v>
      </c>
    </row>
    <row r="2574" spans="1:4" x14ac:dyDescent="0.2">
      <c r="A2574" s="5">
        <v>2513</v>
      </c>
      <c r="B2574" s="1832">
        <f>'Acct Summary 7-8'!D20</f>
        <v>281779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837750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78677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916427</v>
      </c>
      <c r="C2595" s="2" t="s">
        <v>569</v>
      </c>
      <c r="D2595" s="2" t="str">
        <f t="shared" si="39"/>
        <v>Error?</v>
      </c>
    </row>
    <row r="2596" spans="1:4" x14ac:dyDescent="0.2">
      <c r="A2596" s="5">
        <v>2535</v>
      </c>
      <c r="B2596" s="1832">
        <f>'Acct Summary 7-8'!F13</f>
        <v>878837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878837</v>
      </c>
      <c r="C2600" s="2" t="s">
        <v>569</v>
      </c>
      <c r="D2600" s="2" t="str">
        <f t="shared" si="39"/>
        <v>Error?</v>
      </c>
    </row>
    <row r="2601" spans="1:4" x14ac:dyDescent="0.2">
      <c r="A2601" s="5">
        <v>2540</v>
      </c>
      <c r="B2601" s="1832">
        <f>'Acct Summary 7-8'!F20</f>
        <v>37590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846536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846536</v>
      </c>
      <c r="C2606" s="2" t="s">
        <v>569</v>
      </c>
      <c r="D2606" s="2" t="str">
        <f t="shared" si="39"/>
        <v>Error?</v>
      </c>
    </row>
    <row r="2607" spans="1:4" x14ac:dyDescent="0.2">
      <c r="A2607" s="5">
        <v>2546</v>
      </c>
      <c r="B2607" s="1832">
        <f>'Acct Summary 7-8'!G12</f>
        <v>226279</v>
      </c>
      <c r="C2607" s="2" t="s">
        <v>569</v>
      </c>
      <c r="D2607" s="2" t="str">
        <f t="shared" si="39"/>
        <v>Error?</v>
      </c>
    </row>
    <row r="2608" spans="1:4" x14ac:dyDescent="0.2">
      <c r="A2608" s="5">
        <v>2547</v>
      </c>
      <c r="B2608" s="1832">
        <f>'Acct Summary 7-8'!G13</f>
        <v>465186</v>
      </c>
      <c r="C2608" s="2" t="s">
        <v>569</v>
      </c>
      <c r="D2608" s="2" t="str">
        <f t="shared" si="39"/>
        <v>Error?</v>
      </c>
    </row>
    <row r="2609" spans="1:4" x14ac:dyDescent="0.2">
      <c r="A2609" s="5">
        <v>2548</v>
      </c>
      <c r="B2609" s="1832">
        <f>'Acct Summary 7-8'!G14</f>
        <v>87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691552</v>
      </c>
      <c r="C2612" s="2" t="s">
        <v>569</v>
      </c>
      <c r="D2612" s="2" t="str">
        <f t="shared" si="39"/>
        <v>Error?</v>
      </c>
    </row>
    <row r="2613" spans="1:4" x14ac:dyDescent="0.2">
      <c r="A2613" s="5">
        <v>2552</v>
      </c>
      <c r="B2613" s="1832">
        <f>'Acct Summary 7-8'!G20</f>
        <v>154984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1926212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1926212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1753771</v>
      </c>
      <c r="C2634" s="2" t="s">
        <v>569</v>
      </c>
      <c r="D2634" s="2" t="str">
        <f t="shared" si="40"/>
        <v>Error?</v>
      </c>
    </row>
    <row r="2635" spans="1:4" x14ac:dyDescent="0.2">
      <c r="A2635" s="5">
        <v>2574</v>
      </c>
      <c r="B2635" s="1832">
        <f>'Acct Summary 7-8'!E17</f>
        <v>1753771</v>
      </c>
      <c r="C2635" s="2" t="s">
        <v>569</v>
      </c>
      <c r="D2635" s="2" t="str">
        <f t="shared" si="40"/>
        <v>Error?</v>
      </c>
    </row>
    <row r="2636" spans="1:4" x14ac:dyDescent="0.2">
      <c r="A2636" s="5">
        <v>2575</v>
      </c>
      <c r="B2636" s="1832">
        <f>'Acct Summary 7-8'!E20</f>
        <v>172441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17607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17607</v>
      </c>
      <c r="C2658" s="2" t="s">
        <v>569</v>
      </c>
      <c r="D2658" s="2" t="str">
        <f t="shared" si="40"/>
        <v>Error?</v>
      </c>
    </row>
    <row r="2659" spans="1:4" x14ac:dyDescent="0.2">
      <c r="A2659" s="5">
        <v>2598</v>
      </c>
      <c r="B2659" s="1832">
        <f>'Acct Summary 7-8'!H13</f>
        <v>1364990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1364990</v>
      </c>
      <c r="C2661" s="2" t="s">
        <v>569</v>
      </c>
      <c r="D2661" s="2" t="str">
        <f t="shared" si="40"/>
        <v>Error?</v>
      </c>
    </row>
    <row r="2662" spans="1:4" x14ac:dyDescent="0.2">
      <c r="A2662" s="5">
        <v>2601</v>
      </c>
      <c r="B2662" s="1832">
        <f>'Acct Summary 7-8'!H20</f>
        <v>-1347383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263023</v>
      </c>
      <c r="C2789" s="2" t="s">
        <v>569</v>
      </c>
      <c r="D2789" s="2" t="str">
        <f t="shared" si="42"/>
        <v>Error?</v>
      </c>
    </row>
    <row r="2790" spans="1:4" x14ac:dyDescent="0.2">
      <c r="A2790" s="5">
        <v>2729</v>
      </c>
      <c r="B2790" s="1832">
        <f>'Expenditures 15-22'!E102</f>
        <v>263023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2822</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308107</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2766576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702240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413305</v>
      </c>
      <c r="D2908" s="2" t="str">
        <f t="shared" si="44"/>
        <v>Error?</v>
      </c>
    </row>
    <row r="2909" spans="1:4" x14ac:dyDescent="0.2">
      <c r="A2909" s="10">
        <v>2848</v>
      </c>
      <c r="B2909" s="1832"/>
      <c r="D2909" s="2" t="str">
        <f t="shared" si="44"/>
        <v>OK</v>
      </c>
    </row>
    <row r="2910" spans="1:4" x14ac:dyDescent="0.2">
      <c r="A2910" s="5">
        <v>2849</v>
      </c>
      <c r="B2910" s="1832">
        <f>'Assets-Liab 5-6'!I34</f>
        <v>413305</v>
      </c>
      <c r="C2910" s="2" t="s">
        <v>569</v>
      </c>
      <c r="D2910" s="2" t="str">
        <f t="shared" si="44"/>
        <v>Error?</v>
      </c>
    </row>
    <row r="2911" spans="1:4" x14ac:dyDescent="0.2">
      <c r="A2911" s="5">
        <v>2850</v>
      </c>
      <c r="B2911" s="1832">
        <f>'Assets-Liab 5-6'!I38</f>
        <v>2353271</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2766576</v>
      </c>
      <c r="C2913" s="2" t="s">
        <v>569</v>
      </c>
      <c r="D2913" s="2" t="str">
        <f t="shared" si="44"/>
        <v>Error?</v>
      </c>
    </row>
    <row r="2914" spans="1:4" x14ac:dyDescent="0.2">
      <c r="A2914" s="5">
        <v>2853</v>
      </c>
      <c r="B2914" s="1832">
        <f>'Assets-Liab 5-6'!L33</f>
        <v>702240</v>
      </c>
      <c r="D2914" s="2" t="str">
        <f t="shared" si="44"/>
        <v>Error?</v>
      </c>
    </row>
    <row r="2915" spans="1:4" x14ac:dyDescent="0.2">
      <c r="A2915" s="10">
        <v>2854</v>
      </c>
      <c r="B2915" s="1832"/>
      <c r="D2915" s="2" t="str">
        <f t="shared" si="44"/>
        <v>OK</v>
      </c>
    </row>
    <row r="2916" spans="1:4" x14ac:dyDescent="0.2">
      <c r="A2916" s="5">
        <v>2855</v>
      </c>
      <c r="B2916" s="1832">
        <f>'Assets-Liab 5-6'!L34</f>
        <v>702240</v>
      </c>
      <c r="C2916" s="2" t="s">
        <v>569</v>
      </c>
      <c r="D2916" s="2" t="str">
        <f t="shared" si="44"/>
        <v>Error?</v>
      </c>
    </row>
    <row r="2917" spans="1:4" x14ac:dyDescent="0.2">
      <c r="A2917" s="5">
        <v>2856</v>
      </c>
      <c r="B2917" s="1832">
        <f>'Assets-Liab 5-6'!L41</f>
        <v>702240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210</v>
      </c>
      <c r="D2949" s="2" t="str">
        <f t="shared" si="45"/>
        <v>Error?</v>
      </c>
    </row>
    <row r="2950" spans="1:4" x14ac:dyDescent="0.2">
      <c r="A2950" s="5">
        <v>2889</v>
      </c>
      <c r="B2950" s="1832">
        <f>'Expenditures 15-22'!E79</f>
        <v>262538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275</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210</v>
      </c>
      <c r="C2973" s="2" t="s">
        <v>569</v>
      </c>
      <c r="D2973" s="2" t="str">
        <f t="shared" si="45"/>
        <v>Error?</v>
      </c>
    </row>
    <row r="2974" spans="1:4" x14ac:dyDescent="0.2">
      <c r="A2974" s="5">
        <v>2913</v>
      </c>
      <c r="B2974" s="1832">
        <f>'Expenditures 15-22'!K79</f>
        <v>262538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275</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290797</v>
      </c>
      <c r="D3055" s="2" t="str">
        <f t="shared" si="46"/>
        <v>Error?</v>
      </c>
    </row>
    <row r="3056" spans="1:4" x14ac:dyDescent="0.2">
      <c r="A3056" s="5">
        <v>2995</v>
      </c>
      <c r="B3056" s="1832">
        <f>'Expenditures 15-22'!D10</f>
        <v>59692</v>
      </c>
      <c r="D3056" s="2" t="str">
        <f t="shared" si="46"/>
        <v>Error?</v>
      </c>
    </row>
    <row r="3057" spans="1:4" x14ac:dyDescent="0.2">
      <c r="A3057" s="5">
        <v>2996</v>
      </c>
      <c r="B3057" s="1832">
        <f>'Expenditures 15-22'!E10</f>
        <v>6114</v>
      </c>
      <c r="D3057" s="2" t="str">
        <f t="shared" si="46"/>
        <v>Error?</v>
      </c>
    </row>
    <row r="3058" spans="1:4" x14ac:dyDescent="0.2">
      <c r="A3058" s="5">
        <v>2997</v>
      </c>
      <c r="B3058" s="1832">
        <f>'Expenditures 15-22'!F10</f>
        <v>69387</v>
      </c>
      <c r="D3058" s="2" t="str">
        <f t="shared" si="46"/>
        <v>Error?</v>
      </c>
    </row>
    <row r="3059" spans="1:4" x14ac:dyDescent="0.2">
      <c r="A3059" s="5">
        <v>2998</v>
      </c>
      <c r="B3059" s="1832">
        <f>'Expenditures 15-22'!G10</f>
        <v>9880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435870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39817</v>
      </c>
      <c r="D3064" s="2" t="str">
        <f t="shared" si="46"/>
        <v>Error?</v>
      </c>
    </row>
    <row r="3065" spans="1:4" x14ac:dyDescent="0.2">
      <c r="A3065" s="5">
        <v>3004</v>
      </c>
      <c r="B3065" s="1832">
        <f>'Expenditures 15-22'!K219</f>
        <v>39817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325349</v>
      </c>
      <c r="C3225" s="2" t="s">
        <v>569</v>
      </c>
      <c r="D3225" s="2" t="str">
        <f t="shared" si="49"/>
        <v>Error?</v>
      </c>
    </row>
    <row r="3226" spans="1:4" x14ac:dyDescent="0.2">
      <c r="A3226" s="5">
        <v>3165</v>
      </c>
      <c r="B3226" s="1832">
        <f>'Acct Summary 7-8'!I8</f>
        <v>325349</v>
      </c>
      <c r="C3226" s="2" t="s">
        <v>569</v>
      </c>
      <c r="D3226" s="2" t="str">
        <f t="shared" si="49"/>
        <v>Error?</v>
      </c>
    </row>
    <row r="3227" spans="1:4" x14ac:dyDescent="0.2">
      <c r="A3227" s="5">
        <v>3166</v>
      </c>
      <c r="B3227" s="1832">
        <f>'Acct Summary 7-8'!I20</f>
        <v>325349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1000000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1000000</v>
      </c>
      <c r="C3232" s="2" t="s">
        <v>569</v>
      </c>
      <c r="D3232" s="2" t="str">
        <f t="shared" si="49"/>
        <v>Error?</v>
      </c>
    </row>
    <row r="3233" spans="1:4" x14ac:dyDescent="0.2">
      <c r="A3233" s="5">
        <v>3172</v>
      </c>
      <c r="B3233" s="1832">
        <f>'Acct Summary 7-8'!C78</f>
        <v>2103530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281779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37590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154984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172441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-1347383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1000000</v>
      </c>
      <c r="C3318" s="2" t="s">
        <v>569</v>
      </c>
      <c r="D3318" s="2" t="str">
        <f t="shared" si="50"/>
        <v>Error?</v>
      </c>
    </row>
    <row r="3319" spans="1:4" x14ac:dyDescent="0.2">
      <c r="A3319" s="5">
        <v>3258</v>
      </c>
      <c r="B3319" s="1832">
        <f>'Acct Summary 7-8'!I77</f>
        <v>-1000000</v>
      </c>
      <c r="C3319" s="2" t="s">
        <v>569</v>
      </c>
      <c r="D3319" s="2" t="str">
        <f t="shared" si="50"/>
        <v>Error?</v>
      </c>
    </row>
    <row r="3320" spans="1:4" x14ac:dyDescent="0.2">
      <c r="A3320" s="5">
        <v>3259</v>
      </c>
      <c r="B3320" s="1832">
        <f>'Acct Summary 7-8'!I78</f>
        <v>-674651</v>
      </c>
      <c r="C3320" s="2" t="s">
        <v>569</v>
      </c>
      <c r="D3320" s="2" t="str">
        <f t="shared" si="50"/>
        <v>Error?</v>
      </c>
    </row>
    <row r="3321" spans="1:4" x14ac:dyDescent="0.2">
      <c r="A3321" s="5">
        <v>3260</v>
      </c>
      <c r="B3321" s="1832">
        <f>'Acct Summary 7-8'!I79</f>
        <v>3027922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2353271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1478574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289003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8095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3741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16652</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269</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1796334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61696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61696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8988335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2919333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1254371</v>
      </c>
      <c r="D3417" s="2" t="str">
        <f t="shared" si="52"/>
        <v>Error?</v>
      </c>
    </row>
    <row r="3418" spans="1:4" x14ac:dyDescent="0.2">
      <c r="A3418" s="10">
        <v>3357</v>
      </c>
      <c r="B3418" s="1832"/>
      <c r="D3418" s="2" t="str">
        <f t="shared" si="52"/>
        <v>OK</v>
      </c>
    </row>
    <row r="3419" spans="1:4" x14ac:dyDescent="0.2">
      <c r="A3419" s="5">
        <v>3358</v>
      </c>
      <c r="B3419" s="1832">
        <f>'Assets-Liab 5-6'!F4</f>
        <v>1439545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1776879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896641</v>
      </c>
      <c r="D3425" s="2" t="str">
        <f t="shared" si="52"/>
        <v>Error?</v>
      </c>
    </row>
    <row r="3426" spans="1:4" x14ac:dyDescent="0.2">
      <c r="A3426" s="10">
        <v>3365</v>
      </c>
      <c r="B3426" s="1832"/>
      <c r="D3426" s="2" t="str">
        <f t="shared" si="52"/>
        <v>OK</v>
      </c>
    </row>
    <row r="3427" spans="1:4" x14ac:dyDescent="0.2">
      <c r="A3427" s="5">
        <v>3366</v>
      </c>
      <c r="B3427" s="1832">
        <f>'Assets-Liab 5-6'!I4</f>
        <v>2455820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702240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661018</v>
      </c>
      <c r="C3446" s="2" t="s">
        <v>569</v>
      </c>
      <c r="D3446" s="2" t="str">
        <f t="shared" si="52"/>
        <v>Error?</v>
      </c>
    </row>
    <row r="3447" spans="1:4" x14ac:dyDescent="0.2">
      <c r="A3447" s="5">
        <v>3386</v>
      </c>
      <c r="B3447" s="1832">
        <f>'Tax Sched 23'!D16</f>
        <v>409805</v>
      </c>
      <c r="C3447" s="2" t="s">
        <v>569</v>
      </c>
      <c r="D3447" s="2" t="str">
        <f t="shared" si="52"/>
        <v>Error?</v>
      </c>
    </row>
    <row r="3448" spans="1:4" x14ac:dyDescent="0.2">
      <c r="A3448" s="5">
        <v>3387</v>
      </c>
      <c r="B3448" s="1832">
        <f>'Tax Sched 23'!C16</f>
        <v>251213</v>
      </c>
      <c r="D3448" s="2" t="str">
        <f t="shared" si="52"/>
        <v>Error?</v>
      </c>
    </row>
    <row r="3449" spans="1:4" x14ac:dyDescent="0.2">
      <c r="A3449" s="5">
        <v>3388</v>
      </c>
      <c r="B3449" s="1832">
        <f>'Tax Sched 23'!F16</f>
        <v>404148</v>
      </c>
      <c r="C3449" s="2" t="s">
        <v>569</v>
      </c>
      <c r="D3449" s="2" t="str">
        <f t="shared" si="52"/>
        <v>Error?</v>
      </c>
    </row>
    <row r="3450" spans="1:4" x14ac:dyDescent="0.2">
      <c r="A3450" s="5">
        <v>3389</v>
      </c>
      <c r="B3450" s="1832">
        <f>'Tax Sched 23'!E16</f>
        <v>655361</v>
      </c>
      <c r="D3450" s="2" t="str">
        <f t="shared" si="52"/>
        <v>Error?</v>
      </c>
    </row>
    <row r="3451" spans="1:4" x14ac:dyDescent="0.2">
      <c r="A3451" s="5">
        <v>3390</v>
      </c>
      <c r="B3451" s="1832">
        <f>'Cap Outlay Deprec 26'!C15</f>
        <v>7504688</v>
      </c>
      <c r="D3451" s="2" t="str">
        <f t="shared" si="52"/>
        <v>Error?</v>
      </c>
    </row>
    <row r="3452" spans="1:4" x14ac:dyDescent="0.2">
      <c r="A3452" s="5">
        <v>3391</v>
      </c>
      <c r="B3452" s="1832">
        <f>'Cap Outlay Deprec 26'!D15</f>
        <v>2090861</v>
      </c>
      <c r="D3452" s="2" t="str">
        <f t="shared" si="52"/>
        <v>Error?</v>
      </c>
    </row>
    <row r="3453" spans="1:4" x14ac:dyDescent="0.2">
      <c r="A3453" s="5">
        <v>3392</v>
      </c>
      <c r="B3453" s="1832">
        <f>'Cap Outlay Deprec 26'!E15</f>
        <v>9592727</v>
      </c>
      <c r="D3453" s="2" t="str">
        <f t="shared" si="52"/>
        <v>Error?</v>
      </c>
    </row>
    <row r="3454" spans="1:4" x14ac:dyDescent="0.2">
      <c r="A3454" s="5">
        <v>3393</v>
      </c>
      <c r="B3454" s="1832">
        <f>'Cap Outlay Deprec 26'!F15</f>
        <v>2822</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2822</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430683</v>
      </c>
      <c r="D3546" s="2" t="str">
        <f t="shared" si="54"/>
        <v>Error?</v>
      </c>
    </row>
    <row r="3547" spans="1:4" x14ac:dyDescent="0.2">
      <c r="A3547" s="10">
        <v>3486</v>
      </c>
      <c r="B3547" s="1832"/>
      <c r="D3547" s="2" t="str">
        <f t="shared" si="54"/>
        <v>OK</v>
      </c>
    </row>
    <row r="3548" spans="1:4" x14ac:dyDescent="0.2">
      <c r="A3548" s="5">
        <v>3487</v>
      </c>
      <c r="B3548" s="1832">
        <f>'Assets-Liab 5-6'!K6</f>
        <v>308107</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738790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463305</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463305</v>
      </c>
      <c r="C3565" s="2" t="s">
        <v>569</v>
      </c>
      <c r="D3565" s="2" t="str">
        <f t="shared" si="54"/>
        <v>Error?</v>
      </c>
    </row>
    <row r="3566" spans="1:4" x14ac:dyDescent="0.2">
      <c r="A3566" s="5">
        <v>3505</v>
      </c>
      <c r="B3566" s="1832">
        <f>'Assets-Liab 5-6'!K38</f>
        <v>275485</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738790</v>
      </c>
      <c r="C3568" s="2" t="s">
        <v>569</v>
      </c>
      <c r="D3568" s="2" t="str">
        <f t="shared" si="54"/>
        <v>Error?</v>
      </c>
    </row>
    <row r="3569" spans="1:4" x14ac:dyDescent="0.2">
      <c r="A3569" s="5">
        <v>3508</v>
      </c>
      <c r="B3569" s="1832">
        <f>'Acct Summary 7-8'!K4</f>
        <v>275641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275641</v>
      </c>
      <c r="C3571" s="2" t="s">
        <v>569</v>
      </c>
      <c r="D3571" s="2" t="str">
        <f t="shared" si="54"/>
        <v>Error?</v>
      </c>
    </row>
    <row r="3572" spans="1:4" x14ac:dyDescent="0.2">
      <c r="A3572" s="5">
        <v>3511</v>
      </c>
      <c r="B3572" s="1832">
        <f>'Acct Summary 7-8'!K13</f>
        <v>387264</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387264</v>
      </c>
      <c r="C3575" s="2" t="s">
        <v>569</v>
      </c>
      <c r="D3575" s="2" t="str">
        <f t="shared" si="54"/>
        <v>Error?</v>
      </c>
    </row>
    <row r="3576" spans="1:4" x14ac:dyDescent="0.2">
      <c r="A3576" s="5">
        <v>3515</v>
      </c>
      <c r="B3576" s="1832">
        <f>'Acct Summary 7-8'!K20</f>
        <v>-111623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-111623</v>
      </c>
      <c r="C3588" s="2" t="s">
        <v>569</v>
      </c>
      <c r="D3588" s="2" t="str">
        <f t="shared" si="55"/>
        <v>Error?</v>
      </c>
    </row>
    <row r="3589" spans="1:4" x14ac:dyDescent="0.2">
      <c r="A3589" s="5">
        <v>3528</v>
      </c>
      <c r="B3589" s="1832">
        <f>'Acct Summary 7-8'!K79</f>
        <v>387108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275485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2383</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2383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2383</v>
      </c>
      <c r="C3635" s="2" t="s">
        <v>569</v>
      </c>
      <c r="D3635" s="2" t="str">
        <f t="shared" si="55"/>
        <v>Error?</v>
      </c>
    </row>
    <row r="3636" spans="1:4" x14ac:dyDescent="0.2">
      <c r="A3636" s="5">
        <v>3575</v>
      </c>
      <c r="B3636" s="1832">
        <f>'Expenditures 15-22'!E367</f>
        <v>2383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384881</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384881</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384881</v>
      </c>
      <c r="C3649" s="2" t="s">
        <v>569</v>
      </c>
      <c r="D3649" s="2" t="str">
        <f t="shared" si="56"/>
        <v>Error?</v>
      </c>
    </row>
    <row r="3650" spans="1:4" x14ac:dyDescent="0.2">
      <c r="A3650" s="5">
        <v>3589</v>
      </c>
      <c r="B3650" s="1832">
        <f>'Expenditures 15-22'!G367</f>
        <v>384881</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387264</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387264</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387264</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387264</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-111623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282449</v>
      </c>
      <c r="C3725" s="2" t="s">
        <v>569</v>
      </c>
      <c r="D3725" s="2" t="str">
        <f t="shared" si="57"/>
        <v>Error?</v>
      </c>
    </row>
    <row r="3726" spans="1:4" x14ac:dyDescent="0.2">
      <c r="A3726" s="5">
        <v>3665</v>
      </c>
      <c r="B3726" s="1832">
        <f>'Tax Sched 23'!D13</f>
        <v>177251</v>
      </c>
      <c r="C3726" s="2" t="s">
        <v>569</v>
      </c>
      <c r="D3726" s="2" t="str">
        <f t="shared" si="57"/>
        <v>Error?</v>
      </c>
    </row>
    <row r="3727" spans="1:4" x14ac:dyDescent="0.2">
      <c r="A3727" s="5">
        <v>3666</v>
      </c>
      <c r="B3727" s="1832">
        <f>'Tax Sched 23'!C13</f>
        <v>105198</v>
      </c>
      <c r="D3727" s="2" t="str">
        <f t="shared" si="57"/>
        <v>Error?</v>
      </c>
    </row>
    <row r="3728" spans="1:4" x14ac:dyDescent="0.2">
      <c r="A3728" s="5">
        <v>3667</v>
      </c>
      <c r="B3728" s="1832">
        <f>'Tax Sched 23'!F13</f>
        <v>169241</v>
      </c>
      <c r="C3728" s="2" t="s">
        <v>569</v>
      </c>
      <c r="D3728" s="2" t="str">
        <f t="shared" si="57"/>
        <v>Error?</v>
      </c>
    </row>
    <row r="3729" spans="1:4" x14ac:dyDescent="0.2">
      <c r="A3729" s="5">
        <v>3668</v>
      </c>
      <c r="B3729" s="1832">
        <f>'Tax Sched 23'!E13</f>
        <v>274439</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7293152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23344128</v>
      </c>
      <c r="C4122" s="2" t="s">
        <v>569</v>
      </c>
      <c r="D4122" s="2" t="str">
        <f t="shared" si="63"/>
        <v>Error?</v>
      </c>
    </row>
    <row r="4123" spans="1:4" x14ac:dyDescent="0.2">
      <c r="A4123" s="5">
        <v>4062</v>
      </c>
      <c r="B4123" s="1832">
        <f>'Acct Summary 7-8'!D10</f>
        <v>2383607</v>
      </c>
      <c r="C4123" s="2" t="s">
        <v>569</v>
      </c>
      <c r="D4123" s="2" t="str">
        <f t="shared" si="63"/>
        <v>Error?</v>
      </c>
    </row>
    <row r="4124" spans="1:4" x14ac:dyDescent="0.2">
      <c r="A4124" s="5">
        <v>4063</v>
      </c>
      <c r="B4124" s="1832">
        <f>'Acct Summary 7-8'!E10</f>
        <v>1926212</v>
      </c>
      <c r="C4124" s="2" t="s">
        <v>569</v>
      </c>
      <c r="D4124" s="2" t="str">
        <f t="shared" si="63"/>
        <v>Error?</v>
      </c>
    </row>
    <row r="4125" spans="1:4" x14ac:dyDescent="0.2">
      <c r="A4125" s="5">
        <v>4064</v>
      </c>
      <c r="B4125" s="1832">
        <f>'Acct Summary 7-8'!F10</f>
        <v>916427</v>
      </c>
      <c r="C4125" s="2" t="s">
        <v>569</v>
      </c>
      <c r="D4125" s="2" t="str">
        <f t="shared" si="63"/>
        <v>Error?</v>
      </c>
    </row>
    <row r="4126" spans="1:4" x14ac:dyDescent="0.2">
      <c r="A4126" s="5">
        <v>4065</v>
      </c>
      <c r="B4126" s="1832">
        <f>'Acct Summary 7-8'!G10</f>
        <v>846536</v>
      </c>
      <c r="C4126" s="2" t="s">
        <v>569</v>
      </c>
      <c r="D4126" s="2" t="str">
        <f t="shared" si="63"/>
        <v>Error?</v>
      </c>
    </row>
    <row r="4127" spans="1:4" x14ac:dyDescent="0.2">
      <c r="A4127" s="5">
        <v>4066</v>
      </c>
      <c r="B4127" s="1832">
        <f>'Acct Summary 7-8'!H10</f>
        <v>17607</v>
      </c>
      <c r="C4127" s="2" t="s">
        <v>569</v>
      </c>
      <c r="D4127" s="2" t="str">
        <f t="shared" si="63"/>
        <v>Error?</v>
      </c>
    </row>
    <row r="4128" spans="1:4" x14ac:dyDescent="0.2">
      <c r="A4128" s="5">
        <v>4067</v>
      </c>
      <c r="B4128" s="1832">
        <f>'Acct Summary 7-8'!I10</f>
        <v>325349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275641</v>
      </c>
      <c r="C4130" s="2" t="s">
        <v>569</v>
      </c>
      <c r="D4130" s="2" t="str">
        <f t="shared" si="63"/>
        <v>Error?</v>
      </c>
    </row>
    <row r="4131" spans="1:4" x14ac:dyDescent="0.2">
      <c r="A4131" s="5">
        <v>4070</v>
      </c>
      <c r="B4131" s="1832">
        <f>'Acct Summary 7-8'!C18</f>
        <v>7293152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22240598</v>
      </c>
      <c r="C4136" s="2" t="s">
        <v>569</v>
      </c>
      <c r="D4136" s="2" t="str">
        <f t="shared" si="63"/>
        <v>Error?</v>
      </c>
    </row>
    <row r="4137" spans="1:4" x14ac:dyDescent="0.2">
      <c r="A4137" s="5">
        <v>4076</v>
      </c>
      <c r="B4137" s="1832">
        <f>'Acct Summary 7-8'!D19</f>
        <v>2101828</v>
      </c>
      <c r="C4137" s="2" t="s">
        <v>569</v>
      </c>
      <c r="D4137" s="2" t="str">
        <f t="shared" si="63"/>
        <v>Error?</v>
      </c>
    </row>
    <row r="4138" spans="1:4" x14ac:dyDescent="0.2">
      <c r="A4138" s="5">
        <v>4077</v>
      </c>
      <c r="B4138" s="1832">
        <f>'Acct Summary 7-8'!E19</f>
        <v>1753771</v>
      </c>
      <c r="C4138" s="2" t="s">
        <v>569</v>
      </c>
      <c r="D4138" s="2" t="str">
        <f t="shared" si="63"/>
        <v>Error?</v>
      </c>
    </row>
    <row r="4139" spans="1:4" x14ac:dyDescent="0.2">
      <c r="A4139" s="5">
        <v>4078</v>
      </c>
      <c r="B4139" s="1832">
        <f>'Acct Summary 7-8'!F19</f>
        <v>878837</v>
      </c>
      <c r="C4139" s="2" t="s">
        <v>569</v>
      </c>
      <c r="D4139" s="2" t="str">
        <f t="shared" si="63"/>
        <v>Error?</v>
      </c>
    </row>
    <row r="4140" spans="1:4" x14ac:dyDescent="0.2">
      <c r="A4140" s="5">
        <v>4079</v>
      </c>
      <c r="B4140" s="1832">
        <f>'Acct Summary 7-8'!G19</f>
        <v>691552</v>
      </c>
      <c r="C4140" s="2" t="s">
        <v>569</v>
      </c>
      <c r="D4140" s="2" t="str">
        <f t="shared" si="63"/>
        <v>Error?</v>
      </c>
    </row>
    <row r="4141" spans="1:4" x14ac:dyDescent="0.2">
      <c r="A4141" s="5">
        <v>4080</v>
      </c>
      <c r="B4141" s="1832">
        <f>'Acct Summary 7-8'!H19</f>
        <v>1364990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387264</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8600000</v>
      </c>
      <c r="C4171" s="2" t="s">
        <v>569</v>
      </c>
      <c r="D4171" s="2" t="str">
        <f t="shared" si="64"/>
        <v>Error?</v>
      </c>
    </row>
    <row r="4172" spans="1:4" x14ac:dyDescent="0.2">
      <c r="A4172" s="5">
        <v>4111</v>
      </c>
      <c r="B4172" s="1832">
        <f>'Short-Term Long-Term Debt 24'!J49</f>
        <v>7627013</v>
      </c>
      <c r="C4172" s="2" t="s">
        <v>569</v>
      </c>
      <c r="D4172" s="2" t="str">
        <f t="shared" si="64"/>
        <v>Error?</v>
      </c>
    </row>
    <row r="4173" spans="1:4" x14ac:dyDescent="0.2">
      <c r="A4173" s="5">
        <v>4112</v>
      </c>
      <c r="B4173" s="1832">
        <f>'Short-Term Long-Term Debt 24'!H49</f>
        <v>1445000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1290</v>
      </c>
      <c r="C4268" s="2" t="s">
        <v>569</v>
      </c>
      <c r="D4268" s="2" t="str">
        <f t="shared" si="65"/>
        <v>Error?</v>
      </c>
    </row>
    <row r="4269" spans="1:5" x14ac:dyDescent="0.2">
      <c r="A4269" s="12">
        <v>4208</v>
      </c>
      <c r="B4269" s="1832">
        <f>'FP Info 3'!J16</f>
        <v>14454708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13114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11000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5901</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74296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9600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1259</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5620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548878338</v>
      </c>
      <c r="D4995" s="2" t="str">
        <f t="shared" si="77"/>
        <v>Error?</v>
      </c>
    </row>
    <row r="4996" spans="1:4" x14ac:dyDescent="0.2">
      <c r="A4996" s="12">
        <v>4935</v>
      </c>
      <c r="B4996" s="1832">
        <f>'FP Info 3'!H31</f>
        <v>37872605.322000004</v>
      </c>
      <c r="D4996" s="2" t="str">
        <f t="shared" si="77"/>
        <v>Error?</v>
      </c>
    </row>
    <row r="4997" spans="1:4" x14ac:dyDescent="0.2">
      <c r="A4997" s="12">
        <v>4936</v>
      </c>
      <c r="B4997" s="1832">
        <f>'FP Info 3'!H37</f>
        <v>8600000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27053</v>
      </c>
      <c r="D5026" s="2" t="str">
        <f t="shared" si="77"/>
        <v>Error?</v>
      </c>
    </row>
    <row r="5027" spans="1:4" x14ac:dyDescent="0.2">
      <c r="A5027" s="5">
        <v>4966</v>
      </c>
      <c r="B5027" s="1832">
        <f>'Revenues 9-14'!F104</f>
        <v>31880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4977691</v>
      </c>
      <c r="D5061" s="2" t="str">
        <f t="shared" si="78"/>
        <v>Error?</v>
      </c>
    </row>
    <row r="5062" spans="1:4" x14ac:dyDescent="0.2">
      <c r="A5062" s="10">
        <v>5001</v>
      </c>
      <c r="B5062" s="1832"/>
      <c r="D5062" s="2" t="str">
        <f t="shared" si="78"/>
        <v>OK</v>
      </c>
    </row>
    <row r="5063" spans="1:4" x14ac:dyDescent="0.2">
      <c r="A5063" s="5">
        <v>5002</v>
      </c>
      <c r="B5063" s="1832">
        <f>'Revenues 9-14'!C7</f>
        <v>108211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5112955</v>
      </c>
      <c r="C5066" s="2" t="s">
        <v>569</v>
      </c>
      <c r="D5066" s="2" t="str">
        <f t="shared" si="78"/>
        <v>Error?</v>
      </c>
    </row>
    <row r="5067" spans="1:4" x14ac:dyDescent="0.2">
      <c r="A5067" s="5">
        <v>5006</v>
      </c>
      <c r="B5067" s="1832">
        <f>'Revenues 9-14'!C14</f>
        <v>836</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1909256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1910092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86923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86923</v>
      </c>
      <c r="C5090" s="2" t="s">
        <v>569</v>
      </c>
      <c r="D5090" s="2" t="str">
        <f t="shared" si="78"/>
        <v>Error?</v>
      </c>
    </row>
    <row r="5091" spans="1:4" x14ac:dyDescent="0.2">
      <c r="A5091" s="5">
        <v>5030</v>
      </c>
      <c r="B5091" s="1832">
        <f>'Revenues 9-14'!C70</f>
        <v>6984</v>
      </c>
      <c r="D5091" s="2" t="str">
        <f t="shared" si="78"/>
        <v>Error?</v>
      </c>
    </row>
    <row r="5092" spans="1:4" x14ac:dyDescent="0.2">
      <c r="A5092" s="5">
        <v>5031</v>
      </c>
      <c r="B5092" s="1832">
        <f>'Revenues 9-14'!C71</f>
        <v>76459</v>
      </c>
      <c r="D5092" s="2" t="str">
        <f t="shared" si="78"/>
        <v>Error?</v>
      </c>
    </row>
    <row r="5093" spans="1:4" x14ac:dyDescent="0.2">
      <c r="A5093" s="5">
        <v>5032</v>
      </c>
      <c r="B5093" s="1832">
        <f>'Revenues 9-14'!C72</f>
        <v>11647</v>
      </c>
      <c r="D5093" s="2" t="str">
        <f t="shared" si="78"/>
        <v>Error?</v>
      </c>
    </row>
    <row r="5094" spans="1:4" x14ac:dyDescent="0.2">
      <c r="A5094" s="5">
        <v>5033</v>
      </c>
      <c r="B5094" s="1832">
        <f>'Revenues 9-14'!C73</f>
        <v>4439</v>
      </c>
      <c r="D5094" s="2" t="str">
        <f t="shared" si="78"/>
        <v>Error?</v>
      </c>
    </row>
    <row r="5095" spans="1:4" x14ac:dyDescent="0.2">
      <c r="A5095" s="5">
        <v>5034</v>
      </c>
      <c r="B5095" s="1832">
        <f>'Revenues 9-14'!C74</f>
        <v>10498</v>
      </c>
      <c r="D5095" s="2" t="str">
        <f t="shared" si="78"/>
        <v>Error?</v>
      </c>
    </row>
    <row r="5096" spans="1:4" x14ac:dyDescent="0.2">
      <c r="A5096" s="5">
        <v>5035</v>
      </c>
      <c r="B5096" s="1832">
        <f>'Revenues 9-14'!C75</f>
        <v>250159</v>
      </c>
      <c r="C5096" s="2" t="s">
        <v>569</v>
      </c>
      <c r="D5096" s="2" t="str">
        <f t="shared" si="78"/>
        <v>Error?</v>
      </c>
    </row>
    <row r="5097" spans="1:4" x14ac:dyDescent="0.2">
      <c r="A5097" s="5">
        <v>5036</v>
      </c>
      <c r="B5097" s="1832">
        <f>'Revenues 9-14'!C77</f>
        <v>74937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10297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85234</v>
      </c>
      <c r="C5102" s="2" t="s">
        <v>569</v>
      </c>
      <c r="D5102" s="2" t="str">
        <f t="shared" si="78"/>
        <v>Error?</v>
      </c>
    </row>
    <row r="5103" spans="1:4" x14ac:dyDescent="0.2">
      <c r="A5103" s="5">
        <v>5042</v>
      </c>
      <c r="B5103" s="1832">
        <f>'Revenues 9-14'!C84</f>
        <v>40825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40825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750</v>
      </c>
      <c r="D5114" s="2" t="str">
        <f t="shared" si="78"/>
        <v>Error?</v>
      </c>
    </row>
    <row r="5115" spans="1:4" x14ac:dyDescent="0.2">
      <c r="A5115" s="5">
        <v>5054</v>
      </c>
      <c r="B5115" s="1832">
        <f>'Revenues 9-14'!C98</f>
        <v>27926</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48987</v>
      </c>
      <c r="D5119" s="2" t="str">
        <f t="shared" ref="D5119:D5182" si="79">IF(ISBLANK(B5119),"OK",IF(A5119-B5119=0,"OK","Error?"))</f>
        <v>Error?</v>
      </c>
    </row>
    <row r="5120" spans="1:4" x14ac:dyDescent="0.2">
      <c r="A5120" s="5">
        <v>5059</v>
      </c>
      <c r="B5120" s="1832">
        <f>'Revenues 9-14'!C108</f>
        <v>312297</v>
      </c>
      <c r="C5120" s="2" t="s">
        <v>569</v>
      </c>
      <c r="D5120" s="2" t="str">
        <f t="shared" si="79"/>
        <v>Error?</v>
      </c>
    </row>
    <row r="5121" spans="1:4" x14ac:dyDescent="0.2">
      <c r="A5121" s="5">
        <v>5060</v>
      </c>
      <c r="B5121" s="1832">
        <f>'Revenues 9-14'!C109</f>
        <v>7798485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6371172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6371172</v>
      </c>
      <c r="C5132" s="2" t="s">
        <v>569</v>
      </c>
      <c r="D5132" s="2" t="str">
        <f t="shared" si="79"/>
        <v>Error?</v>
      </c>
    </row>
    <row r="5133" spans="1:4" x14ac:dyDescent="0.2">
      <c r="A5133" s="5">
        <v>5072</v>
      </c>
      <c r="B5133" s="1832">
        <f>'Revenues 9-14'!C125</f>
        <v>46750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1165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47915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41114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41114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4816</v>
      </c>
      <c r="D5167" s="2" t="str">
        <f t="shared" si="79"/>
        <v>Error?</v>
      </c>
    </row>
    <row r="5168" spans="1:4" x14ac:dyDescent="0.2">
      <c r="A5168" s="5">
        <v>5107</v>
      </c>
      <c r="B5168" s="1832">
        <f>'Revenues 9-14'!C148</f>
        <v>32143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127247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6498419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345947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48375</v>
      </c>
      <c r="D5241" s="2" t="str">
        <f t="shared" si="80"/>
        <v>Error?</v>
      </c>
    </row>
    <row r="5242" spans="1:4" x14ac:dyDescent="0.2">
      <c r="A5242" s="5">
        <v>5181</v>
      </c>
      <c r="B5242" s="1832">
        <f>'Revenues 9-14'!C194</f>
        <v>44139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438461</v>
      </c>
      <c r="C5246" s="2" t="s">
        <v>569</v>
      </c>
      <c r="D5246" s="2" t="str">
        <f t="shared" si="80"/>
        <v>Error?</v>
      </c>
    </row>
    <row r="5247" spans="1:4" x14ac:dyDescent="0.2">
      <c r="A5247" s="5">
        <v>5186</v>
      </c>
      <c r="B5247" s="1832">
        <f>'Revenues 9-14'!C200</f>
        <v>810798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810798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394882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394882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1754072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1754072</v>
      </c>
      <c r="C5326" s="2" t="s">
        <v>569</v>
      </c>
      <c r="D5326" s="2" t="str">
        <f t="shared" si="82"/>
        <v>Error?</v>
      </c>
    </row>
    <row r="5327" spans="1:5" x14ac:dyDescent="0.2">
      <c r="A5327" s="5">
        <v>5266</v>
      </c>
      <c r="B5327" s="1832">
        <f>'Revenues 9-14'!C268</f>
        <v>16050976</v>
      </c>
      <c r="C5327" s="2" t="s">
        <v>569</v>
      </c>
      <c r="D5327" s="2" t="str">
        <f t="shared" si="82"/>
        <v>Error?</v>
      </c>
    </row>
    <row r="5328" spans="1:5" x14ac:dyDescent="0.2">
      <c r="A5328" s="5">
        <v>5267</v>
      </c>
      <c r="B5328" s="1832">
        <f>'Revenues 9-14'!D5</f>
        <v>1352633</v>
      </c>
      <c r="D5328" s="2" t="str">
        <f t="shared" si="82"/>
        <v>Error?</v>
      </c>
    </row>
    <row r="5329" spans="1:4" x14ac:dyDescent="0.2">
      <c r="A5329" s="10">
        <v>5268</v>
      </c>
      <c r="B5329" s="1832"/>
      <c r="D5329" s="2" t="str">
        <f t="shared" si="82"/>
        <v>OK</v>
      </c>
    </row>
    <row r="5330" spans="1:4" x14ac:dyDescent="0.2">
      <c r="A5330" s="5">
        <v>5269</v>
      </c>
      <c r="B5330" s="1832">
        <f>'Revenues 9-14'!D6</f>
        <v>243474</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1596107</v>
      </c>
      <c r="C5334" s="2" t="s">
        <v>569</v>
      </c>
      <c r="D5334" s="2" t="str">
        <f t="shared" si="82"/>
        <v>Error?</v>
      </c>
    </row>
    <row r="5335" spans="1:4" x14ac:dyDescent="0.2">
      <c r="A5335" s="5">
        <v>5274</v>
      </c>
      <c r="B5335" s="1832">
        <f>'Revenues 9-14'!D14</f>
        <v>262</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260353</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260615</v>
      </c>
      <c r="C5339" s="2" t="s">
        <v>569</v>
      </c>
      <c r="D5339" s="2" t="str">
        <f t="shared" si="82"/>
        <v>Error?</v>
      </c>
    </row>
    <row r="5340" spans="1:4" x14ac:dyDescent="0.2">
      <c r="A5340" s="5">
        <v>5279</v>
      </c>
      <c r="B5340" s="1832">
        <f>'Revenues 9-14'!D65</f>
        <v>98712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98712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897</v>
      </c>
      <c r="D5349" s="2" t="str">
        <f t="shared" si="82"/>
        <v>Error?</v>
      </c>
    </row>
    <row r="5350" spans="1:4" x14ac:dyDescent="0.2">
      <c r="A5350" s="5">
        <v>5289</v>
      </c>
      <c r="B5350" s="1832">
        <f>'Revenues 9-14'!D96</f>
        <v>162597</v>
      </c>
      <c r="D5350" s="2" t="str">
        <f t="shared" si="82"/>
        <v>Error?</v>
      </c>
    </row>
    <row r="5351" spans="1:4" x14ac:dyDescent="0.2">
      <c r="A5351" s="5">
        <v>5290</v>
      </c>
      <c r="B5351" s="1832">
        <f>'Revenues 9-14'!D98</f>
        <v>143463</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75793</v>
      </c>
      <c r="D5353" s="2" t="str">
        <f t="shared" si="82"/>
        <v>Error?</v>
      </c>
    </row>
    <row r="5354" spans="1:4" x14ac:dyDescent="0.2">
      <c r="A5354" s="5">
        <v>5293</v>
      </c>
      <c r="B5354" s="1832">
        <f>'Revenues 9-14'!D107</f>
        <v>45423</v>
      </c>
      <c r="D5354" s="2" t="str">
        <f t="shared" si="82"/>
        <v>Error?</v>
      </c>
    </row>
    <row r="5355" spans="1:4" x14ac:dyDescent="0.2">
      <c r="A5355" s="5">
        <v>5294</v>
      </c>
      <c r="B5355" s="1832">
        <f>'Revenues 9-14'!D108</f>
        <v>428173</v>
      </c>
      <c r="C5355" s="2" t="s">
        <v>569</v>
      </c>
      <c r="D5355" s="2" t="str">
        <f t="shared" si="82"/>
        <v>Error?</v>
      </c>
    </row>
    <row r="5356" spans="1:4" x14ac:dyDescent="0.2">
      <c r="A5356" s="5">
        <v>5295</v>
      </c>
      <c r="B5356" s="1832">
        <f>'Revenues 9-14'!D109</f>
        <v>2383607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2383607</v>
      </c>
      <c r="C5508" s="2" t="s">
        <v>569</v>
      </c>
      <c r="D5508" s="2" t="str">
        <f t="shared" si="85"/>
        <v>Error?</v>
      </c>
    </row>
    <row r="5509" spans="1:4" x14ac:dyDescent="0.2">
      <c r="A5509" s="5">
        <v>5448</v>
      </c>
      <c r="B5509" s="1832">
        <f>'Revenues 9-14'!E5</f>
        <v>1057219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1057219</v>
      </c>
      <c r="C5513" s="2" t="s">
        <v>569</v>
      </c>
      <c r="D5513" s="2" t="str">
        <f t="shared" si="85"/>
        <v>Error?</v>
      </c>
    </row>
    <row r="5514" spans="1:4" x14ac:dyDescent="0.2">
      <c r="A5514" s="5">
        <v>5453</v>
      </c>
      <c r="B5514" s="1832">
        <f>'Revenues 9-14'!E14</f>
        <v>172</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172</v>
      </c>
      <c r="C5518" s="2" t="s">
        <v>569</v>
      </c>
      <c r="D5518" s="2" t="str">
        <f t="shared" si="85"/>
        <v>Error?</v>
      </c>
    </row>
    <row r="5519" spans="1:4" x14ac:dyDescent="0.2">
      <c r="A5519" s="5">
        <v>5458</v>
      </c>
      <c r="B5519" s="1832">
        <f>'Revenues 9-14'!E65</f>
        <v>18560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18560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850261</v>
      </c>
      <c r="C5526" s="2" t="s">
        <v>569</v>
      </c>
      <c r="D5526" s="2" t="str">
        <f t="shared" si="85"/>
        <v>Error?</v>
      </c>
    </row>
    <row r="5527" spans="1:4" x14ac:dyDescent="0.2">
      <c r="A5527" s="5">
        <v>5466</v>
      </c>
      <c r="B5527" s="1832">
        <f>'Revenues 9-14'!E109</f>
        <v>1926212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1926212</v>
      </c>
      <c r="C5552" s="2" t="s">
        <v>569</v>
      </c>
      <c r="D5552" s="2" t="str">
        <f t="shared" si="85"/>
        <v>Error?</v>
      </c>
    </row>
    <row r="5553" spans="1:4" x14ac:dyDescent="0.2">
      <c r="A5553" s="5">
        <v>5492</v>
      </c>
      <c r="B5553" s="1832">
        <f>'Revenues 9-14'!F5</f>
        <v>649916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649916</v>
      </c>
      <c r="C5557" s="2" t="s">
        <v>569</v>
      </c>
      <c r="D5557" s="2" t="str">
        <f t="shared" si="85"/>
        <v>Error?</v>
      </c>
    </row>
    <row r="5558" spans="1:4" x14ac:dyDescent="0.2">
      <c r="A5558" s="5">
        <v>5497</v>
      </c>
      <c r="B5558" s="1832">
        <f>'Revenues 9-14'!F14</f>
        <v>106</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106</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55200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55200</v>
      </c>
      <c r="C5579" s="2" t="s">
        <v>569</v>
      </c>
      <c r="D5579" s="2" t="str">
        <f t="shared" si="86"/>
        <v>Error?</v>
      </c>
    </row>
    <row r="5580" spans="1:4" x14ac:dyDescent="0.2">
      <c r="A5580" s="5">
        <v>5519</v>
      </c>
      <c r="B5580" s="1832">
        <f>'Revenues 9-14'!F65</f>
        <v>50786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50786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49862</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81742</v>
      </c>
      <c r="C5587" s="2" t="s">
        <v>569</v>
      </c>
      <c r="D5587" s="2" t="str">
        <f t="shared" si="86"/>
        <v>Error?</v>
      </c>
    </row>
    <row r="5588" spans="1:4" x14ac:dyDescent="0.2">
      <c r="A5588" s="5">
        <v>5527</v>
      </c>
      <c r="B5588" s="1832">
        <f>'Revenues 9-14'!F109</f>
        <v>837750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78677</v>
      </c>
      <c r="D5617" s="2" t="str">
        <f t="shared" si="86"/>
        <v>Error?</v>
      </c>
    </row>
    <row r="5618" spans="1:5" x14ac:dyDescent="0.2">
      <c r="A5618" s="5">
        <v>5557</v>
      </c>
      <c r="B5618" s="1832">
        <f>'Revenues 9-14'!F155</f>
        <v>78677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78677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78677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916427</v>
      </c>
      <c r="C5720" s="2" t="s">
        <v>569</v>
      </c>
      <c r="D5720" s="2" t="str">
        <f t="shared" si="88"/>
        <v>Error?</v>
      </c>
    </row>
    <row r="5721" spans="1:4" x14ac:dyDescent="0.2">
      <c r="A5721" s="5">
        <v>5660</v>
      </c>
      <c r="B5721" s="1832">
        <f>'Revenues 9-14'!G5</f>
        <v>33546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625458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659004</v>
      </c>
      <c r="C5725" s="2" t="s">
        <v>569</v>
      </c>
      <c r="D5725" s="2" t="str">
        <f t="shared" si="88"/>
        <v>Error?</v>
      </c>
    </row>
    <row r="5726" spans="1:4" x14ac:dyDescent="0.2">
      <c r="A5726" s="5">
        <v>5665</v>
      </c>
      <c r="B5726" s="1832">
        <f>'Revenues 9-14'!G14</f>
        <v>107</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153838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153945</v>
      </c>
      <c r="C5730" s="2" t="s">
        <v>569</v>
      </c>
      <c r="D5730" s="2" t="str">
        <f t="shared" si="88"/>
        <v>Error?</v>
      </c>
    </row>
    <row r="5731" spans="1:4" x14ac:dyDescent="0.2">
      <c r="A5731" s="5">
        <v>5670</v>
      </c>
      <c r="B5731" s="1832">
        <f>'Revenues 9-14'!G65</f>
        <v>33587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33587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846536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17607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17607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17607</v>
      </c>
      <c r="C5915" s="2" t="s">
        <v>569</v>
      </c>
      <c r="D5915" s="2" t="str">
        <f t="shared" si="91"/>
        <v>Error?</v>
      </c>
    </row>
    <row r="5916" spans="1:4" x14ac:dyDescent="0.2">
      <c r="A5916" s="5">
        <v>5855</v>
      </c>
      <c r="B5916" s="1832">
        <f>'Revenues 9-14'!I5</f>
        <v>270527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270527</v>
      </c>
      <c r="C5918" s="2" t="s">
        <v>569</v>
      </c>
      <c r="D5918" s="2" t="str">
        <f t="shared" si="91"/>
        <v>Error?</v>
      </c>
    </row>
    <row r="5919" spans="1:4" x14ac:dyDescent="0.2">
      <c r="A5919" s="5">
        <v>5858</v>
      </c>
      <c r="B5919" s="1832">
        <f>'Revenues 9-14'!I14</f>
        <v>44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44</v>
      </c>
      <c r="C5923" s="2" t="s">
        <v>569</v>
      </c>
      <c r="D5923" s="2" t="str">
        <f t="shared" si="91"/>
        <v>Error?</v>
      </c>
    </row>
    <row r="5924" spans="1:4" x14ac:dyDescent="0.2">
      <c r="A5924" s="5">
        <v>5863</v>
      </c>
      <c r="B5924" s="1832">
        <f>'Revenues 9-14'!I65</f>
        <v>54778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54778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325349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270527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270527</v>
      </c>
      <c r="C5987" s="2" t="s">
        <v>569</v>
      </c>
      <c r="D5987" s="2" t="str">
        <f t="shared" si="92"/>
        <v>Error?</v>
      </c>
    </row>
    <row r="5988" spans="1:4" x14ac:dyDescent="0.2">
      <c r="A5988" s="5">
        <v>5927</v>
      </c>
      <c r="B5988" s="1832">
        <f>'Revenues 9-14'!K14</f>
        <v>44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44</v>
      </c>
      <c r="C5992" s="2" t="s">
        <v>569</v>
      </c>
      <c r="D5992" s="2" t="str">
        <f t="shared" si="92"/>
        <v>Error?</v>
      </c>
    </row>
    <row r="5993" spans="1:4" x14ac:dyDescent="0.2">
      <c r="A5993" s="5">
        <v>5932</v>
      </c>
      <c r="B5993" s="1832">
        <f>'Revenues 9-14'!K65</f>
        <v>5070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5070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275641</v>
      </c>
      <c r="C6023" s="2" t="s">
        <v>569</v>
      </c>
      <c r="D6023" s="2" t="str">
        <f t="shared" si="93"/>
        <v>Error?</v>
      </c>
    </row>
    <row r="6024" spans="1:5" x14ac:dyDescent="0.2">
      <c r="A6024" s="5">
        <v>5963</v>
      </c>
      <c r="B6024" s="1832">
        <f>'Revenues 9-14'!G109</f>
        <v>846536</v>
      </c>
      <c r="C6024" s="2" t="s">
        <v>569</v>
      </c>
      <c r="D6024" s="2" t="str">
        <f t="shared" si="93"/>
        <v>Error?</v>
      </c>
    </row>
    <row r="6025" spans="1:5" x14ac:dyDescent="0.2">
      <c r="A6025" s="5">
        <v>5964</v>
      </c>
      <c r="B6025" s="1832">
        <f>'Revenues 9-14'!H109</f>
        <v>17607</v>
      </c>
      <c r="C6025" s="2" t="s">
        <v>569</v>
      </c>
      <c r="D6025" s="2" t="str">
        <f t="shared" si="93"/>
        <v>Error?</v>
      </c>
    </row>
    <row r="6026" spans="1:5" x14ac:dyDescent="0.2">
      <c r="A6026" s="5">
        <v>5965</v>
      </c>
      <c r="B6026" s="1832">
        <f>'Revenues 9-14'!I109</f>
        <v>325349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275641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140132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66299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1409.4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291541</v>
      </c>
      <c r="D6090" s="2" t="str">
        <f t="shared" si="94"/>
        <v>Error?</v>
      </c>
      <c r="E6090" s="2" t="s">
        <v>189</v>
      </c>
    </row>
    <row r="6091" spans="1:5" x14ac:dyDescent="0.2">
      <c r="A6091">
        <v>6030</v>
      </c>
      <c r="B6091" s="1832">
        <f>'Assets-Liab 5-6'!D8</f>
        <v>39757</v>
      </c>
      <c r="D6091" s="2" t="str">
        <f t="shared" si="94"/>
        <v>Error?</v>
      </c>
      <c r="E6091" s="2" t="s">
        <v>189</v>
      </c>
    </row>
    <row r="6092" spans="1:5" x14ac:dyDescent="0.2">
      <c r="A6092">
        <v>6031</v>
      </c>
      <c r="B6092" s="1832">
        <f>'Assets-Liab 5-6'!E8</f>
        <v>197076</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601399</v>
      </c>
      <c r="D6099" s="2" t="str">
        <f t="shared" si="94"/>
        <v>Error?</v>
      </c>
      <c r="E6099" s="2" t="s">
        <v>189</v>
      </c>
    </row>
    <row r="6100" spans="1:5" x14ac:dyDescent="0.2">
      <c r="A6100">
        <v>6039</v>
      </c>
      <c r="B6100" s="1832">
        <f>'Assets-Liab 5-6'!D9</f>
        <v>14102</v>
      </c>
      <c r="D6100" s="2" t="str">
        <f t="shared" si="94"/>
        <v>Error?</v>
      </c>
      <c r="E6100" s="2" t="s">
        <v>189</v>
      </c>
    </row>
    <row r="6101" spans="1:5" x14ac:dyDescent="0.2">
      <c r="A6101">
        <v>6040</v>
      </c>
      <c r="B6101" s="1832">
        <f>'Assets-Liab 5-6'!E9</f>
        <v>993</v>
      </c>
      <c r="D6101" s="2" t="str">
        <f t="shared" si="94"/>
        <v>Error?</v>
      </c>
      <c r="E6101" s="2" t="s">
        <v>189</v>
      </c>
    </row>
    <row r="6102" spans="1:5" x14ac:dyDescent="0.2">
      <c r="A6102">
        <v>6041</v>
      </c>
      <c r="B6102" s="1832">
        <f>'Assets-Liab 5-6'!F9</f>
        <v>20072</v>
      </c>
      <c r="D6102" s="2" t="str">
        <f t="shared" si="94"/>
        <v>Error?</v>
      </c>
      <c r="E6102" s="2" t="s">
        <v>189</v>
      </c>
    </row>
    <row r="6103" spans="1:5" x14ac:dyDescent="0.2">
      <c r="A6103">
        <f>A6102+1</f>
        <v>6042</v>
      </c>
      <c r="B6103" s="1832">
        <f>'Assets-Liab 5-6'!G9</f>
        <v>1686</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2649</v>
      </c>
      <c r="D6105" s="2" t="str">
        <f t="shared" si="94"/>
        <v>Error?</v>
      </c>
      <c r="E6105" s="2" t="s">
        <v>189</v>
      </c>
    </row>
    <row r="6106" spans="1:5" x14ac:dyDescent="0.2">
      <c r="A6106">
        <v>6045</v>
      </c>
      <c r="B6106" s="1832">
        <f>'Assets-Liab 5-6'!J9</f>
        <v>220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1678844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291150</v>
      </c>
      <c r="D6142" s="2" t="str">
        <f t="shared" si="94"/>
        <v>Error?</v>
      </c>
      <c r="E6142" s="2" t="s">
        <v>189</v>
      </c>
    </row>
    <row r="6143" spans="1:5" x14ac:dyDescent="0.2">
      <c r="A6143">
        <v>6082</v>
      </c>
      <c r="B6143" s="1832">
        <f>'Assets-Liab 5-6'!D27</f>
        <v>20922</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631</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2822</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6771</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950203</v>
      </c>
      <c r="D6169" s="2" t="str">
        <f t="shared" si="95"/>
        <v>Error?</v>
      </c>
      <c r="E6169" s="2" t="s">
        <v>189</v>
      </c>
    </row>
    <row r="6170" spans="1:5" x14ac:dyDescent="0.2">
      <c r="A6170">
        <v>6109</v>
      </c>
      <c r="B6170" s="1832">
        <f>'Assets-Liab 5-6'!D30</f>
        <v>35827</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7456</v>
      </c>
      <c r="D6172" s="2" t="str">
        <f t="shared" si="95"/>
        <v>Error?</v>
      </c>
      <c r="E6172" s="2" t="s">
        <v>189</v>
      </c>
    </row>
    <row r="6173" spans="1:5" x14ac:dyDescent="0.2">
      <c r="A6173">
        <v>6112</v>
      </c>
      <c r="B6173" s="1832">
        <f>'Assets-Liab 5-6'!G30</f>
        <v>28095</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969</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953082</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960822</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718022</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1678844</v>
      </c>
      <c r="D6216" s="2" t="str">
        <f t="shared" si="96"/>
        <v>Error?</v>
      </c>
      <c r="E6216" s="2" t="s">
        <v>189</v>
      </c>
    </row>
    <row r="6217" spans="1:5" x14ac:dyDescent="0.2">
      <c r="A6217">
        <v>6156</v>
      </c>
      <c r="B6217" s="1832">
        <f>'Assets-Liab 5-6'!J4</f>
        <v>968128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710496</v>
      </c>
      <c r="D6219" s="2" t="str">
        <f t="shared" si="96"/>
        <v>Error?</v>
      </c>
      <c r="E6219" s="2" t="s">
        <v>189</v>
      </c>
    </row>
    <row r="6220" spans="1:5" x14ac:dyDescent="0.2">
      <c r="A6220">
        <v>6159</v>
      </c>
      <c r="B6220" s="1832">
        <f>'Acct Summary 7-8'!J4</f>
        <v>627735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627735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627735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862943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862943</v>
      </c>
      <c r="D6229" s="2" t="str">
        <f t="shared" si="96"/>
        <v>Error?</v>
      </c>
      <c r="E6229" s="2" t="s">
        <v>189</v>
      </c>
    </row>
    <row r="6230" spans="1:5" x14ac:dyDescent="0.2">
      <c r="A6230">
        <v>6169</v>
      </c>
      <c r="B6230" s="1832">
        <f>'Acct Summary 7-8'!J20</f>
        <v>-235208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-235208</v>
      </c>
      <c r="D6263" s="2" t="str">
        <f t="shared" si="96"/>
        <v>Error?</v>
      </c>
      <c r="E6263" s="2" t="s">
        <v>189</v>
      </c>
    </row>
    <row r="6264" spans="1:5" x14ac:dyDescent="0.2">
      <c r="A6264">
        <v>6203</v>
      </c>
      <c r="B6264" s="1832">
        <f>'Acct Summary 7-8'!J79</f>
        <v>953230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718022</v>
      </c>
      <c r="D6266" s="2" t="str">
        <f t="shared" si="96"/>
        <v>Error?</v>
      </c>
      <c r="E6266" s="2" t="s">
        <v>189</v>
      </c>
    </row>
    <row r="6267" spans="1:5" x14ac:dyDescent="0.2">
      <c r="A6267">
        <v>6206</v>
      </c>
      <c r="B6267" s="1832">
        <f>'Acct Summary 7-8'!C82</f>
        <v>2103530</v>
      </c>
      <c r="D6267" s="2" t="str">
        <f t="shared" si="96"/>
        <v>Error?</v>
      </c>
      <c r="E6267" s="2" t="s">
        <v>189</v>
      </c>
    </row>
    <row r="6268" spans="1:5" x14ac:dyDescent="0.2">
      <c r="A6268">
        <v>6207</v>
      </c>
      <c r="B6268" s="1832">
        <f>'Acct Summary 7-8'!D82</f>
        <v>281779</v>
      </c>
      <c r="D6268" s="2" t="str">
        <f t="shared" si="96"/>
        <v>Error?</v>
      </c>
      <c r="E6268" s="2" t="s">
        <v>189</v>
      </c>
    </row>
    <row r="6269" spans="1:5" x14ac:dyDescent="0.2">
      <c r="A6269">
        <v>6208</v>
      </c>
      <c r="B6269" s="1832">
        <f>'Acct Summary 7-8'!E82</f>
        <v>172441</v>
      </c>
      <c r="D6269" s="2" t="str">
        <f t="shared" si="96"/>
        <v>Error?</v>
      </c>
      <c r="E6269" s="2" t="s">
        <v>189</v>
      </c>
    </row>
    <row r="6270" spans="1:5" x14ac:dyDescent="0.2">
      <c r="A6270">
        <v>6209</v>
      </c>
      <c r="B6270" s="1832">
        <f>'Acct Summary 7-8'!F82</f>
        <v>37590</v>
      </c>
      <c r="D6270" s="2" t="str">
        <f t="shared" si="96"/>
        <v>Error?</v>
      </c>
      <c r="E6270" s="2" t="s">
        <v>189</v>
      </c>
    </row>
    <row r="6271" spans="1:5" x14ac:dyDescent="0.2">
      <c r="A6271">
        <v>6210</v>
      </c>
      <c r="B6271" s="1832">
        <f>'Acct Summary 7-8'!G82</f>
        <v>154984</v>
      </c>
      <c r="D6271" s="2" t="str">
        <f t="shared" ref="D6271:D6334" si="97">IF(ISBLANK(B6271),"OK",IF(A6271-B6271=0,"OK","Error?"))</f>
        <v>Error?</v>
      </c>
      <c r="E6271" s="2" t="s">
        <v>189</v>
      </c>
    </row>
    <row r="6272" spans="1:5" x14ac:dyDescent="0.2">
      <c r="A6272">
        <v>6211</v>
      </c>
      <c r="B6272" s="1832">
        <f>'Acct Summary 7-8'!H82</f>
        <v>-1347383</v>
      </c>
      <c r="D6272" s="2" t="str">
        <f t="shared" si="97"/>
        <v>Error?</v>
      </c>
      <c r="E6272" s="2" t="s">
        <v>189</v>
      </c>
    </row>
    <row r="6273" spans="1:5" x14ac:dyDescent="0.2">
      <c r="A6273">
        <v>6212</v>
      </c>
      <c r="B6273" s="1832">
        <f>'Acct Summary 7-8'!I82</f>
        <v>-674651</v>
      </c>
      <c r="D6273" s="2" t="str">
        <f t="shared" si="97"/>
        <v>Error?</v>
      </c>
      <c r="E6273" s="2" t="s">
        <v>189</v>
      </c>
    </row>
    <row r="6274" spans="1:5" x14ac:dyDescent="0.2">
      <c r="A6274">
        <v>6213</v>
      </c>
      <c r="B6274" s="1832">
        <f>'Acct Summary 7-8'!J82</f>
        <v>-235208</v>
      </c>
      <c r="D6274" s="2" t="str">
        <f t="shared" si="97"/>
        <v>Error?</v>
      </c>
      <c r="E6274" s="2" t="s">
        <v>189</v>
      </c>
    </row>
    <row r="6275" spans="1:5" x14ac:dyDescent="0.2">
      <c r="A6275">
        <v>6214</v>
      </c>
      <c r="B6275" s="1832">
        <f>'Acct Summary 7-8'!K82</f>
        <v>-111623</v>
      </c>
      <c r="D6275" s="2" t="str">
        <f t="shared" si="97"/>
        <v>Error?</v>
      </c>
      <c r="E6275" s="2" t="s">
        <v>189</v>
      </c>
    </row>
    <row r="6276" spans="1:5" x14ac:dyDescent="0.2">
      <c r="A6276">
        <v>6215</v>
      </c>
      <c r="B6276" s="1832">
        <f>'Acct Summary 7-8'!C83</f>
        <v>0.32227378801658058</v>
      </c>
      <c r="D6276" s="2" t="str">
        <f t="shared" si="97"/>
        <v>Error?</v>
      </c>
      <c r="E6276" s="2" t="s">
        <v>189</v>
      </c>
    </row>
    <row r="6277" spans="1:5" x14ac:dyDescent="0.2">
      <c r="A6277">
        <v>6216</v>
      </c>
      <c r="B6277" s="1832">
        <f>'Acct Summary 7-8'!D83</f>
        <v>7.772720627380883E-2</v>
      </c>
      <c r="D6277" s="2" t="str">
        <f t="shared" si="97"/>
        <v>Error?</v>
      </c>
      <c r="E6277" s="2" t="s">
        <v>189</v>
      </c>
    </row>
    <row r="6278" spans="1:5" x14ac:dyDescent="0.2">
      <c r="A6278">
        <v>6217</v>
      </c>
      <c r="B6278" s="1832">
        <f>'Acct Summary 7-8'!E83</f>
        <v>0.17722847273396253</v>
      </c>
      <c r="D6278" s="2" t="str">
        <f t="shared" si="97"/>
        <v>Error?</v>
      </c>
      <c r="E6278" s="2" t="s">
        <v>189</v>
      </c>
    </row>
    <row r="6279" spans="1:5" x14ac:dyDescent="0.2">
      <c r="A6279">
        <v>6218</v>
      </c>
      <c r="B6279" s="1832">
        <f>'Acct Summary 7-8'!F83</f>
        <v>1.9286269499834537E-2</v>
      </c>
      <c r="D6279" s="2" t="str">
        <f t="shared" si="97"/>
        <v>Error?</v>
      </c>
      <c r="E6279" s="2" t="s">
        <v>189</v>
      </c>
    </row>
    <row r="6280" spans="1:5" x14ac:dyDescent="0.2">
      <c r="A6280">
        <v>6219</v>
      </c>
      <c r="B6280" s="1832">
        <f>'Acct Summary 7-8'!G83</f>
        <v>0.1037524091453467</v>
      </c>
      <c r="D6280" s="2" t="str">
        <f t="shared" si="97"/>
        <v>Error?</v>
      </c>
      <c r="E6280" s="2" t="s">
        <v>189</v>
      </c>
    </row>
    <row r="6281" spans="1:5" x14ac:dyDescent="0.2">
      <c r="A6281">
        <v>6220</v>
      </c>
      <c r="B6281" s="1832">
        <f>'Acct Summary 7-8'!H83</f>
        <v>-1.5074450196292537</v>
      </c>
      <c r="D6281" s="2" t="str">
        <f t="shared" si="97"/>
        <v>Error?</v>
      </c>
      <c r="E6281" s="2" t="s">
        <v>189</v>
      </c>
    </row>
    <row r="6282" spans="1:5" x14ac:dyDescent="0.2">
      <c r="A6282">
        <v>6221</v>
      </c>
      <c r="B6282" s="1832">
        <f>'Acct Summary 7-8'!I83</f>
        <v>-0.28668648872144348</v>
      </c>
      <c r="D6282" s="2" t="str">
        <f t="shared" si="97"/>
        <v>Error?</v>
      </c>
      <c r="E6282" s="2" t="s">
        <v>189</v>
      </c>
    </row>
    <row r="6283" spans="1:5" x14ac:dyDescent="0.2">
      <c r="A6283">
        <v>6222</v>
      </c>
      <c r="B6283" s="1832">
        <f>'Acct Summary 7-8'!J83</f>
        <v>-0.32757770653266893</v>
      </c>
      <c r="D6283" s="2" t="str">
        <f t="shared" si="97"/>
        <v>Error?</v>
      </c>
      <c r="E6283" s="2" t="s">
        <v>189</v>
      </c>
    </row>
    <row r="6284" spans="1:5" x14ac:dyDescent="0.2">
      <c r="A6284">
        <v>6223</v>
      </c>
      <c r="B6284" s="1832">
        <f>'Acct Summary 7-8'!K83</f>
        <v>-0.40518721527487883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605979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605979</v>
      </c>
      <c r="D6301" s="2" t="str">
        <f t="shared" si="97"/>
        <v>Error?</v>
      </c>
      <c r="E6301" s="2" t="s">
        <v>189</v>
      </c>
    </row>
    <row r="6302" spans="1:5" x14ac:dyDescent="0.2">
      <c r="A6302">
        <v>6241</v>
      </c>
      <c r="B6302" s="1832">
        <f>'Revenues 9-14'!J14</f>
        <v>99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99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21657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21657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213234</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11800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627735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177264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163133</v>
      </c>
      <c r="D6880" s="2" t="str">
        <f t="shared" si="106"/>
        <v>Error?</v>
      </c>
    </row>
    <row r="6881" spans="1:4" x14ac:dyDescent="0.2">
      <c r="A6881">
        <v>6820</v>
      </c>
      <c r="B6881" s="1832">
        <f>'Expenditures 15-22'!K22</f>
        <v>163133</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512193</v>
      </c>
      <c r="D6983" s="2" t="str">
        <f t="shared" si="108"/>
        <v>Error?</v>
      </c>
    </row>
    <row r="6984" spans="1:4" x14ac:dyDescent="0.2">
      <c r="A6984">
        <v>6923</v>
      </c>
      <c r="B6984" s="1832">
        <f>'Expenditures 15-22'!K86</f>
        <v>512193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567488</v>
      </c>
      <c r="D6987" s="2" t="str">
        <f t="shared" si="108"/>
        <v>Error?</v>
      </c>
    </row>
    <row r="6988" spans="1:4" x14ac:dyDescent="0.2">
      <c r="A6988">
        <v>6927</v>
      </c>
      <c r="B6988" s="1832">
        <f>'Expenditures 15-22'!K88</f>
        <v>567488</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1079681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862943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627735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73713</v>
      </c>
      <c r="D7073" s="2" t="str">
        <f t="shared" si="109"/>
        <v>Error?</v>
      </c>
    </row>
    <row r="7074" spans="1:4" x14ac:dyDescent="0.2">
      <c r="A7074">
        <v>7013</v>
      </c>
      <c r="B7074" s="1832">
        <f>'Expenditures 15-22'!K216</f>
        <v>73713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1695</v>
      </c>
      <c r="D7079" s="2" t="str">
        <f t="shared" si="109"/>
        <v>Error?</v>
      </c>
    </row>
    <row r="7080" spans="1:4" x14ac:dyDescent="0.2">
      <c r="A7080">
        <v>7019</v>
      </c>
      <c r="B7080" s="1832">
        <f>'Expenditures 15-22'!K226</f>
        <v>1695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3427</v>
      </c>
      <c r="D7089" s="2" t="str">
        <f t="shared" si="109"/>
        <v>Error?</v>
      </c>
    </row>
    <row r="7090" spans="1:4" x14ac:dyDescent="0.2">
      <c r="A7090">
        <v>7029</v>
      </c>
      <c r="B7090" s="1832">
        <f>'Expenditures 15-22'!K252</f>
        <v>3427</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36624</v>
      </c>
      <c r="D7093" s="2" t="str">
        <f t="shared" si="109"/>
        <v>Error?</v>
      </c>
    </row>
    <row r="7094" spans="1:4" x14ac:dyDescent="0.2">
      <c r="A7094">
        <v>7033</v>
      </c>
      <c r="B7094" s="1832">
        <f>'Expenditures 15-22'!K254</f>
        <v>36624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76937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76937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714</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714</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34254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34254</v>
      </c>
      <c r="D7153" s="2" t="str">
        <f t="shared" si="110"/>
        <v>Error?</v>
      </c>
    </row>
    <row r="7154" spans="1:4" x14ac:dyDescent="0.2">
      <c r="A7154">
        <v>7093</v>
      </c>
      <c r="B7154" s="1832">
        <f>'Expenditures 15-22'!C323</f>
        <v>51390</v>
      </c>
      <c r="D7154" s="2" t="str">
        <f t="shared" si="110"/>
        <v>Error?</v>
      </c>
    </row>
    <row r="7155" spans="1:4" x14ac:dyDescent="0.2">
      <c r="A7155">
        <v>7094</v>
      </c>
      <c r="B7155" s="1832">
        <f>'Expenditures 15-22'!D323</f>
        <v>11317</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62707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267755</v>
      </c>
      <c r="D7172" s="2" t="str">
        <f t="shared" si="111"/>
        <v>Error?</v>
      </c>
    </row>
    <row r="7173" spans="1:4" x14ac:dyDescent="0.2">
      <c r="A7173">
        <v>7112</v>
      </c>
      <c r="B7173" s="1832">
        <f>'Expenditures 15-22'!D325</f>
        <v>49681</v>
      </c>
      <c r="D7173" s="2" t="str">
        <f t="shared" si="111"/>
        <v>Error?</v>
      </c>
    </row>
    <row r="7174" spans="1:4" x14ac:dyDescent="0.2">
      <c r="A7174">
        <v>7113</v>
      </c>
      <c r="B7174" s="1832">
        <f>'Expenditures 15-22'!E325</f>
        <v>234830</v>
      </c>
      <c r="D7174" s="2" t="str">
        <f t="shared" si="111"/>
        <v>Error?</v>
      </c>
    </row>
    <row r="7175" spans="1:4" x14ac:dyDescent="0.2">
      <c r="A7175">
        <v>7114</v>
      </c>
      <c r="B7175" s="1832">
        <f>'Expenditures 15-22'!F325</f>
        <v>3764</v>
      </c>
      <c r="D7175" s="2" t="str">
        <f t="shared" si="111"/>
        <v>Error?</v>
      </c>
    </row>
    <row r="7176" spans="1:4" x14ac:dyDescent="0.2">
      <c r="A7176">
        <v>7115</v>
      </c>
      <c r="B7176" s="1832">
        <f>'Expenditures 15-22'!G325</f>
        <v>53628</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609658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11981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11981</v>
      </c>
      <c r="D7198" s="2" t="str">
        <f t="shared" si="111"/>
        <v>Error?</v>
      </c>
    </row>
    <row r="7199" spans="1:4" x14ac:dyDescent="0.2">
      <c r="A7199">
        <v>7138</v>
      </c>
      <c r="B7199" s="1832">
        <f>'Expenditures 15-22'!C330</f>
        <v>319145</v>
      </c>
      <c r="D7199" s="2" t="str">
        <f t="shared" si="111"/>
        <v>Error?</v>
      </c>
    </row>
    <row r="7200" spans="1:4" x14ac:dyDescent="0.2">
      <c r="A7200">
        <v>7139</v>
      </c>
      <c r="B7200" s="1832">
        <f>'Expenditures 15-22'!D330</f>
        <v>60998</v>
      </c>
      <c r="D7200" s="2" t="str">
        <f t="shared" si="111"/>
        <v>Error?</v>
      </c>
    </row>
    <row r="7201" spans="1:4" x14ac:dyDescent="0.2">
      <c r="A7201">
        <v>7140</v>
      </c>
      <c r="B7201" s="1832">
        <f>'Expenditures 15-22'!E330</f>
        <v>425408</v>
      </c>
      <c r="D7201" s="2" t="str">
        <f t="shared" si="111"/>
        <v>Error?</v>
      </c>
    </row>
    <row r="7202" spans="1:4" x14ac:dyDescent="0.2">
      <c r="A7202">
        <v>7141</v>
      </c>
      <c r="B7202" s="1832">
        <f>'Expenditures 15-22'!F330</f>
        <v>3764</v>
      </c>
      <c r="D7202" s="2" t="str">
        <f t="shared" si="111"/>
        <v>Error?</v>
      </c>
    </row>
    <row r="7203" spans="1:4" x14ac:dyDescent="0.2">
      <c r="A7203">
        <v>7142</v>
      </c>
      <c r="B7203" s="1832">
        <f>'Expenditures 15-22'!G330</f>
        <v>53628</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862943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319145</v>
      </c>
      <c r="D7216" s="2" t="str">
        <f t="shared" si="111"/>
        <v>Error?</v>
      </c>
    </row>
    <row r="7217" spans="1:4" x14ac:dyDescent="0.2">
      <c r="A7217">
        <v>7156</v>
      </c>
      <c r="B7217" s="1832">
        <f>'Expenditures 15-22'!D342</f>
        <v>60998</v>
      </c>
      <c r="D7217" s="2" t="str">
        <f t="shared" si="111"/>
        <v>Error?</v>
      </c>
    </row>
    <row r="7218" spans="1:4" x14ac:dyDescent="0.2">
      <c r="A7218">
        <v>7157</v>
      </c>
      <c r="B7218" s="1832">
        <f>'Expenditures 15-22'!E342</f>
        <v>425408</v>
      </c>
      <c r="D7218" s="2" t="str">
        <f t="shared" si="111"/>
        <v>Error?</v>
      </c>
    </row>
    <row r="7219" spans="1:4" x14ac:dyDescent="0.2">
      <c r="A7219">
        <v>7158</v>
      </c>
      <c r="B7219" s="1832">
        <f>'Expenditures 15-22'!F342</f>
        <v>3764</v>
      </c>
      <c r="D7219" s="2" t="str">
        <f t="shared" si="111"/>
        <v>Error?</v>
      </c>
    </row>
    <row r="7220" spans="1:4" x14ac:dyDescent="0.2">
      <c r="A7220">
        <v>7159</v>
      </c>
      <c r="B7220" s="1832">
        <f>'Expenditures 15-22'!G342</f>
        <v>53628</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862943</v>
      </c>
      <c r="D7224" s="2" t="str">
        <f t="shared" si="111"/>
        <v>Error?</v>
      </c>
    </row>
    <row r="7225" spans="1:4" x14ac:dyDescent="0.2">
      <c r="A7225">
        <v>7164</v>
      </c>
      <c r="B7225" s="1832">
        <f>'Expenditures 15-22'!K343</f>
        <v>-235208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132945</v>
      </c>
      <c r="D7263" s="2" t="str">
        <f t="shared" si="112"/>
        <v>Error?</v>
      </c>
    </row>
    <row r="7264" spans="1:4" x14ac:dyDescent="0.2">
      <c r="A7264">
        <f t="shared" si="113"/>
        <v>7203</v>
      </c>
      <c r="B7264" s="1832">
        <f>'Expenditures 15-22'!D17</f>
        <v>26168</v>
      </c>
      <c r="D7264" s="2" t="str">
        <f t="shared" si="112"/>
        <v>Error?</v>
      </c>
    </row>
    <row r="7265" spans="1:5" x14ac:dyDescent="0.2">
      <c r="A7265">
        <f t="shared" si="113"/>
        <v>7204</v>
      </c>
      <c r="B7265" s="1832">
        <f>'Expenditures 15-22'!E17</f>
        <v>13598</v>
      </c>
      <c r="D7265" s="2" t="str">
        <f t="shared" si="112"/>
        <v>Error?</v>
      </c>
    </row>
    <row r="7266" spans="1:5" x14ac:dyDescent="0.2">
      <c r="A7266">
        <f t="shared" si="113"/>
        <v>7205</v>
      </c>
      <c r="B7266" s="1832">
        <f>'Expenditures 15-22'!F17</f>
        <v>4553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563816</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563816</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563816</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5857</v>
      </c>
      <c r="D7615" s="2" t="str">
        <f t="shared" ref="D7615:D7678" si="124">IF(ISBLANK(B7615),"OK",IF(A7615-B7615=0,"OK","Error?"))</f>
        <v>Error?</v>
      </c>
      <c r="E7615" s="2" t="s">
        <v>19</v>
      </c>
    </row>
    <row r="7616" spans="1:5" x14ac:dyDescent="0.2">
      <c r="A7616">
        <f t="shared" si="123"/>
        <v>7555</v>
      </c>
      <c r="B7616" s="1832">
        <f>'Cap Outlay Deprec 26'!D14</f>
        <v>399268</v>
      </c>
      <c r="D7616" s="2" t="str">
        <f t="shared" si="124"/>
        <v>Error?</v>
      </c>
      <c r="E7616" s="2" t="s">
        <v>19</v>
      </c>
    </row>
    <row r="7617" spans="1:5" x14ac:dyDescent="0.2">
      <c r="A7617">
        <f t="shared" si="123"/>
        <v>7556</v>
      </c>
      <c r="B7617" s="1832">
        <f>'Cap Outlay Deprec 26'!E14</f>
        <v>5857</v>
      </c>
      <c r="D7617" s="2" t="str">
        <f t="shared" si="124"/>
        <v>Error?</v>
      </c>
      <c r="E7617" s="2" t="s">
        <v>19</v>
      </c>
    </row>
    <row r="7618" spans="1:5" x14ac:dyDescent="0.2">
      <c r="A7618">
        <f t="shared" si="123"/>
        <v>7557</v>
      </c>
      <c r="B7618" s="1832">
        <f>'Cap Outlay Deprec 26'!F14</f>
        <v>399268</v>
      </c>
      <c r="D7618" s="2" t="str">
        <f t="shared" si="124"/>
        <v>Error?</v>
      </c>
      <c r="E7618" s="2" t="s">
        <v>19</v>
      </c>
    </row>
    <row r="7619" spans="1:5" x14ac:dyDescent="0.2">
      <c r="A7619">
        <f t="shared" si="123"/>
        <v>7558</v>
      </c>
      <c r="B7619" s="1832">
        <f>'Cap Outlay Deprec 26'!H14</f>
        <v>5857</v>
      </c>
      <c r="D7619" s="2" t="str">
        <f t="shared" si="124"/>
        <v>Error?</v>
      </c>
      <c r="E7619" s="2" t="s">
        <v>19</v>
      </c>
    </row>
    <row r="7620" spans="1:5" x14ac:dyDescent="0.2">
      <c r="A7620">
        <f t="shared" si="123"/>
        <v>7559</v>
      </c>
      <c r="B7620" s="1832">
        <f>'Cap Outlay Deprec 26'!I14</f>
        <v>133089</v>
      </c>
      <c r="D7620" s="2" t="str">
        <f t="shared" si="124"/>
        <v>Error?</v>
      </c>
      <c r="E7620" s="2" t="s">
        <v>19</v>
      </c>
    </row>
    <row r="7621" spans="1:5" x14ac:dyDescent="0.2">
      <c r="A7621">
        <f t="shared" si="123"/>
        <v>7560</v>
      </c>
      <c r="B7621" s="1832">
        <f>'Cap Outlay Deprec 26'!J14</f>
        <v>5857</v>
      </c>
      <c r="D7621" s="2" t="str">
        <f t="shared" si="124"/>
        <v>Error?</v>
      </c>
      <c r="E7621" s="2" t="s">
        <v>19</v>
      </c>
    </row>
    <row r="7622" spans="1:5" x14ac:dyDescent="0.2">
      <c r="A7622">
        <f t="shared" si="123"/>
        <v>7561</v>
      </c>
      <c r="B7622" s="1832">
        <f>'Cap Outlay Deprec 26'!K14</f>
        <v>133089</v>
      </c>
      <c r="D7622" s="2" t="str">
        <f t="shared" si="124"/>
        <v>Error?</v>
      </c>
      <c r="E7622" s="2" t="s">
        <v>19</v>
      </c>
    </row>
    <row r="7623" spans="1:5" x14ac:dyDescent="0.2">
      <c r="A7623">
        <f t="shared" si="123"/>
        <v>7562</v>
      </c>
      <c r="B7623" s="1832">
        <f>'Cap Outlay Deprec 26'!L14</f>
        <v>266179</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1933898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51272</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51272</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15420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15420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2987903</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17607</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11800</v>
      </c>
      <c r="D7712" s="2" t="str">
        <f t="shared" si="126"/>
        <v>Error?</v>
      </c>
      <c r="E7712" s="2" t="s">
        <v>822</v>
      </c>
    </row>
    <row r="7713" spans="1:6" x14ac:dyDescent="0.2">
      <c r="A7713">
        <v>7652</v>
      </c>
      <c r="B7713" s="1832">
        <f>'Rest Tax Levies-Tort Im 25'!J8</f>
        <v>850261</v>
      </c>
      <c r="D7713" s="2" t="str">
        <f t="shared" si="126"/>
        <v>Error?</v>
      </c>
      <c r="E7713" s="2" t="s">
        <v>822</v>
      </c>
    </row>
    <row r="7714" spans="1:6" x14ac:dyDescent="0.2">
      <c r="A7714">
        <v>7653</v>
      </c>
      <c r="B7714" s="1832">
        <f>'Rest Tax Levies-Tort Im 25'!K9</f>
        <v>32143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867868</v>
      </c>
      <c r="D7718" s="2" t="str">
        <f t="shared" si="126"/>
        <v>Error?</v>
      </c>
      <c r="E7718" s="2" t="s">
        <v>822</v>
      </c>
    </row>
    <row r="7719" spans="1:6" x14ac:dyDescent="0.2">
      <c r="A7719">
        <v>7658</v>
      </c>
      <c r="B7719" s="1832">
        <f>'Rest Tax Levies-Tort Im 25'!K12</f>
        <v>43943</v>
      </c>
      <c r="D7719" s="2" t="str">
        <f t="shared" si="126"/>
        <v>Error?</v>
      </c>
      <c r="E7719" s="2" t="s">
        <v>822</v>
      </c>
    </row>
    <row r="7720" spans="1:6" x14ac:dyDescent="0.2">
      <c r="A7720">
        <v>7659</v>
      </c>
      <c r="B7720" s="1832">
        <f>'Rest Tax Levies-Tort Im 25'!H14</f>
        <v>108211</v>
      </c>
      <c r="D7720" s="2" t="str">
        <f t="shared" si="126"/>
        <v>Error?</v>
      </c>
      <c r="E7720" s="2" t="s">
        <v>822</v>
      </c>
    </row>
    <row r="7721" spans="1:6" x14ac:dyDescent="0.2">
      <c r="A7721">
        <v>7660</v>
      </c>
      <c r="B7721" s="1832">
        <f>'Rest Tax Levies-Tort Im 25'!K14</f>
        <v>43943</v>
      </c>
      <c r="D7721" s="2" t="str">
        <f t="shared" si="126"/>
        <v>Error?</v>
      </c>
      <c r="E7721" s="2" t="s">
        <v>822</v>
      </c>
    </row>
    <row r="7722" spans="1:6" x14ac:dyDescent="0.2">
      <c r="A7722">
        <v>7661</v>
      </c>
      <c r="B7722" s="1832">
        <f>'Rest Tax Levies-Tort Im 25'!J15</f>
        <v>1364990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203943</v>
      </c>
      <c r="D7724" s="2" t="str">
        <f t="shared" si="126"/>
        <v>Error?</v>
      </c>
      <c r="E7724" s="2" t="s">
        <v>822</v>
      </c>
      <c r="F7724" s="2"/>
    </row>
    <row r="7725" spans="1:6" x14ac:dyDescent="0.2">
      <c r="A7725">
        <v>7664</v>
      </c>
      <c r="B7725" s="1832">
        <f>'Rest Tax Levies-Tort Im 25'!J19</f>
        <v>495000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698943</v>
      </c>
      <c r="D7727" s="2" t="str">
        <f t="shared" si="126"/>
        <v>Error?</v>
      </c>
      <c r="E7727" s="2" t="s">
        <v>822</v>
      </c>
    </row>
    <row r="7728" spans="1:6" x14ac:dyDescent="0.2">
      <c r="A7728">
        <v>7667</v>
      </c>
      <c r="B7728" s="1832">
        <f>'Revenues 9-14'!E103</f>
        <v>850261</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2063933</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1791838</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1791838</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1000000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2930</v>
      </c>
      <c r="D7758" s="2" t="str">
        <f t="shared" si="127"/>
        <v>Error?</v>
      </c>
      <c r="E7758" s="4" t="s">
        <v>1322</v>
      </c>
    </row>
    <row r="7759" spans="1:6" x14ac:dyDescent="0.2">
      <c r="A7759">
        <v>7698</v>
      </c>
      <c r="B7759" s="1832">
        <f>'Aud Quest 2'!J88</f>
        <v>127244</v>
      </c>
      <c r="D7759" s="2" t="str">
        <f t="shared" si="127"/>
        <v>Error?</v>
      </c>
      <c r="E7759" s="4" t="s">
        <v>1322</v>
      </c>
    </row>
    <row r="7760" spans="1:6" x14ac:dyDescent="0.2">
      <c r="A7760">
        <v>7699</v>
      </c>
      <c r="B7760" s="1832">
        <f>'Aud Quest 2'!J90</f>
        <v>130174</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43943</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10045000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-1046690.1199999999</v>
      </c>
      <c r="D7820" s="2" t="str">
        <f t="shared" si="128"/>
        <v>Error?</v>
      </c>
    </row>
    <row r="7821" spans="1:5" x14ac:dyDescent="0.2">
      <c r="A7821">
        <v>7760</v>
      </c>
      <c r="B7821" s="1832">
        <f>'ICR Computation 30'!G40</f>
        <v>-1046690.1199999999</v>
      </c>
      <c r="D7821" s="2" t="str">
        <f t="shared" si="128"/>
        <v>Error?</v>
      </c>
    </row>
    <row r="7822" spans="1:5" x14ac:dyDescent="0.2">
      <c r="A7822" s="1">
        <v>7761</v>
      </c>
      <c r="B7822" s="1832">
        <f>'PCTC-OEPP 27-28'!F14</f>
        <v>21236377</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3385</v>
      </c>
      <c r="D7830" s="2" t="str">
        <f t="shared" si="129"/>
        <v>Error?</v>
      </c>
      <c r="E7830" s="4" t="s">
        <v>1995</v>
      </c>
    </row>
    <row r="7831" spans="1:5" x14ac:dyDescent="0.2">
      <c r="A7831">
        <v>7770</v>
      </c>
      <c r="B7831" s="1832">
        <f>'PCTC-OEPP 27-28'!F52</f>
        <v>78475</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3933893</v>
      </c>
      <c r="D7834" s="2" t="str">
        <f t="shared" si="129"/>
        <v>Error?</v>
      </c>
      <c r="E7834" s="4" t="s">
        <v>1995</v>
      </c>
    </row>
    <row r="7835" spans="1:5" x14ac:dyDescent="0.2">
      <c r="A7835">
        <v>7774</v>
      </c>
      <c r="B7835" s="1832">
        <f>'PCTC-OEPP 27-28'!F78</f>
        <v>17302484</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12276.489286221085</v>
      </c>
      <c r="D7837" s="2" t="str">
        <f t="shared" si="129"/>
        <v>Error?</v>
      </c>
      <c r="E7837" s="4" t="s">
        <v>1995</v>
      </c>
    </row>
    <row r="7838" spans="1:5" x14ac:dyDescent="0.2">
      <c r="A7838">
        <v>7777</v>
      </c>
      <c r="B7838" s="1832">
        <f>'PCTC-OEPP 27-28'!F96</f>
        <v>85234</v>
      </c>
      <c r="D7838" s="2" t="str">
        <f t="shared" si="129"/>
        <v>Error?</v>
      </c>
      <c r="E7838" s="4" t="s">
        <v>1995</v>
      </c>
    </row>
    <row r="7839" spans="1:5" x14ac:dyDescent="0.2">
      <c r="A7839">
        <v>7778</v>
      </c>
      <c r="B7839" s="1832">
        <f>'PCTC-OEPP 27-28'!F102</f>
        <v>897</v>
      </c>
      <c r="D7839" s="2" t="str">
        <f t="shared" si="129"/>
        <v>Error?</v>
      </c>
      <c r="E7839" s="4" t="s">
        <v>1995</v>
      </c>
    </row>
    <row r="7840" spans="1:5" x14ac:dyDescent="0.2">
      <c r="A7840">
        <v>7779</v>
      </c>
      <c r="B7840" s="1832">
        <f>'PCTC-OEPP 27-28'!F103</f>
        <v>221251</v>
      </c>
      <c r="D7840" s="2" t="str">
        <f t="shared" si="129"/>
        <v>Error?</v>
      </c>
      <c r="E7840" s="4" t="s">
        <v>1995</v>
      </c>
    </row>
    <row r="7841" spans="1:5" x14ac:dyDescent="0.2">
      <c r="A7841">
        <v>7780</v>
      </c>
      <c r="B7841" s="1832">
        <f>'PCTC-OEPP 27-28'!F104</f>
        <v>117273</v>
      </c>
      <c r="D7841" s="2" t="str">
        <f t="shared" si="129"/>
        <v>Error?</v>
      </c>
      <c r="E7841" s="4" t="s">
        <v>1995</v>
      </c>
    </row>
    <row r="7842" spans="1:5" x14ac:dyDescent="0.2">
      <c r="A7842">
        <v>7781</v>
      </c>
      <c r="B7842" s="1832">
        <f>'PCTC-OEPP 27-28'!F106</f>
        <v>47915</v>
      </c>
      <c r="D7842" s="2" t="str">
        <f t="shared" si="129"/>
        <v>Error?</v>
      </c>
      <c r="E7842" s="4" t="s">
        <v>1995</v>
      </c>
    </row>
    <row r="7843" spans="1:5" x14ac:dyDescent="0.2">
      <c r="A7843">
        <v>7782</v>
      </c>
      <c r="B7843" s="1832">
        <f>'PCTC-OEPP 27-28'!F107</f>
        <v>41114</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32143</v>
      </c>
      <c r="D7846" s="2" t="str">
        <f t="shared" si="129"/>
        <v>Error?</v>
      </c>
      <c r="E7846" s="4" t="s">
        <v>1995</v>
      </c>
    </row>
    <row r="7847" spans="1:5" x14ac:dyDescent="0.2">
      <c r="A7847">
        <v>7786</v>
      </c>
      <c r="B7847" s="1832">
        <f>'PCTC-OEPP 27-28'!F112</f>
        <v>78677</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1259</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438461</v>
      </c>
      <c r="D7858" s="2" t="str">
        <f t="shared" si="129"/>
        <v>Error?</v>
      </c>
      <c r="E7858" s="4" t="s">
        <v>1995</v>
      </c>
    </row>
    <row r="7859" spans="1:5" x14ac:dyDescent="0.2">
      <c r="A7859">
        <v>7798</v>
      </c>
      <c r="B7859" s="1832">
        <f>'PCTC-OEPP 27-28'!F127</f>
        <v>810798</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394882</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5901</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74296</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13114</v>
      </c>
      <c r="D7874" s="2" t="str">
        <f t="shared" si="129"/>
        <v>Error?</v>
      </c>
      <c r="E7874" s="4" t="s">
        <v>1995</v>
      </c>
    </row>
    <row r="7875" spans="1:5" x14ac:dyDescent="0.2">
      <c r="A7875">
        <v>7814</v>
      </c>
      <c r="B7875" s="1832">
        <f>'PCTC-OEPP 27-28'!F170</f>
        <v>11000</v>
      </c>
      <c r="D7875" s="2" t="str">
        <f t="shared" si="129"/>
        <v>Error?</v>
      </c>
      <c r="E7875" s="4" t="s">
        <v>1995</v>
      </c>
    </row>
    <row r="7876" spans="1:5" x14ac:dyDescent="0.2">
      <c r="A7876">
        <v>7815</v>
      </c>
      <c r="B7876" s="1832">
        <f>'PCTC-OEPP 27-28'!F171</f>
        <v>5620</v>
      </c>
      <c r="D7876" s="2" t="str">
        <f t="shared" si="129"/>
        <v>Error?</v>
      </c>
      <c r="E7876" s="4" t="s">
        <v>1995</v>
      </c>
    </row>
    <row r="7877" spans="1:5" x14ac:dyDescent="0.2">
      <c r="A7877">
        <v>7816</v>
      </c>
      <c r="B7877" s="1832">
        <f>'PCTC-OEPP 27-28'!F175</f>
        <v>2730835</v>
      </c>
      <c r="D7877" s="2" t="str">
        <f t="shared" si="129"/>
        <v>Error?</v>
      </c>
      <c r="E7877" s="4" t="s">
        <v>1995</v>
      </c>
    </row>
    <row r="7878" spans="1:5" x14ac:dyDescent="0.2">
      <c r="A7878">
        <v>7817</v>
      </c>
      <c r="B7878" s="1832">
        <f>'PCTC-OEPP 27-28'!F176</f>
        <v>14571649</v>
      </c>
      <c r="D7878" s="2" t="str">
        <f t="shared" si="129"/>
        <v>Error?</v>
      </c>
      <c r="E7878" s="4" t="s">
        <v>1995</v>
      </c>
    </row>
    <row r="7879" spans="1:5" x14ac:dyDescent="0.2">
      <c r="A7879">
        <v>7818</v>
      </c>
      <c r="B7879" s="1832">
        <f>'PCTC-OEPP 27-28'!F178</f>
        <v>16505547</v>
      </c>
      <c r="D7879" s="2" t="str">
        <f t="shared" si="129"/>
        <v>Error?</v>
      </c>
      <c r="E7879" s="4" t="s">
        <v>1995</v>
      </c>
    </row>
    <row r="7880" spans="1:5" x14ac:dyDescent="0.2">
      <c r="A7880">
        <v>7819</v>
      </c>
      <c r="B7880" s="1832">
        <f>'PCTC-OEPP 27-28'!F180</f>
        <v>11711.045125585355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53628</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3" t="s">
        <v>1181</v>
      </c>
      <c r="B2" s="2533"/>
      <c r="C2" s="2533"/>
      <c r="D2" s="2533"/>
      <c r="E2" s="2533"/>
      <c r="F2" s="2533"/>
      <c r="G2" s="2533"/>
      <c r="H2" s="2533"/>
      <c r="I2" s="2533"/>
      <c r="J2" s="2533"/>
      <c r="K2" s="2533"/>
      <c r="L2" s="2533"/>
    </row>
    <row r="3" spans="1:29" ht="13.5" customHeight="1" x14ac:dyDescent="0.2">
      <c r="A3" s="2519" t="s">
        <v>1180</v>
      </c>
      <c r="B3" s="2519"/>
      <c r="C3" s="2519"/>
      <c r="D3" s="2519"/>
      <c r="E3" s="2519"/>
      <c r="F3" s="2519"/>
      <c r="G3" s="2519"/>
      <c r="H3" s="2519"/>
      <c r="I3" s="2519"/>
      <c r="J3" s="2519"/>
      <c r="K3" s="2519"/>
      <c r="L3" s="2519"/>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3" t="str">
        <f>COVER!A17</f>
        <v xml:space="preserve">   United Twp HSD 30</v>
      </c>
      <c r="B7" s="2514"/>
      <c r="C7" s="2514"/>
      <c r="D7" s="2552"/>
      <c r="E7" s="2553">
        <f>COVER!A13</f>
        <v>49081030017</v>
      </c>
      <c r="F7" s="2554"/>
      <c r="G7" s="2520" t="str">
        <f>COVER!T23</f>
        <v>066.004397</v>
      </c>
      <c r="H7" s="2521"/>
      <c r="I7" s="2521"/>
      <c r="J7" s="2521"/>
      <c r="K7" s="2521"/>
      <c r="L7" s="2522"/>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3"/>
      <c r="B9" s="2524"/>
      <c r="C9" s="2524"/>
      <c r="D9" s="2524"/>
      <c r="E9" s="2524"/>
      <c r="F9" s="2525"/>
      <c r="G9" s="2526" t="str">
        <f>COVER!T13</f>
        <v>Bohnsack &amp; Frommelt, LLP</v>
      </c>
      <c r="H9" s="2527"/>
      <c r="I9" s="2527"/>
      <c r="J9" s="2527"/>
      <c r="K9" s="2527"/>
      <c r="L9" s="2528"/>
    </row>
    <row r="10" spans="1:29" ht="13.5" customHeight="1" x14ac:dyDescent="0.2">
      <c r="A10" s="2510" t="str">
        <f>COVER!A38</f>
        <v>Dr. Jay Morrow</v>
      </c>
      <c r="B10" s="2511"/>
      <c r="C10" s="2511"/>
      <c r="D10" s="2511"/>
      <c r="E10" s="2511"/>
      <c r="F10" s="2512"/>
      <c r="G10" s="2526" t="str">
        <f>COVER!T17</f>
        <v>1500 River Drive, Suite 200</v>
      </c>
      <c r="H10" s="2539"/>
      <c r="I10" s="2539"/>
      <c r="J10" s="2539"/>
      <c r="K10" s="2539"/>
      <c r="L10" s="2540"/>
    </row>
    <row r="11" spans="1:29" ht="13.5" customHeight="1" x14ac:dyDescent="0.2">
      <c r="A11" s="963" t="s">
        <v>1502</v>
      </c>
      <c r="B11" s="964"/>
      <c r="C11" s="965"/>
      <c r="D11" s="970"/>
      <c r="E11" s="965"/>
      <c r="F11" s="969"/>
      <c r="G11" s="2526" t="str">
        <f>COVER!T19</f>
        <v>Moline</v>
      </c>
      <c r="H11" s="2539"/>
      <c r="I11" s="2539"/>
      <c r="J11" s="2539"/>
      <c r="K11" s="2539"/>
      <c r="L11" s="2540"/>
    </row>
    <row r="12" spans="1:29" ht="13.5" customHeight="1" x14ac:dyDescent="0.2">
      <c r="A12" s="2544" t="s">
        <v>1501</v>
      </c>
      <c r="B12" s="2545"/>
      <c r="C12" s="2545"/>
      <c r="D12" s="2545"/>
      <c r="E12" s="2545"/>
      <c r="F12" s="2546"/>
      <c r="G12" s="2541"/>
      <c r="H12" s="2542"/>
      <c r="I12" s="2542"/>
      <c r="J12" s="2542"/>
      <c r="K12" s="2542"/>
      <c r="L12" s="2543"/>
    </row>
    <row r="13" spans="1:29" ht="13.5" customHeight="1" x14ac:dyDescent="0.2">
      <c r="A13" s="2526"/>
      <c r="B13" s="2539"/>
      <c r="C13" s="2539"/>
      <c r="D13" s="2539"/>
      <c r="E13" s="2539"/>
      <c r="F13" s="2540"/>
      <c r="G13" s="2534" t="s">
        <v>1503</v>
      </c>
      <c r="H13" s="2535"/>
      <c r="I13" s="2547" t="str">
        <f>COVER!T25</f>
        <v>sarah@bohnsackfrommelt.com</v>
      </c>
      <c r="J13" s="2548"/>
      <c r="K13" s="2548"/>
      <c r="L13" s="2549"/>
    </row>
    <row r="14" spans="1:29" ht="13.5" customHeight="1" x14ac:dyDescent="0.2">
      <c r="A14" s="2526" t="str">
        <f>COVER!A19</f>
        <v>1275 Avenue of the Cities</v>
      </c>
      <c r="B14" s="2539"/>
      <c r="C14" s="2539"/>
      <c r="D14" s="2539"/>
      <c r="E14" s="2539"/>
      <c r="F14" s="2540"/>
      <c r="G14" s="974" t="s">
        <v>1175</v>
      </c>
      <c r="H14" s="972"/>
      <c r="I14" s="972"/>
      <c r="J14" s="972"/>
      <c r="K14" s="972"/>
      <c r="L14" s="973"/>
    </row>
    <row r="15" spans="1:29" ht="13.5" customHeight="1" x14ac:dyDescent="0.2">
      <c r="A15" s="2526" t="str">
        <f>COVER!A21</f>
        <v>East Moline</v>
      </c>
      <c r="B15" s="2539"/>
      <c r="C15" s="2539"/>
      <c r="D15" s="2539"/>
      <c r="E15" s="2539"/>
      <c r="F15" s="2540"/>
      <c r="G15" s="2536" t="str">
        <f>COVER!T15</f>
        <v>Sarah Bohnsack</v>
      </c>
      <c r="H15" s="2537"/>
      <c r="I15" s="2537"/>
      <c r="J15" s="2537"/>
      <c r="K15" s="2537"/>
      <c r="L15" s="2538"/>
    </row>
    <row r="16" spans="1:29" ht="12.2" customHeight="1" x14ac:dyDescent="0.2">
      <c r="A16" s="2516">
        <f>COVER!A25</f>
        <v>61244</v>
      </c>
      <c r="B16" s="2517"/>
      <c r="C16" s="2517"/>
      <c r="D16" s="2517"/>
      <c r="E16" s="2517"/>
      <c r="F16" s="2518"/>
      <c r="G16" s="2529"/>
      <c r="H16" s="2530"/>
      <c r="I16" s="2530"/>
      <c r="J16" s="2530"/>
      <c r="K16" s="2530"/>
      <c r="L16" s="2531"/>
    </row>
    <row r="17" spans="1:13" ht="12.2" customHeight="1" x14ac:dyDescent="0.2">
      <c r="A17" s="2532"/>
      <c r="B17" s="2517"/>
      <c r="C17" s="2517"/>
      <c r="D17" s="2517"/>
      <c r="E17" s="2517"/>
      <c r="F17" s="2518"/>
      <c r="G17" s="974" t="s">
        <v>1174</v>
      </c>
      <c r="H17" s="972"/>
      <c r="I17" s="972"/>
      <c r="J17" s="972"/>
      <c r="K17" s="976" t="s">
        <v>1173</v>
      </c>
      <c r="L17" s="969"/>
      <c r="M17" s="962"/>
    </row>
    <row r="18" spans="1:13" ht="12.2" customHeight="1" x14ac:dyDescent="0.2">
      <c r="A18" s="2510"/>
      <c r="B18" s="2511"/>
      <c r="C18" s="2511"/>
      <c r="D18" s="2511"/>
      <c r="E18" s="2511"/>
      <c r="F18" s="2512"/>
      <c r="G18" s="2513" t="str">
        <f>COVER!T21</f>
        <v>563-343-9595</v>
      </c>
      <c r="H18" s="2514"/>
      <c r="I18" s="2514"/>
      <c r="J18" s="2514"/>
      <c r="K18" s="2513">
        <f>COVER!X21</f>
        <v>0</v>
      </c>
      <c r="L18" s="251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5" t="str">
        <f>'Single Audit Cover'!A7</f>
        <v xml:space="preserve">   United Twp HSD 30</v>
      </c>
      <c r="B1" s="2556"/>
      <c r="C1" s="2556"/>
      <c r="D1" s="2556"/>
    </row>
    <row r="2" spans="1:11" s="991" customFormat="1" ht="12.75" x14ac:dyDescent="0.2">
      <c r="A2" s="2557">
        <f>'Single Audit Cover'!E7</f>
        <v>49081030017</v>
      </c>
      <c r="B2" s="2558"/>
      <c r="C2" s="2558"/>
      <c r="D2" s="2558"/>
    </row>
    <row r="3" spans="1:11" s="991" customFormat="1" ht="12.75" x14ac:dyDescent="0.2">
      <c r="A3" s="2555" t="s">
        <v>1496</v>
      </c>
      <c r="B3" s="2556"/>
      <c r="C3" s="2556"/>
      <c r="D3" s="255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16" zoomScale="110" zoomScaleNormal="110" zoomScaleSheetLayoutView="100" workbookViewId="0">
      <selection activeCell="D25" sqref="D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0" t="str">
        <f>'Single Audit Cover'!A7</f>
        <v xml:space="preserve">   United Twp HSD 30</v>
      </c>
      <c r="B1" s="2560"/>
      <c r="C1" s="2560"/>
      <c r="D1" s="2560"/>
      <c r="E1" s="2560"/>
    </row>
    <row r="2" spans="1:5" x14ac:dyDescent="0.2">
      <c r="A2" s="2561">
        <f>'Single Audit Cover'!E7</f>
        <v>49081030017</v>
      </c>
      <c r="B2" s="2561"/>
      <c r="C2" s="2561"/>
      <c r="D2" s="2561"/>
      <c r="E2" s="2561"/>
    </row>
    <row r="3" spans="1:5" ht="4.5" customHeight="1" x14ac:dyDescent="0.2"/>
    <row r="4" spans="1:5" x14ac:dyDescent="0.2">
      <c r="A4" s="2560" t="s">
        <v>1234</v>
      </c>
      <c r="B4" s="2560"/>
      <c r="C4" s="2560"/>
      <c r="D4" s="2560"/>
      <c r="E4" s="2560"/>
    </row>
    <row r="5" spans="1:5" x14ac:dyDescent="0.2">
      <c r="A5" s="2563" t="str">
        <f>'Single Audit Cover'!A4</f>
        <v>Year Ending June 30, 2020</v>
      </c>
      <c r="B5" s="2563"/>
      <c r="C5" s="2563"/>
      <c r="D5" s="2563"/>
      <c r="E5" s="2563"/>
    </row>
    <row r="6" spans="1:5" x14ac:dyDescent="0.2">
      <c r="A6" s="2560" t="s">
        <v>1233</v>
      </c>
      <c r="B6" s="2560"/>
      <c r="C6" s="2560"/>
      <c r="D6" s="2560"/>
      <c r="E6" s="2560"/>
    </row>
    <row r="8" spans="1:5" x14ac:dyDescent="0.2">
      <c r="A8" s="1036" t="s">
        <v>1232</v>
      </c>
    </row>
    <row r="10" spans="1:5" x14ac:dyDescent="0.2">
      <c r="A10" s="1037" t="s">
        <v>1231</v>
      </c>
      <c r="B10" s="1038" t="s">
        <v>1230</v>
      </c>
      <c r="C10" s="1038"/>
      <c r="D10" s="1039">
        <f>SUM('Acct Summary 7-8'!C7:K7)</f>
        <v>1754072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66299</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-11000</v>
      </c>
    </row>
    <row r="19" spans="1:4" ht="13.5" thickBot="1" x14ac:dyDescent="0.25">
      <c r="A19" s="1041" t="s">
        <v>1224</v>
      </c>
      <c r="D19" s="1042">
        <f>SUM(D10:D17)</f>
        <v>1809371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2" t="s">
        <v>2121</v>
      </c>
      <c r="B24" s="2562"/>
      <c r="D24" s="1044">
        <v>-5620</v>
      </c>
    </row>
    <row r="25" spans="1:4" x14ac:dyDescent="0.2">
      <c r="A25" s="2559"/>
      <c r="B25" s="2559"/>
      <c r="D25" s="1044"/>
    </row>
    <row r="26" spans="1:4" x14ac:dyDescent="0.2">
      <c r="A26" s="2559"/>
      <c r="B26" s="2559"/>
      <c r="D26" s="1044"/>
    </row>
    <row r="27" spans="1:4" x14ac:dyDescent="0.2">
      <c r="A27" s="2559"/>
      <c r="B27" s="2559"/>
      <c r="D27" s="1044"/>
    </row>
    <row r="28" spans="1:4" x14ac:dyDescent="0.2">
      <c r="A28" s="2559"/>
      <c r="B28" s="2559"/>
      <c r="D28" s="1044"/>
    </row>
    <row r="29" spans="1:4" x14ac:dyDescent="0.2">
      <c r="A29" s="2559"/>
      <c r="B29" s="2559"/>
      <c r="D29" s="1044"/>
    </row>
    <row r="30" spans="1:4" x14ac:dyDescent="0.2">
      <c r="A30" s="2559"/>
      <c r="B30" s="2559"/>
      <c r="D30" s="1044"/>
    </row>
    <row r="32" spans="1:4" x14ac:dyDescent="0.2">
      <c r="A32" s="1036" t="s">
        <v>1222</v>
      </c>
      <c r="D32" s="1039">
        <f>SUM(D19:D30)</f>
        <v>1803751</v>
      </c>
    </row>
    <row r="33" spans="1:4" x14ac:dyDescent="0.2">
      <c r="D33" s="1045"/>
    </row>
    <row r="34" spans="1:4" x14ac:dyDescent="0.2">
      <c r="A34" s="295" t="s">
        <v>1221</v>
      </c>
    </row>
    <row r="35" spans="1:4" x14ac:dyDescent="0.2">
      <c r="A35" s="295" t="s">
        <v>1220</v>
      </c>
      <c r="B35" s="1034" t="s">
        <v>1219</v>
      </c>
      <c r="D35" s="1046">
        <f>' SEFA (3)'!F21</f>
        <v>1803751</v>
      </c>
    </row>
    <row r="37" spans="1:4" x14ac:dyDescent="0.2">
      <c r="A37" s="1036" t="s">
        <v>1218</v>
      </c>
    </row>
    <row r="39" spans="1:4" ht="13.35" customHeight="1" x14ac:dyDescent="0.2">
      <c r="A39" s="1043" t="s">
        <v>1217</v>
      </c>
    </row>
    <row r="40" spans="1:4" x14ac:dyDescent="0.2">
      <c r="A40" s="2559"/>
      <c r="B40" s="2559"/>
      <c r="D40" s="1044"/>
    </row>
    <row r="41" spans="1:4" x14ac:dyDescent="0.2">
      <c r="A41" s="2559"/>
      <c r="B41" s="2559"/>
      <c r="D41" s="1047"/>
    </row>
    <row r="42" spans="1:4" x14ac:dyDescent="0.2">
      <c r="A42" s="2559"/>
      <c r="B42" s="2559"/>
      <c r="D42" s="1047"/>
    </row>
    <row r="43" spans="1:4" x14ac:dyDescent="0.2">
      <c r="A43" s="2559"/>
      <c r="B43" s="2559"/>
      <c r="D43" s="1047"/>
    </row>
    <row r="44" spans="1:4" x14ac:dyDescent="0.2">
      <c r="A44" s="2559"/>
      <c r="B44" s="2559"/>
      <c r="D44" s="1047"/>
    </row>
    <row r="45" spans="1:4" x14ac:dyDescent="0.2">
      <c r="A45" s="2559"/>
      <c r="B45" s="2559"/>
      <c r="D45" s="1047"/>
    </row>
    <row r="47" spans="1:4" x14ac:dyDescent="0.2">
      <c r="B47" s="1048" t="s">
        <v>1216</v>
      </c>
      <c r="C47" s="1048"/>
      <c r="D47" s="1049">
        <f>SUM(D35:D45)</f>
        <v>1803751</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zoomScaleNormal="100" workbookViewId="0">
      <selection activeCell="M21" sqref="M2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United Twp HSD 30</v>
      </c>
      <c r="C1" s="2564"/>
      <c r="D1" s="2564"/>
      <c r="E1" s="2564"/>
      <c r="F1" s="2564"/>
      <c r="G1" s="2564"/>
      <c r="H1" s="2564"/>
      <c r="I1" s="2564"/>
      <c r="J1" s="2564"/>
      <c r="K1" s="2564"/>
      <c r="L1" s="2564"/>
      <c r="M1" s="2564"/>
    </row>
    <row r="2" spans="2:14" ht="15" x14ac:dyDescent="0.2">
      <c r="B2" s="2565">
        <f>'Single Audit Cover'!E7</f>
        <v>49081030017</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866"/>
      <c r="J5" s="1866"/>
    </row>
    <row r="6" spans="2:14" x14ac:dyDescent="0.2">
      <c r="B6" s="1079"/>
      <c r="C6" s="1080"/>
      <c r="D6" s="1081" t="s">
        <v>1254</v>
      </c>
      <c r="E6" s="1082" t="s">
        <v>524</v>
      </c>
      <c r="F6" s="1083"/>
      <c r="G6" s="1084" t="s">
        <v>1708</v>
      </c>
      <c r="H6" s="1082"/>
      <c r="I6" s="1082"/>
      <c r="J6" s="186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865" t="str">
        <f>"7/1/"&amp;MID('AFR20'!$E$2,3,2)-2&amp;"-6/30/"&amp;MID('AFR20'!$E$2,3,2)-1</f>
        <v>7/1/18-6/30/19</v>
      </c>
      <c r="F9" s="1865" t="str">
        <f>"7/1/"&amp;MID('AFR20'!$E$2,3,2)-1&amp;"-6/30/"&amp;MID('AFR20'!$E$2,3,2)</f>
        <v>7/1/19-6/30/20</v>
      </c>
      <c r="G9" s="1865" t="str">
        <f>"7/1/"&amp;MID('AFR20'!$E$2,3,2)-2&amp;"-6/30/"&amp;MID('AFR20'!$E$2,3,2)-1</f>
        <v>7/1/18-6/30/19</v>
      </c>
      <c r="H9" s="1093" t="s">
        <v>1565</v>
      </c>
      <c r="I9" s="186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2081</v>
      </c>
      <c r="C11" s="1821"/>
      <c r="D11" s="1822"/>
      <c r="E11" s="1823"/>
      <c r="F11" s="1823"/>
      <c r="G11" s="1823"/>
      <c r="H11" s="1823"/>
      <c r="I11" s="1823"/>
      <c r="J11" s="1823"/>
      <c r="K11" s="1823"/>
      <c r="L11" s="1823">
        <f>+G11+I11+K11</f>
        <v>0</v>
      </c>
      <c r="M11" s="1823"/>
    </row>
    <row r="12" spans="2:14" ht="20.100000000000001" customHeight="1" x14ac:dyDescent="0.2">
      <c r="B12" s="1113" t="s">
        <v>2082</v>
      </c>
      <c r="C12" s="1824"/>
      <c r="D12" s="1825"/>
      <c r="E12" s="1826"/>
      <c r="F12" s="1826"/>
      <c r="G12" s="1826"/>
      <c r="H12" s="1826"/>
      <c r="I12" s="1826"/>
      <c r="J12" s="1826"/>
      <c r="K12" s="1826"/>
      <c r="L12" s="1823">
        <f t="shared" ref="L12:L27" si="0">+G12+I12+K12</f>
        <v>0</v>
      </c>
      <c r="M12" s="1826"/>
    </row>
    <row r="13" spans="2:14" ht="20.100000000000001" customHeight="1" x14ac:dyDescent="0.2">
      <c r="B13" s="1113" t="s">
        <v>2083</v>
      </c>
      <c r="C13" s="1824"/>
      <c r="D13" s="1825"/>
      <c r="E13" s="1826"/>
      <c r="F13" s="1826"/>
      <c r="G13" s="1826"/>
      <c r="H13" s="1826"/>
      <c r="I13" s="1826"/>
      <c r="J13" s="1826"/>
      <c r="K13" s="1826"/>
      <c r="L13" s="1823">
        <f t="shared" si="0"/>
        <v>0</v>
      </c>
      <c r="M13" s="1826"/>
    </row>
    <row r="14" spans="2:14" ht="20.100000000000001" customHeight="1" x14ac:dyDescent="0.2">
      <c r="B14" s="1113" t="s">
        <v>1050</v>
      </c>
      <c r="C14" s="1824">
        <v>10.553000000000001</v>
      </c>
      <c r="D14" s="1825" t="s">
        <v>2088</v>
      </c>
      <c r="E14" s="1826">
        <v>0</v>
      </c>
      <c r="F14" s="1826">
        <v>35255</v>
      </c>
      <c r="G14" s="1826">
        <v>0</v>
      </c>
      <c r="H14" s="1826">
        <v>0</v>
      </c>
      <c r="I14" s="1826">
        <v>35255</v>
      </c>
      <c r="J14" s="1826">
        <v>0</v>
      </c>
      <c r="K14" s="1826">
        <v>0</v>
      </c>
      <c r="L14" s="1823">
        <f t="shared" si="0"/>
        <v>35255</v>
      </c>
      <c r="M14" s="1826" t="s">
        <v>2094</v>
      </c>
    </row>
    <row r="15" spans="2:14" ht="20.100000000000001" customHeight="1" x14ac:dyDescent="0.2">
      <c r="B15" s="1113" t="s">
        <v>1050</v>
      </c>
      <c r="C15" s="1824">
        <v>10.553000000000001</v>
      </c>
      <c r="D15" s="1825" t="s">
        <v>2089</v>
      </c>
      <c r="E15" s="1826">
        <v>40273</v>
      </c>
      <c r="F15" s="1826">
        <v>13120</v>
      </c>
      <c r="G15" s="1826">
        <v>40273</v>
      </c>
      <c r="H15" s="1826">
        <v>0</v>
      </c>
      <c r="I15" s="1826">
        <v>13120</v>
      </c>
      <c r="J15" s="1826">
        <v>0</v>
      </c>
      <c r="K15" s="1826">
        <v>0</v>
      </c>
      <c r="L15" s="1823">
        <f t="shared" si="0"/>
        <v>53393</v>
      </c>
      <c r="M15" s="1826" t="s">
        <v>2094</v>
      </c>
    </row>
    <row r="16" spans="2:14" ht="20.100000000000001" customHeight="1" x14ac:dyDescent="0.2">
      <c r="B16" s="1113" t="s">
        <v>1049</v>
      </c>
      <c r="C16" s="1824">
        <v>10.555</v>
      </c>
      <c r="D16" s="1825" t="s">
        <v>2090</v>
      </c>
      <c r="E16" s="1826">
        <v>0</v>
      </c>
      <c r="F16" s="1826">
        <v>238999</v>
      </c>
      <c r="G16" s="1826">
        <v>0</v>
      </c>
      <c r="H16" s="1826">
        <v>0</v>
      </c>
      <c r="I16" s="1826">
        <v>238999</v>
      </c>
      <c r="J16" s="1826">
        <v>0</v>
      </c>
      <c r="K16" s="1826">
        <v>0</v>
      </c>
      <c r="L16" s="1823">
        <f t="shared" si="0"/>
        <v>238999</v>
      </c>
      <c r="M16" s="1826" t="s">
        <v>2094</v>
      </c>
    </row>
    <row r="17" spans="2:14" ht="20.100000000000001" customHeight="1" x14ac:dyDescent="0.2">
      <c r="B17" s="1113" t="s">
        <v>1049</v>
      </c>
      <c r="C17" s="1824">
        <v>10.555</v>
      </c>
      <c r="D17" s="1825" t="s">
        <v>2091</v>
      </c>
      <c r="E17" s="1826">
        <v>315492</v>
      </c>
      <c r="F17" s="1826">
        <v>106948</v>
      </c>
      <c r="G17" s="1826">
        <v>315492</v>
      </c>
      <c r="H17" s="1826">
        <v>0</v>
      </c>
      <c r="I17" s="1826">
        <v>106948</v>
      </c>
      <c r="J17" s="1826">
        <v>0</v>
      </c>
      <c r="K17" s="1826">
        <v>0</v>
      </c>
      <c r="L17" s="1823">
        <f t="shared" si="0"/>
        <v>422440</v>
      </c>
      <c r="M17" s="1826" t="s">
        <v>2094</v>
      </c>
    </row>
    <row r="18" spans="2:14" ht="20.100000000000001" customHeight="1" x14ac:dyDescent="0.2">
      <c r="B18" s="1113" t="s">
        <v>2084</v>
      </c>
      <c r="C18" s="1824">
        <v>10.555</v>
      </c>
      <c r="D18" s="1825" t="s">
        <v>2092</v>
      </c>
      <c r="E18" s="1826">
        <v>0</v>
      </c>
      <c r="F18" s="1826">
        <v>13157</v>
      </c>
      <c r="G18" s="1826">
        <v>0</v>
      </c>
      <c r="H18" s="1826">
        <v>0</v>
      </c>
      <c r="I18" s="1826">
        <v>13157</v>
      </c>
      <c r="J18" s="1826">
        <v>0</v>
      </c>
      <c r="K18" s="1826">
        <v>0</v>
      </c>
      <c r="L18" s="1823">
        <f t="shared" si="0"/>
        <v>13157</v>
      </c>
      <c r="M18" s="1826" t="s">
        <v>2094</v>
      </c>
    </row>
    <row r="19" spans="2:14" ht="20.100000000000001" customHeight="1" x14ac:dyDescent="0.2">
      <c r="B19" s="1113" t="s">
        <v>2085</v>
      </c>
      <c r="C19" s="1824">
        <v>10.555</v>
      </c>
      <c r="D19" s="1825" t="s">
        <v>2092</v>
      </c>
      <c r="E19" s="1826">
        <v>0</v>
      </c>
      <c r="F19" s="1826">
        <v>53142</v>
      </c>
      <c r="G19" s="1826">
        <v>0</v>
      </c>
      <c r="H19" s="1826">
        <v>0</v>
      </c>
      <c r="I19" s="1826">
        <v>53142</v>
      </c>
      <c r="J19" s="1826">
        <v>0</v>
      </c>
      <c r="K19" s="1826">
        <v>0</v>
      </c>
      <c r="L19" s="1823">
        <f t="shared" si="0"/>
        <v>53142</v>
      </c>
      <c r="M19" s="1826" t="s">
        <v>2094</v>
      </c>
    </row>
    <row r="20" spans="2:14" ht="20.100000000000001" customHeight="1" x14ac:dyDescent="0.2">
      <c r="B20" s="1113" t="s">
        <v>1434</v>
      </c>
      <c r="C20" s="1824">
        <v>10.558999999999999</v>
      </c>
      <c r="D20" s="1825" t="s">
        <v>2093</v>
      </c>
      <c r="E20" s="1826">
        <v>0</v>
      </c>
      <c r="F20" s="1826">
        <v>44139</v>
      </c>
      <c r="G20" s="1826">
        <v>0</v>
      </c>
      <c r="H20" s="1826">
        <v>0</v>
      </c>
      <c r="I20" s="1826">
        <v>44139</v>
      </c>
      <c r="J20" s="1826">
        <v>0</v>
      </c>
      <c r="K20" s="1826">
        <v>0</v>
      </c>
      <c r="L20" s="1823">
        <f t="shared" si="0"/>
        <v>44139</v>
      </c>
      <c r="M20" s="1826" t="s">
        <v>2094</v>
      </c>
    </row>
    <row r="21" spans="2:14" ht="20.100000000000001" customHeight="1" x14ac:dyDescent="0.2">
      <c r="B21" s="1113" t="s">
        <v>2086</v>
      </c>
      <c r="C21" s="1824"/>
      <c r="D21" s="1825"/>
      <c r="E21" s="1826">
        <f>SUM(E14:E20)</f>
        <v>355765</v>
      </c>
      <c r="F21" s="1826">
        <f>SUM(F14:F20)</f>
        <v>504760</v>
      </c>
      <c r="G21" s="1826">
        <f>SUM(G14:G20)</f>
        <v>355765</v>
      </c>
      <c r="H21" s="1826">
        <v>0</v>
      </c>
      <c r="I21" s="1826">
        <v>504760</v>
      </c>
      <c r="J21" s="1826">
        <v>0</v>
      </c>
      <c r="K21" s="1826">
        <v>0</v>
      </c>
      <c r="L21" s="1823">
        <f t="shared" si="0"/>
        <v>860525</v>
      </c>
      <c r="M21" s="1826"/>
    </row>
    <row r="22" spans="2:14" ht="20.100000000000001" customHeight="1" x14ac:dyDescent="0.2">
      <c r="B22" s="1113" t="s">
        <v>2087</v>
      </c>
      <c r="C22" s="1824"/>
      <c r="D22" s="1825"/>
      <c r="E22" s="1826">
        <f>E21</f>
        <v>355765</v>
      </c>
      <c r="F22" s="1826">
        <f>F21</f>
        <v>504760</v>
      </c>
      <c r="G22" s="1826">
        <f>G21</f>
        <v>355765</v>
      </c>
      <c r="H22" s="1826">
        <v>0</v>
      </c>
      <c r="I22" s="1826">
        <f>I21</f>
        <v>504760</v>
      </c>
      <c r="J22" s="1826">
        <v>0</v>
      </c>
      <c r="K22" s="1826">
        <v>0</v>
      </c>
      <c r="L22" s="1823">
        <f t="shared" si="0"/>
        <v>860525</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8E1F0-D4BA-4C3D-814F-BE8E7F201BA5}">
  <sheetPr>
    <tabColor rgb="FF92D050"/>
  </sheetPr>
  <dimension ref="B1:N152"/>
  <sheetViews>
    <sheetView showGridLines="0" topLeftCell="A7" zoomScaleNormal="100" workbookViewId="0">
      <selection activeCell="M24" sqref="M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United Twp HSD 30</v>
      </c>
      <c r="C1" s="2564"/>
      <c r="D1" s="2564"/>
      <c r="E1" s="2564"/>
      <c r="F1" s="2564"/>
      <c r="G1" s="2564"/>
      <c r="H1" s="2564"/>
      <c r="I1" s="2564"/>
      <c r="J1" s="2564"/>
      <c r="K1" s="2564"/>
      <c r="L1" s="2564"/>
      <c r="M1" s="2564"/>
    </row>
    <row r="2" spans="2:14" ht="15" x14ac:dyDescent="0.2">
      <c r="B2" s="2565">
        <f>'Single Audit Cover'!E7</f>
        <v>49081030017</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866"/>
      <c r="J5" s="1866"/>
    </row>
    <row r="6" spans="2:14" x14ac:dyDescent="0.2">
      <c r="B6" s="1079"/>
      <c r="C6" s="1080"/>
      <c r="D6" s="1081" t="s">
        <v>1254</v>
      </c>
      <c r="E6" s="1082" t="s">
        <v>524</v>
      </c>
      <c r="F6" s="1083"/>
      <c r="G6" s="1084" t="s">
        <v>1708</v>
      </c>
      <c r="H6" s="1082"/>
      <c r="I6" s="1082"/>
      <c r="J6" s="186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865" t="str">
        <f>"7/1/"&amp;MID('AFR20'!$E$2,3,2)-2&amp;"-6/30/"&amp;MID('AFR20'!$E$2,3,2)-1</f>
        <v>7/1/18-6/30/19</v>
      </c>
      <c r="F9" s="1865" t="str">
        <f>"7/1/"&amp;MID('AFR20'!$E$2,3,2)-1&amp;"-6/30/"&amp;MID('AFR20'!$E$2,3,2)</f>
        <v>7/1/19-6/30/20</v>
      </c>
      <c r="G9" s="1865" t="str">
        <f>"7/1/"&amp;MID('AFR20'!$E$2,3,2)-2&amp;"-6/30/"&amp;MID('AFR20'!$E$2,3,2)-1</f>
        <v>7/1/18-6/30/19</v>
      </c>
      <c r="H9" s="1093" t="s">
        <v>1565</v>
      </c>
      <c r="I9" s="186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2079</v>
      </c>
      <c r="C11" s="1821"/>
      <c r="D11" s="1822"/>
      <c r="E11" s="1823"/>
      <c r="F11" s="1823"/>
      <c r="G11" s="1823"/>
      <c r="H11" s="1823"/>
      <c r="I11" s="1823"/>
      <c r="J11" s="1823"/>
      <c r="K11" s="1823"/>
      <c r="L11" s="1823">
        <f>+G11+I11+K11</f>
        <v>0</v>
      </c>
      <c r="M11" s="1823"/>
    </row>
    <row r="12" spans="2:14" ht="20.100000000000001" customHeight="1" x14ac:dyDescent="0.2">
      <c r="B12" s="1113" t="s">
        <v>2082</v>
      </c>
      <c r="C12" s="1824"/>
      <c r="D12" s="1825"/>
      <c r="E12" s="1826"/>
      <c r="F12" s="1826"/>
      <c r="G12" s="1826"/>
      <c r="H12" s="1826"/>
      <c r="I12" s="1826"/>
      <c r="J12" s="1826"/>
      <c r="K12" s="1826"/>
      <c r="L12" s="1823">
        <f t="shared" ref="L12:L27" si="0">+G12+I12+K12</f>
        <v>0</v>
      </c>
      <c r="M12" s="1826"/>
    </row>
    <row r="13" spans="2:14" ht="20.100000000000001" customHeight="1" x14ac:dyDescent="0.2">
      <c r="B13" s="1113" t="s">
        <v>2095</v>
      </c>
      <c r="C13" s="1824" t="s">
        <v>2102</v>
      </c>
      <c r="D13" s="1825" t="s">
        <v>2105</v>
      </c>
      <c r="E13" s="1826">
        <v>0</v>
      </c>
      <c r="F13" s="1826">
        <v>626675</v>
      </c>
      <c r="G13" s="1826">
        <v>0</v>
      </c>
      <c r="H13" s="1826">
        <v>0</v>
      </c>
      <c r="I13" s="1826">
        <v>661111</v>
      </c>
      <c r="J13" s="1826">
        <v>0</v>
      </c>
      <c r="K13" s="1826">
        <v>0</v>
      </c>
      <c r="L13" s="1823">
        <f t="shared" si="0"/>
        <v>661111</v>
      </c>
      <c r="M13" s="1826">
        <v>706274</v>
      </c>
    </row>
    <row r="14" spans="2:14" ht="20.100000000000001" customHeight="1" x14ac:dyDescent="0.2">
      <c r="B14" s="1113" t="s">
        <v>2095</v>
      </c>
      <c r="C14" s="1824" t="s">
        <v>2102</v>
      </c>
      <c r="D14" s="1825" t="s">
        <v>2106</v>
      </c>
      <c r="E14" s="1826">
        <v>415065</v>
      </c>
      <c r="F14" s="1826">
        <v>184123</v>
      </c>
      <c r="G14" s="1826">
        <v>594019</v>
      </c>
      <c r="H14" s="1826">
        <v>0</v>
      </c>
      <c r="I14" s="1826">
        <v>5169</v>
      </c>
      <c r="J14" s="1826">
        <v>0</v>
      </c>
      <c r="K14" s="1826">
        <v>0</v>
      </c>
      <c r="L14" s="1823">
        <f t="shared" si="0"/>
        <v>599188</v>
      </c>
      <c r="M14" s="1826">
        <v>708503</v>
      </c>
    </row>
    <row r="15" spans="2:14" ht="20.100000000000001" customHeight="1" x14ac:dyDescent="0.2">
      <c r="B15" s="1113" t="s">
        <v>2096</v>
      </c>
      <c r="C15" s="1824"/>
      <c r="D15" s="1825"/>
      <c r="E15" s="1826">
        <f>E14</f>
        <v>415065</v>
      </c>
      <c r="F15" s="1826">
        <f>F13+F14</f>
        <v>810798</v>
      </c>
      <c r="G15" s="1826">
        <f>G14</f>
        <v>594019</v>
      </c>
      <c r="H15" s="1826">
        <v>0</v>
      </c>
      <c r="I15" s="1826">
        <f>I13+I14</f>
        <v>666280</v>
      </c>
      <c r="J15" s="1826">
        <v>0</v>
      </c>
      <c r="K15" s="1826">
        <v>0</v>
      </c>
      <c r="L15" s="1823">
        <f t="shared" si="0"/>
        <v>1260299</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2097</v>
      </c>
      <c r="C17" s="1824" t="s">
        <v>2103</v>
      </c>
      <c r="D17" s="1825" t="s">
        <v>2107</v>
      </c>
      <c r="E17" s="1826">
        <v>0</v>
      </c>
      <c r="F17" s="1826">
        <v>61174</v>
      </c>
      <c r="G17" s="1826">
        <v>0</v>
      </c>
      <c r="H17" s="1826">
        <v>0</v>
      </c>
      <c r="I17" s="1826">
        <v>67498</v>
      </c>
      <c r="J17" s="1826">
        <v>0</v>
      </c>
      <c r="K17" s="1826">
        <v>0</v>
      </c>
      <c r="L17" s="1823">
        <f t="shared" si="0"/>
        <v>67498</v>
      </c>
      <c r="M17" s="1826">
        <v>104005</v>
      </c>
    </row>
    <row r="18" spans="2:14" ht="20.100000000000001" customHeight="1" x14ac:dyDescent="0.2">
      <c r="B18" s="1113" t="s">
        <v>2097</v>
      </c>
      <c r="C18" s="1824" t="s">
        <v>2103</v>
      </c>
      <c r="D18" s="1825" t="s">
        <v>2108</v>
      </c>
      <c r="E18" s="1826">
        <v>68494</v>
      </c>
      <c r="F18" s="1826">
        <v>13122</v>
      </c>
      <c r="G18" s="1826">
        <v>74712</v>
      </c>
      <c r="H18" s="1826">
        <v>0</v>
      </c>
      <c r="I18" s="1826">
        <v>6904</v>
      </c>
      <c r="J18" s="1826">
        <v>0</v>
      </c>
      <c r="K18" s="1826">
        <v>0</v>
      </c>
      <c r="L18" s="1823">
        <f t="shared" si="0"/>
        <v>81616</v>
      </c>
      <c r="M18" s="1826">
        <v>99607</v>
      </c>
    </row>
    <row r="19" spans="2:14" ht="20.100000000000001" customHeight="1" x14ac:dyDescent="0.2">
      <c r="B19" s="1113" t="s">
        <v>2098</v>
      </c>
      <c r="C19" s="1824"/>
      <c r="D19" s="1825"/>
      <c r="E19" s="1826">
        <f>E17+E18</f>
        <v>68494</v>
      </c>
      <c r="F19" s="1826">
        <f>F17+F18</f>
        <v>74296</v>
      </c>
      <c r="G19" s="1826">
        <f>G17+G18</f>
        <v>74712</v>
      </c>
      <c r="H19" s="1826">
        <v>0</v>
      </c>
      <c r="I19" s="1826">
        <f>I17+I18</f>
        <v>74402</v>
      </c>
      <c r="J19" s="1826">
        <v>0</v>
      </c>
      <c r="K19" s="1826">
        <v>0</v>
      </c>
      <c r="L19" s="1823">
        <f t="shared" si="0"/>
        <v>149114</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2099</v>
      </c>
      <c r="C21" s="1824"/>
      <c r="D21" s="1825"/>
      <c r="E21" s="1826"/>
      <c r="F21" s="1826"/>
      <c r="G21" s="1826"/>
      <c r="H21" s="1826"/>
      <c r="I21" s="1826"/>
      <c r="J21" s="1826"/>
      <c r="K21" s="1826"/>
      <c r="L21" s="1823">
        <f t="shared" si="0"/>
        <v>0</v>
      </c>
      <c r="M21" s="1826"/>
    </row>
    <row r="22" spans="2:14" ht="20.100000000000001" customHeight="1" x14ac:dyDescent="0.2">
      <c r="B22" s="1113" t="s">
        <v>2100</v>
      </c>
      <c r="C22" s="1824" t="s">
        <v>2104</v>
      </c>
      <c r="D22" s="1825" t="s">
        <v>2109</v>
      </c>
      <c r="E22" s="1826">
        <v>0</v>
      </c>
      <c r="F22" s="1826">
        <v>393530</v>
      </c>
      <c r="G22" s="1826">
        <v>0</v>
      </c>
      <c r="H22" s="1826">
        <v>0</v>
      </c>
      <c r="I22" s="1826">
        <v>393530</v>
      </c>
      <c r="J22" s="1826">
        <v>0</v>
      </c>
      <c r="K22" s="1826">
        <v>0</v>
      </c>
      <c r="L22" s="1823">
        <f t="shared" si="0"/>
        <v>393530</v>
      </c>
      <c r="M22" s="1826">
        <v>393530</v>
      </c>
    </row>
    <row r="23" spans="2:14" ht="20.100000000000001" customHeight="1" x14ac:dyDescent="0.2">
      <c r="B23" s="1113" t="s">
        <v>2100</v>
      </c>
      <c r="C23" s="1824" t="s">
        <v>2104</v>
      </c>
      <c r="D23" s="1825" t="s">
        <v>2109</v>
      </c>
      <c r="E23" s="1826">
        <v>0</v>
      </c>
      <c r="F23" s="1826">
        <v>1352</v>
      </c>
      <c r="G23" s="1826">
        <v>0</v>
      </c>
      <c r="H23" s="1826">
        <v>0</v>
      </c>
      <c r="I23" s="1826">
        <v>1352</v>
      </c>
      <c r="J23" s="1826">
        <v>0</v>
      </c>
      <c r="K23" s="1826">
        <v>0</v>
      </c>
      <c r="L23" s="1823">
        <f t="shared" si="0"/>
        <v>1352</v>
      </c>
      <c r="M23" s="1826">
        <v>1352</v>
      </c>
    </row>
    <row r="24" spans="2:14" ht="20.100000000000001" customHeight="1" x14ac:dyDescent="0.2">
      <c r="B24" s="1113" t="s">
        <v>2101</v>
      </c>
      <c r="C24" s="1824"/>
      <c r="D24" s="1825"/>
      <c r="E24" s="1826">
        <v>0</v>
      </c>
      <c r="F24" s="1826">
        <f>F22+F23</f>
        <v>394882</v>
      </c>
      <c r="G24" s="1826">
        <v>0</v>
      </c>
      <c r="H24" s="1826">
        <v>0</v>
      </c>
      <c r="I24" s="1826">
        <f>I22+I23</f>
        <v>394882</v>
      </c>
      <c r="J24" s="1826">
        <v>0</v>
      </c>
      <c r="K24" s="1826">
        <v>0</v>
      </c>
      <c r="L24" s="1823">
        <f t="shared" si="0"/>
        <v>394882</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0" colorId="8" zoomScaleNormal="100" workbookViewId="0">
      <selection activeCell="J81" sqref="J8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1" t="s">
        <v>1158</v>
      </c>
      <c r="B2" s="2151"/>
      <c r="C2" s="2151"/>
      <c r="D2" s="2151"/>
      <c r="E2" s="2151"/>
      <c r="F2" s="2151"/>
      <c r="G2" s="2151"/>
      <c r="H2" s="2151"/>
      <c r="I2" s="2151"/>
      <c r="J2" s="215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5" t="s">
        <v>1616</v>
      </c>
      <c r="B35" s="2166"/>
      <c r="C35" s="2166"/>
      <c r="D35" s="2166"/>
      <c r="E35" s="2167"/>
      <c r="F35" s="2167"/>
      <c r="G35" s="2167"/>
      <c r="H35" s="2167"/>
      <c r="I35" s="216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5" t="s">
        <v>310</v>
      </c>
      <c r="B47" s="2168"/>
      <c r="C47" s="2168"/>
      <c r="D47" s="2168"/>
      <c r="E47" s="2169"/>
      <c r="F47" s="2169"/>
      <c r="G47" s="2169"/>
      <c r="H47" s="2169"/>
      <c r="I47" s="216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2"/>
      <c r="C57" s="2173"/>
      <c r="D57" s="2173"/>
      <c r="E57" s="2173"/>
      <c r="F57" s="2173"/>
      <c r="G57" s="2173"/>
      <c r="H57" s="2173"/>
      <c r="I57" s="2173"/>
      <c r="J57" s="2174"/>
    </row>
    <row r="58" spans="1:10" s="176" customFormat="1" x14ac:dyDescent="0.2">
      <c r="A58" s="248"/>
      <c r="B58" s="2175"/>
      <c r="C58" s="2176"/>
      <c r="D58" s="2176"/>
      <c r="E58" s="2176"/>
      <c r="F58" s="2176"/>
      <c r="G58" s="2176"/>
      <c r="H58" s="2176"/>
      <c r="I58" s="2176"/>
      <c r="J58" s="2177"/>
    </row>
    <row r="59" spans="1:10" s="176" customFormat="1" x14ac:dyDescent="0.2">
      <c r="A59" s="248"/>
      <c r="B59" s="2175"/>
      <c r="C59" s="2176"/>
      <c r="D59" s="2176"/>
      <c r="E59" s="2176"/>
      <c r="F59" s="2176"/>
      <c r="G59" s="2176"/>
      <c r="H59" s="2176"/>
      <c r="I59" s="2176"/>
      <c r="J59" s="2177"/>
    </row>
    <row r="60" spans="1:10" s="176" customFormat="1" x14ac:dyDescent="0.2">
      <c r="A60" s="248"/>
      <c r="B60" s="2175"/>
      <c r="C60" s="2176"/>
      <c r="D60" s="2176"/>
      <c r="E60" s="2176"/>
      <c r="F60" s="2176"/>
      <c r="G60" s="2176"/>
      <c r="H60" s="2176"/>
      <c r="I60" s="2176"/>
      <c r="J60" s="2177"/>
    </row>
    <row r="61" spans="1:10" s="176" customFormat="1" x14ac:dyDescent="0.2">
      <c r="A61" s="248"/>
      <c r="B61" s="2175"/>
      <c r="C61" s="2176"/>
      <c r="D61" s="2176"/>
      <c r="E61" s="2176"/>
      <c r="F61" s="2176"/>
      <c r="G61" s="2176"/>
      <c r="H61" s="2176"/>
      <c r="I61" s="2176"/>
      <c r="J61" s="2177"/>
    </row>
    <row r="62" spans="1:10" s="176" customFormat="1" x14ac:dyDescent="0.2">
      <c r="A62" s="248"/>
      <c r="B62" s="2175"/>
      <c r="C62" s="2176"/>
      <c r="D62" s="2176"/>
      <c r="E62" s="2176"/>
      <c r="F62" s="2176"/>
      <c r="G62" s="2176"/>
      <c r="H62" s="2176"/>
      <c r="I62" s="2176"/>
      <c r="J62" s="2177"/>
    </row>
    <row r="63" spans="1:10" s="176" customFormat="1" x14ac:dyDescent="0.2">
      <c r="A63" s="248"/>
      <c r="B63" s="2175"/>
      <c r="C63" s="2176"/>
      <c r="D63" s="2176"/>
      <c r="E63" s="2176"/>
      <c r="F63" s="2176"/>
      <c r="G63" s="2176"/>
      <c r="H63" s="2176"/>
      <c r="I63" s="2176"/>
      <c r="J63" s="2177"/>
    </row>
    <row r="64" spans="1:10" s="176" customFormat="1" x14ac:dyDescent="0.2">
      <c r="A64" s="248"/>
      <c r="B64" s="2175"/>
      <c r="C64" s="2176"/>
      <c r="D64" s="2176"/>
      <c r="E64" s="2176"/>
      <c r="F64" s="2176"/>
      <c r="G64" s="2176"/>
      <c r="H64" s="2176"/>
      <c r="I64" s="2176"/>
      <c r="J64" s="2177"/>
    </row>
    <row r="65" spans="1:11" s="176" customFormat="1" x14ac:dyDescent="0.2">
      <c r="A65" s="248"/>
      <c r="B65" s="2175"/>
      <c r="C65" s="2176"/>
      <c r="D65" s="2176"/>
      <c r="E65" s="2176"/>
      <c r="F65" s="2176"/>
      <c r="G65" s="2176"/>
      <c r="H65" s="2176"/>
      <c r="I65" s="2176"/>
      <c r="J65" s="2177"/>
    </row>
    <row r="66" spans="1:11" s="176" customFormat="1" x14ac:dyDescent="0.2">
      <c r="A66" s="248"/>
      <c r="B66" s="2175"/>
      <c r="C66" s="2176"/>
      <c r="D66" s="2176"/>
      <c r="E66" s="2176"/>
      <c r="F66" s="2176"/>
      <c r="G66" s="2176"/>
      <c r="H66" s="2176"/>
      <c r="I66" s="2176"/>
      <c r="J66" s="2177"/>
    </row>
    <row r="67" spans="1:11" s="176" customFormat="1" ht="9" customHeight="1" x14ac:dyDescent="0.2">
      <c r="A67" s="249"/>
      <c r="B67" s="2178"/>
      <c r="C67" s="2179"/>
      <c r="D67" s="2179"/>
      <c r="E67" s="2179"/>
      <c r="F67" s="2179"/>
      <c r="G67" s="2179"/>
      <c r="H67" s="2179"/>
      <c r="I67" s="2179"/>
      <c r="J67" s="218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5" t="s">
        <v>1312</v>
      </c>
      <c r="B70" s="2168"/>
      <c r="C70" s="2168"/>
      <c r="D70" s="2168"/>
      <c r="E70" s="2169"/>
      <c r="F70" s="2169"/>
      <c r="G70" s="2169"/>
      <c r="H70" s="2169"/>
      <c r="I70" s="216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0" t="s">
        <v>1309</v>
      </c>
      <c r="B83" s="2170"/>
      <c r="C83" s="2170"/>
      <c r="D83" s="217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1" t="s">
        <v>1986</v>
      </c>
      <c r="B85" s="2181"/>
      <c r="C85" s="2181"/>
      <c r="D85" s="2182"/>
      <c r="E85" s="1544">
        <v>0</v>
      </c>
      <c r="F85" s="1544">
        <v>2930</v>
      </c>
      <c r="G85" s="1544">
        <v>0</v>
      </c>
      <c r="H85" s="1544">
        <v>0</v>
      </c>
      <c r="I85" s="1862">
        <v>0</v>
      </c>
      <c r="J85" s="1727">
        <f>SUM(E85:I85)</f>
        <v>2930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3" t="s">
        <v>1986</v>
      </c>
      <c r="B88" s="2184"/>
      <c r="C88" s="2184"/>
      <c r="D88" s="2185"/>
      <c r="E88" s="1544">
        <v>46750</v>
      </c>
      <c r="F88" s="1544">
        <v>1165</v>
      </c>
      <c r="G88" s="1544">
        <v>652</v>
      </c>
      <c r="H88" s="1544">
        <v>78677</v>
      </c>
      <c r="I88" s="1862">
        <v>0</v>
      </c>
      <c r="J88" s="1727">
        <f>SUM(E88:I88)</f>
        <v>127244</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863"/>
      <c r="J90" s="1729">
        <f>SUM(J85:J89)</f>
        <v>130174</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2"/>
      <c r="C102" s="2153"/>
      <c r="D102" s="2153"/>
      <c r="E102" s="2153"/>
      <c r="F102" s="2153"/>
      <c r="G102" s="2153"/>
      <c r="H102" s="2153"/>
      <c r="I102" s="2154"/>
    </row>
    <row r="103" spans="1:9" s="176" customFormat="1" ht="11.25" customHeight="1" x14ac:dyDescent="0.2">
      <c r="A103" s="294"/>
      <c r="B103" s="2155"/>
      <c r="C103" s="2156"/>
      <c r="D103" s="2156"/>
      <c r="E103" s="2156"/>
      <c r="F103" s="2156"/>
      <c r="G103" s="2156"/>
      <c r="H103" s="2156"/>
      <c r="I103" s="2157"/>
    </row>
    <row r="104" spans="1:9" s="176" customFormat="1" ht="11.25" customHeight="1" x14ac:dyDescent="0.2">
      <c r="A104" s="294"/>
      <c r="B104" s="2155"/>
      <c r="C104" s="2156"/>
      <c r="D104" s="2156"/>
      <c r="E104" s="2156"/>
      <c r="F104" s="2156"/>
      <c r="G104" s="2156"/>
      <c r="H104" s="2156"/>
      <c r="I104" s="2157"/>
    </row>
    <row r="105" spans="1:9" s="176" customFormat="1" x14ac:dyDescent="0.2">
      <c r="A105" s="294"/>
      <c r="B105" s="2155"/>
      <c r="C105" s="2156"/>
      <c r="D105" s="2156"/>
      <c r="E105" s="2156"/>
      <c r="F105" s="2156"/>
      <c r="G105" s="2156"/>
      <c r="H105" s="2156"/>
      <c r="I105" s="2157"/>
    </row>
    <row r="106" spans="1:9" s="176" customFormat="1" ht="11.25" customHeight="1" x14ac:dyDescent="0.2">
      <c r="A106" s="294"/>
      <c r="B106" s="2155"/>
      <c r="C106" s="2156"/>
      <c r="D106" s="2156"/>
      <c r="E106" s="2156"/>
      <c r="F106" s="2156"/>
      <c r="G106" s="2156"/>
      <c r="H106" s="2156"/>
      <c r="I106" s="2157"/>
    </row>
    <row r="107" spans="1:9" s="176" customFormat="1" ht="11.25" customHeight="1" x14ac:dyDescent="0.2">
      <c r="A107" s="294"/>
      <c r="B107" s="2155"/>
      <c r="C107" s="2156"/>
      <c r="D107" s="2156"/>
      <c r="E107" s="2156"/>
      <c r="F107" s="2156"/>
      <c r="G107" s="2156"/>
      <c r="H107" s="2156"/>
      <c r="I107" s="2157"/>
    </row>
    <row r="108" spans="1:9" s="176" customFormat="1" ht="11.25" customHeight="1" x14ac:dyDescent="0.2">
      <c r="A108" s="294"/>
      <c r="B108" s="2155"/>
      <c r="C108" s="2156"/>
      <c r="D108" s="2156"/>
      <c r="E108" s="2156"/>
      <c r="F108" s="2156"/>
      <c r="G108" s="2156"/>
      <c r="H108" s="2156"/>
      <c r="I108" s="2157"/>
    </row>
    <row r="109" spans="1:9" s="176" customFormat="1" ht="11.25" customHeight="1" x14ac:dyDescent="0.2">
      <c r="A109" s="294"/>
      <c r="B109" s="2155"/>
      <c r="C109" s="2156"/>
      <c r="D109" s="2156"/>
      <c r="E109" s="2156"/>
      <c r="F109" s="2156"/>
      <c r="G109" s="2156"/>
      <c r="H109" s="2156"/>
      <c r="I109" s="2157"/>
    </row>
    <row r="110" spans="1:9" s="176" customFormat="1" ht="11.25" customHeight="1" x14ac:dyDescent="0.2">
      <c r="A110" s="294"/>
      <c r="B110" s="2155"/>
      <c r="C110" s="2156"/>
      <c r="D110" s="2156"/>
      <c r="E110" s="2156"/>
      <c r="F110" s="2156"/>
      <c r="G110" s="2156"/>
      <c r="H110" s="2156"/>
      <c r="I110" s="2157"/>
    </row>
    <row r="111" spans="1:9" s="176" customFormat="1" ht="11.25" customHeight="1" x14ac:dyDescent="0.2">
      <c r="A111" s="294"/>
      <c r="B111" s="2155"/>
      <c r="C111" s="2156"/>
      <c r="D111" s="2156"/>
      <c r="E111" s="2156"/>
      <c r="F111" s="2156"/>
      <c r="G111" s="2156"/>
      <c r="H111" s="2156"/>
      <c r="I111" s="2157"/>
    </row>
    <row r="112" spans="1:9" s="176" customFormat="1" ht="11.25" customHeight="1" x14ac:dyDescent="0.2">
      <c r="A112" s="294"/>
      <c r="B112" s="2158"/>
      <c r="C112" s="2159"/>
      <c r="D112" s="2159"/>
      <c r="E112" s="2159"/>
      <c r="F112" s="2159"/>
      <c r="G112" s="2159"/>
      <c r="H112" s="2159"/>
      <c r="I112" s="216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1" t="s">
        <v>2056</v>
      </c>
      <c r="D114" s="216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2" t="s">
        <v>1319</v>
      </c>
      <c r="D117" s="2163"/>
      <c r="E117" s="2164"/>
      <c r="F117" s="2164"/>
      <c r="G117" s="2164"/>
      <c r="H117" s="2164"/>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571CF-25F5-4841-B881-6F61A991A59E}">
  <sheetPr>
    <tabColor rgb="FF92D050"/>
  </sheetPr>
  <dimension ref="B1:N152"/>
  <sheetViews>
    <sheetView showGridLines="0" zoomScaleNormal="100" workbookViewId="0">
      <selection activeCell="C17" sqref="C1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United Twp HSD 30</v>
      </c>
      <c r="C1" s="2564"/>
      <c r="D1" s="2564"/>
      <c r="E1" s="2564"/>
      <c r="F1" s="2564"/>
      <c r="G1" s="2564"/>
      <c r="H1" s="2564"/>
      <c r="I1" s="2564"/>
      <c r="J1" s="2564"/>
      <c r="K1" s="2564"/>
      <c r="L1" s="2564"/>
      <c r="M1" s="2564"/>
    </row>
    <row r="2" spans="2:14" ht="15" x14ac:dyDescent="0.2">
      <c r="B2" s="2565">
        <f>'Single Audit Cover'!E7</f>
        <v>49081030017</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866"/>
      <c r="J5" s="1866"/>
    </row>
    <row r="6" spans="2:14" x14ac:dyDescent="0.2">
      <c r="B6" s="1079"/>
      <c r="C6" s="1080"/>
      <c r="D6" s="1081" t="s">
        <v>1254</v>
      </c>
      <c r="E6" s="1082" t="s">
        <v>524</v>
      </c>
      <c r="F6" s="1083"/>
      <c r="G6" s="1084" t="s">
        <v>1708</v>
      </c>
      <c r="H6" s="1082"/>
      <c r="I6" s="1082"/>
      <c r="J6" s="186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865" t="str">
        <f>"7/1/"&amp;MID('AFR20'!$E$2,3,2)-2&amp;"-6/30/"&amp;MID('AFR20'!$E$2,3,2)-1</f>
        <v>7/1/18-6/30/19</v>
      </c>
      <c r="F9" s="1865" t="str">
        <f>"7/1/"&amp;MID('AFR20'!$E$2,3,2)-1&amp;"-6/30/"&amp;MID('AFR20'!$E$2,3,2)</f>
        <v>7/1/19-6/30/20</v>
      </c>
      <c r="G9" s="1865" t="str">
        <f>"7/1/"&amp;MID('AFR20'!$E$2,3,2)-2&amp;"-6/30/"&amp;MID('AFR20'!$E$2,3,2)-1</f>
        <v>7/1/18-6/30/19</v>
      </c>
      <c r="H9" s="1093" t="s">
        <v>1565</v>
      </c>
      <c r="I9" s="186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2079</v>
      </c>
      <c r="C11" s="1821"/>
      <c r="D11" s="1822"/>
      <c r="E11" s="1823"/>
      <c r="F11" s="1823"/>
      <c r="G11" s="1823"/>
      <c r="H11" s="1823"/>
      <c r="I11" s="1823"/>
      <c r="J11" s="1823"/>
      <c r="K11" s="1823"/>
      <c r="L11" s="1823">
        <f>+G11+I11+K11</f>
        <v>0</v>
      </c>
      <c r="M11" s="1823"/>
    </row>
    <row r="12" spans="2:14" ht="20.100000000000001" customHeight="1" x14ac:dyDescent="0.2">
      <c r="B12" s="1113" t="s">
        <v>2080</v>
      </c>
      <c r="C12" s="1824"/>
      <c r="D12" s="1825"/>
      <c r="E12" s="1826"/>
      <c r="F12" s="1826"/>
      <c r="G12" s="1826"/>
      <c r="H12" s="1826"/>
      <c r="I12" s="1826"/>
      <c r="J12" s="1826"/>
      <c r="K12" s="1826"/>
      <c r="L12" s="1823">
        <f t="shared" ref="L12:L27" si="0">+G12+I12+K12</f>
        <v>0</v>
      </c>
      <c r="M12" s="1826"/>
    </row>
    <row r="13" spans="2:14" ht="20.100000000000001" customHeight="1" x14ac:dyDescent="0.2">
      <c r="B13" s="1113" t="s">
        <v>2257</v>
      </c>
      <c r="C13" s="1824" t="s">
        <v>2115</v>
      </c>
      <c r="D13" s="1825" t="s">
        <v>2116</v>
      </c>
      <c r="E13" s="1826">
        <v>0</v>
      </c>
      <c r="F13" s="1826">
        <v>5901</v>
      </c>
      <c r="G13" s="1826">
        <v>0</v>
      </c>
      <c r="H13" s="1826">
        <v>0</v>
      </c>
      <c r="I13" s="1826">
        <v>5901</v>
      </c>
      <c r="J13" s="1826">
        <v>0</v>
      </c>
      <c r="K13" s="1826">
        <v>0</v>
      </c>
      <c r="L13" s="1823">
        <f t="shared" si="0"/>
        <v>5901</v>
      </c>
      <c r="M13" s="1826">
        <v>5901</v>
      </c>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2110</v>
      </c>
      <c r="C15" s="1824"/>
      <c r="D15" s="1825"/>
      <c r="E15" s="1826">
        <f>E13+' SEFA (2)'!E24+' SEFA (2)'!E20+' SEFA (2)'!E19+' SEFA (2)'!E15</f>
        <v>483559</v>
      </c>
      <c r="F15" s="1826">
        <f>F13+' SEFA (2)'!F24+' SEFA (2)'!F19+' SEFA (2)'!F15</f>
        <v>1285877</v>
      </c>
      <c r="G15" s="1826">
        <f>G13+' SEFA (2)'!G24+' SEFA (2)'!G19+' SEFA (2)'!G15</f>
        <v>668731</v>
      </c>
      <c r="H15" s="1826">
        <v>0</v>
      </c>
      <c r="I15" s="1826">
        <f>I13+' SEFA (2)'!I24+' SEFA (2)'!I19+' SEFA (2)'!I15</f>
        <v>1141465</v>
      </c>
      <c r="J15" s="1826">
        <v>0</v>
      </c>
      <c r="K15" s="1826">
        <v>0</v>
      </c>
      <c r="L15" s="1823">
        <f t="shared" si="0"/>
        <v>1810196</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2111</v>
      </c>
      <c r="C17" s="1824"/>
      <c r="D17" s="1825"/>
      <c r="E17" s="1826"/>
      <c r="F17" s="1826"/>
      <c r="G17" s="1826"/>
      <c r="H17" s="1826"/>
      <c r="I17" s="1826"/>
      <c r="J17" s="1826"/>
      <c r="K17" s="1826"/>
      <c r="L17" s="1823">
        <f t="shared" si="0"/>
        <v>0</v>
      </c>
      <c r="M17" s="1826"/>
    </row>
    <row r="18" spans="2:14" ht="20.100000000000001" customHeight="1" x14ac:dyDescent="0.2">
      <c r="B18" s="1113" t="s">
        <v>2112</v>
      </c>
      <c r="C18" s="1824"/>
      <c r="D18" s="1825"/>
      <c r="E18" s="1826"/>
      <c r="F18" s="1826"/>
      <c r="G18" s="1826"/>
      <c r="H18" s="1826"/>
      <c r="I18" s="1826"/>
      <c r="J18" s="1826"/>
      <c r="K18" s="1826"/>
      <c r="L18" s="1823">
        <f t="shared" si="0"/>
        <v>0</v>
      </c>
      <c r="M18" s="1826"/>
    </row>
    <row r="19" spans="2:14" ht="20.100000000000001" customHeight="1" x14ac:dyDescent="0.2">
      <c r="B19" s="1113" t="s">
        <v>2113</v>
      </c>
      <c r="C19" s="1824">
        <v>93.778000000000006</v>
      </c>
      <c r="D19" s="1825" t="s">
        <v>2117</v>
      </c>
      <c r="E19" s="1826">
        <v>0</v>
      </c>
      <c r="F19" s="1826">
        <v>13114</v>
      </c>
      <c r="G19" s="1826">
        <v>0</v>
      </c>
      <c r="H19" s="1826">
        <v>0</v>
      </c>
      <c r="I19" s="1826">
        <v>13114</v>
      </c>
      <c r="J19" s="1826">
        <v>0</v>
      </c>
      <c r="K19" s="1826">
        <v>0</v>
      </c>
      <c r="L19" s="1823">
        <f>+G19+I19+K19</f>
        <v>13114</v>
      </c>
      <c r="M19" s="1826" t="s">
        <v>2094</v>
      </c>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2114</v>
      </c>
      <c r="C21" s="1824"/>
      <c r="D21" s="1825"/>
      <c r="E21" s="1826">
        <f>E19+E15+' SEFA'!E22</f>
        <v>839324</v>
      </c>
      <c r="F21" s="1826">
        <f>F19+F15+' SEFA'!F22</f>
        <v>1803751</v>
      </c>
      <c r="G21" s="1826">
        <f>G19+G15+' SEFA'!G22</f>
        <v>1024496</v>
      </c>
      <c r="H21" s="1826">
        <v>0</v>
      </c>
      <c r="I21" s="1826">
        <f>I19+I15+' SEFA'!I22</f>
        <v>1659339</v>
      </c>
      <c r="J21" s="1826">
        <v>0</v>
      </c>
      <c r="K21" s="1826">
        <v>0</v>
      </c>
      <c r="L21" s="1823">
        <f t="shared" si="0"/>
        <v>2683835</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34"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 xml:space="preserve">   United Twp HSD 30</v>
      </c>
      <c r="B1" s="2569"/>
      <c r="C1" s="2569"/>
      <c r="D1" s="2569"/>
      <c r="E1" s="2569"/>
      <c r="F1" s="2569"/>
    </row>
    <row r="2" spans="1:7" ht="13.5" customHeight="1" x14ac:dyDescent="0.2">
      <c r="A2" s="2565">
        <f>'Single Audit Cover'!E7</f>
        <v>49081030017</v>
      </c>
      <c r="B2" s="2565"/>
      <c r="C2" s="2565"/>
      <c r="D2" s="2565"/>
      <c r="E2" s="2565"/>
      <c r="F2" s="2565"/>
      <c r="G2" s="1051"/>
    </row>
    <row r="3" spans="1:7" ht="15.75" customHeight="1" x14ac:dyDescent="0.2">
      <c r="A3" s="2570" t="s">
        <v>1260</v>
      </c>
      <c r="B3" s="2570"/>
      <c r="C3" s="2570"/>
      <c r="D3" s="2570"/>
      <c r="E3" s="2570"/>
      <c r="F3" s="2570"/>
    </row>
    <row r="4" spans="1:7" ht="13.5" customHeight="1" x14ac:dyDescent="0.2">
      <c r="A4" s="2571" t="str">
        <f>'Single Audit Cover'!A4</f>
        <v>Year Ending June 30, 2020</v>
      </c>
      <c r="B4" s="2571"/>
      <c r="C4" s="2571"/>
      <c r="D4" s="2571"/>
      <c r="E4" s="2571"/>
      <c r="F4" s="2571"/>
    </row>
    <row r="5" spans="1:7" ht="8.25" customHeight="1" x14ac:dyDescent="0.2">
      <c r="C5" s="295"/>
      <c r="D5" s="295"/>
    </row>
    <row r="6" spans="1:7" ht="13.5" customHeight="1" x14ac:dyDescent="0.2">
      <c r="A6" s="1052" t="s">
        <v>1705</v>
      </c>
      <c r="C6" s="295"/>
      <c r="D6" s="295"/>
    </row>
    <row r="7" spans="1:7" ht="60.95" customHeight="1" x14ac:dyDescent="0.2">
      <c r="A7" s="2568" t="s">
        <v>2253</v>
      </c>
      <c r="B7" s="2568"/>
      <c r="C7" s="2568"/>
      <c r="D7" s="2568"/>
      <c r="E7" s="2568"/>
      <c r="F7" s="256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8" t="s">
        <v>2254</v>
      </c>
      <c r="B13" s="2568"/>
      <c r="C13" s="2568"/>
      <c r="D13" s="2568"/>
      <c r="E13" s="2568"/>
      <c r="F13" s="2568"/>
    </row>
    <row r="14" spans="1:7" ht="9.75" customHeight="1" x14ac:dyDescent="0.2">
      <c r="C14" s="1036"/>
      <c r="D14" s="1036"/>
    </row>
    <row r="15" spans="1:7" ht="13.5" customHeight="1" x14ac:dyDescent="0.2">
      <c r="C15" s="1476" t="s">
        <v>1259</v>
      </c>
      <c r="D15" s="2573" t="s">
        <v>1258</v>
      </c>
      <c r="E15" s="2573"/>
      <c r="F15" s="2573"/>
    </row>
    <row r="16" spans="1:7" ht="13.5" customHeight="1" x14ac:dyDescent="0.2">
      <c r="A16" s="1058"/>
      <c r="B16" s="1052" t="s">
        <v>1257</v>
      </c>
      <c r="C16" s="1476" t="s">
        <v>1256</v>
      </c>
      <c r="D16" s="2574" t="s">
        <v>1571</v>
      </c>
      <c r="E16" s="2574"/>
      <c r="F16" s="2574"/>
    </row>
    <row r="17" spans="1:6" ht="20.45" customHeight="1" x14ac:dyDescent="0.2">
      <c r="A17" s="1059"/>
      <c r="B17" s="1060" t="s">
        <v>2252</v>
      </c>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6" t="s">
        <v>2255</v>
      </c>
      <c r="B32" s="2576"/>
      <c r="C32" s="2576"/>
      <c r="D32" s="2576"/>
      <c r="E32" s="2576"/>
      <c r="F32" s="2576"/>
    </row>
    <row r="33" spans="1:6" ht="13.5" customHeight="1" x14ac:dyDescent="0.2">
      <c r="A33" s="306" t="s">
        <v>1417</v>
      </c>
      <c r="B33" s="306"/>
      <c r="C33" s="1064">
        <f>' SEFA'!L19</f>
        <v>53142</v>
      </c>
      <c r="D33" s="1526"/>
      <c r="E33" s="1062"/>
    </row>
    <row r="34" spans="1:6" ht="13.5" customHeight="1" x14ac:dyDescent="0.2">
      <c r="A34" s="306" t="s">
        <v>1808</v>
      </c>
      <c r="B34" s="306"/>
      <c r="C34" s="1065">
        <f>' SEFA'!L18</f>
        <v>13157</v>
      </c>
      <c r="D34" s="1526" t="s">
        <v>1572</v>
      </c>
      <c r="E34" s="2577">
        <f>+C33+C34</f>
        <v>66299</v>
      </c>
      <c r="F34" s="257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568</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9" t="s">
        <v>1573</v>
      </c>
      <c r="C49" s="2579"/>
      <c r="D49" s="2579"/>
      <c r="E49" s="1168"/>
    </row>
    <row r="50" spans="1:5" s="1076" customFormat="1" ht="3.75" customHeight="1" x14ac:dyDescent="0.2">
      <c r="A50" s="1075"/>
      <c r="B50" s="1475"/>
      <c r="C50" s="1475"/>
      <c r="D50" s="1475"/>
      <c r="E50" s="1168"/>
    </row>
    <row r="51" spans="1:5" s="1076" customFormat="1" ht="20.25" customHeight="1" x14ac:dyDescent="0.2">
      <c r="A51" s="1077">
        <v>6</v>
      </c>
      <c r="B51" s="2575" t="s">
        <v>1534</v>
      </c>
      <c r="C51" s="2575"/>
      <c r="D51" s="2575"/>
    </row>
    <row r="52" spans="1:5" ht="14.25" customHeight="1" x14ac:dyDescent="0.2">
      <c r="A52" s="1077"/>
      <c r="B52" s="2575"/>
      <c r="C52" s="2575"/>
      <c r="D52" s="25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31" zoomScale="110" zoomScaleNormal="110" workbookViewId="0">
      <selection activeCell="I55" sqref="I5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4" t="str">
        <f>'Single Audit Cover'!A7</f>
        <v xml:space="preserve">   United Twp HSD 30</v>
      </c>
      <c r="C1" s="2585"/>
      <c r="D1" s="2585"/>
      <c r="E1" s="2585"/>
      <c r="F1" s="2585"/>
      <c r="G1" s="2585"/>
      <c r="H1" s="2585"/>
      <c r="I1" s="2585"/>
      <c r="J1" s="1178"/>
    </row>
    <row r="2" spans="2:10" s="295" customFormat="1" ht="12.75" customHeight="1" x14ac:dyDescent="0.2">
      <c r="B2" s="2586">
        <f>'Single Audit Cover'!E7</f>
        <v>49081030017</v>
      </c>
      <c r="C2" s="2587"/>
      <c r="D2" s="2587"/>
      <c r="E2" s="2587"/>
      <c r="F2" s="2587"/>
      <c r="G2" s="2587"/>
      <c r="H2" s="2587"/>
      <c r="I2" s="2587"/>
      <c r="J2" s="1178"/>
    </row>
    <row r="3" spans="2:10" s="295" customFormat="1" ht="12.75" customHeight="1" x14ac:dyDescent="0.2">
      <c r="B3" s="2588" t="s">
        <v>1274</v>
      </c>
      <c r="C3" s="2589"/>
      <c r="D3" s="2589"/>
      <c r="E3" s="2589"/>
      <c r="F3" s="2589"/>
      <c r="G3" s="2589"/>
      <c r="H3" s="2589"/>
      <c r="I3" s="2589"/>
      <c r="J3" s="1179"/>
    </row>
    <row r="4" spans="2:10" s="295" customFormat="1" ht="12.75" customHeight="1" x14ac:dyDescent="0.2">
      <c r="B4" s="2588" t="str">
        <f>'Single Audit Cover'!A4</f>
        <v>Year Ending June 30, 2020</v>
      </c>
      <c r="C4" s="2589"/>
      <c r="D4" s="2589"/>
      <c r="E4" s="2589"/>
      <c r="F4" s="2589"/>
      <c r="G4" s="2589"/>
      <c r="H4" s="2589"/>
      <c r="I4" s="258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8" t="s">
        <v>1273</v>
      </c>
      <c r="C7" s="2589"/>
      <c r="D7" s="2589"/>
      <c r="E7" s="2589"/>
      <c r="F7" s="2589"/>
      <c r="G7" s="2589"/>
      <c r="H7" s="2589"/>
      <c r="I7" s="258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0" t="s">
        <v>2118</v>
      </c>
      <c r="D11" s="259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1" t="s">
        <v>2118</v>
      </c>
      <c r="E29" s="2591"/>
      <c r="F29" s="2591"/>
      <c r="G29" s="2591"/>
      <c r="H29" s="2591"/>
      <c r="I29" s="2591"/>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2" t="s">
        <v>1725</v>
      </c>
      <c r="D37" s="2593"/>
      <c r="E37" s="2593"/>
      <c r="F37" s="2594"/>
      <c r="G37" s="2592" t="s">
        <v>1575</v>
      </c>
      <c r="H37" s="2593"/>
      <c r="I37" s="2594"/>
    </row>
    <row r="38" spans="2:9" ht="16.5" customHeight="1" x14ac:dyDescent="0.2">
      <c r="B38" s="1200" t="s">
        <v>2102</v>
      </c>
      <c r="C38" s="2580" t="s">
        <v>2119</v>
      </c>
      <c r="D38" s="2581"/>
      <c r="E38" s="2581"/>
      <c r="F38" s="2582"/>
      <c r="G38" s="2595">
        <v>666280</v>
      </c>
      <c r="H38" s="2596"/>
      <c r="I38" s="2597"/>
    </row>
    <row r="39" spans="2:9" ht="16.5" customHeight="1" x14ac:dyDescent="0.2">
      <c r="B39" s="1200"/>
      <c r="C39" s="2580"/>
      <c r="D39" s="2581"/>
      <c r="E39" s="2581"/>
      <c r="F39" s="2582"/>
      <c r="G39" s="2583"/>
      <c r="H39" s="2583"/>
      <c r="I39" s="2583"/>
    </row>
    <row r="40" spans="2:9" ht="16.5" customHeight="1" x14ac:dyDescent="0.2">
      <c r="B40" s="1200"/>
      <c r="C40" s="2580"/>
      <c r="D40" s="2581"/>
      <c r="E40" s="2581"/>
      <c r="F40" s="2582"/>
      <c r="G40" s="2583"/>
      <c r="H40" s="2583"/>
      <c r="I40" s="2583"/>
    </row>
    <row r="41" spans="2:9" ht="16.5" customHeight="1" x14ac:dyDescent="0.2">
      <c r="B41" s="1200"/>
      <c r="C41" s="2580"/>
      <c r="D41" s="2581"/>
      <c r="E41" s="2581"/>
      <c r="F41" s="2582"/>
      <c r="G41" s="2583"/>
      <c r="H41" s="2583"/>
      <c r="I41" s="2583"/>
    </row>
    <row r="42" spans="2:9" ht="16.5" customHeight="1" x14ac:dyDescent="0.2">
      <c r="B42" s="1200"/>
      <c r="C42" s="2580"/>
      <c r="D42" s="2581"/>
      <c r="E42" s="2581"/>
      <c r="F42" s="2582"/>
      <c r="G42" s="2583"/>
      <c r="H42" s="2583"/>
      <c r="I42" s="2583"/>
    </row>
    <row r="43" spans="2:9" ht="16.5" customHeight="1" x14ac:dyDescent="0.2">
      <c r="B43" s="1200"/>
      <c r="C43" s="2598" t="s">
        <v>1576</v>
      </c>
      <c r="D43" s="2599"/>
      <c r="E43" s="2599"/>
      <c r="F43" s="2600"/>
      <c r="G43" s="2601">
        <f>SUM(G38:I42)</f>
        <v>666280</v>
      </c>
      <c r="H43" s="2601"/>
      <c r="I43" s="2601"/>
    </row>
    <row r="44" spans="2:9" ht="12.75" customHeight="1" x14ac:dyDescent="0.2"/>
    <row r="45" spans="2:9" ht="12.75" customHeight="1" x14ac:dyDescent="0.2">
      <c r="B45" s="1868" t="str">
        <f>"Total Federal Expenditures for 7/1/"&amp;MID('AFR20'!E2,3,2)-1&amp;"-6/30/"&amp;MID('AFR20'!E2,3,2)</f>
        <v>Total Federal Expenditures for 7/1/19-6/30/20</v>
      </c>
      <c r="C45" s="1869"/>
      <c r="D45" s="2602">
        <f>' SEFA (3)'!I21</f>
        <v>1659339</v>
      </c>
      <c r="E45" s="2603"/>
    </row>
    <row r="46" spans="2:9" ht="5.25" customHeight="1" x14ac:dyDescent="0.2">
      <c r="B46" s="1201"/>
      <c r="D46" s="1202"/>
      <c r="E46" s="1203"/>
    </row>
    <row r="47" spans="2:9" ht="12.75" customHeight="1" x14ac:dyDescent="0.2">
      <c r="B47" s="1076" t="s">
        <v>1577</v>
      </c>
      <c r="C47" s="1076"/>
      <c r="D47" s="1204">
        <f>+G43/D45</f>
        <v>0.40153338166583202</v>
      </c>
      <c r="E47" s="1205"/>
      <c r="F47" s="1206"/>
      <c r="I47" s="1207"/>
    </row>
    <row r="48" spans="2:9" ht="9.9499999999999993" customHeight="1" x14ac:dyDescent="0.2"/>
    <row r="49" spans="1:9" x14ac:dyDescent="0.2">
      <c r="B49" s="1138" t="s">
        <v>1262</v>
      </c>
      <c r="C49" s="1058"/>
      <c r="D49" s="1058"/>
      <c r="E49" s="2604">
        <v>750000</v>
      </c>
      <c r="F49" s="2604"/>
      <c r="G49" s="2604"/>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4" t="str">
        <f>'Single Audit Cover'!A7</f>
        <v xml:space="preserve">   United Twp HSD 30</v>
      </c>
      <c r="C1" s="2584"/>
      <c r="D1" s="2584"/>
      <c r="E1" s="2584"/>
      <c r="F1" s="2584"/>
      <c r="G1" s="2584"/>
      <c r="H1" s="2584"/>
      <c r="I1" s="2584"/>
      <c r="J1" s="2584"/>
      <c r="K1" s="2584"/>
      <c r="L1" s="1144"/>
      <c r="M1" s="1144"/>
    </row>
    <row r="2" spans="1:13" ht="12" customHeight="1" x14ac:dyDescent="0.2">
      <c r="B2" s="2586">
        <f>'Single Audit Cover'!E7</f>
        <v>49081030017</v>
      </c>
      <c r="C2" s="2586"/>
      <c r="D2" s="2586"/>
      <c r="E2" s="2586"/>
      <c r="F2" s="2586"/>
      <c r="G2" s="2586"/>
      <c r="H2" s="2586"/>
      <c r="I2" s="2586"/>
      <c r="J2" s="2586"/>
      <c r="K2" s="2586"/>
      <c r="L2" s="1145"/>
      <c r="M2" s="1146"/>
    </row>
    <row r="3" spans="1:13" ht="10.35" customHeight="1" x14ac:dyDescent="0.2">
      <c r="B3" s="2607" t="s">
        <v>1274</v>
      </c>
      <c r="C3" s="2607"/>
      <c r="D3" s="2607"/>
      <c r="E3" s="2607"/>
      <c r="F3" s="2607"/>
      <c r="G3" s="2607"/>
      <c r="H3" s="2607"/>
      <c r="I3" s="2607"/>
      <c r="J3" s="2607"/>
      <c r="K3" s="2607"/>
      <c r="L3" s="1147"/>
      <c r="M3" s="1147"/>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8" t="s">
        <v>1285</v>
      </c>
      <c r="C7" s="2608"/>
      <c r="D7" s="2609"/>
      <c r="E7" s="2609"/>
      <c r="F7" s="2609"/>
      <c r="G7" s="2609"/>
      <c r="H7" s="2609"/>
      <c r="I7" s="2609"/>
      <c r="J7" s="2609"/>
      <c r="K7" s="260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870" t="str">
        <f>'AFR20'!$E$2&amp;"-"</f>
        <v>2020-</v>
      </c>
      <c r="D10" s="1155" t="s">
        <v>2120</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6"/>
      <c r="C14" s="2606"/>
      <c r="D14" s="2606"/>
      <c r="E14" s="2606"/>
      <c r="F14" s="2606"/>
      <c r="G14" s="2606"/>
      <c r="H14" s="2606"/>
      <c r="I14" s="2606"/>
      <c r="J14" s="2606"/>
      <c r="K14" s="260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6"/>
      <c r="C17" s="2606"/>
      <c r="D17" s="2606"/>
      <c r="E17" s="2606"/>
      <c r="F17" s="2606"/>
      <c r="G17" s="2606"/>
      <c r="H17" s="2606"/>
      <c r="I17" s="2606"/>
      <c r="J17" s="2606"/>
      <c r="K17" s="2606"/>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0"/>
      <c r="C20" s="2610"/>
      <c r="D20" s="2606"/>
      <c r="E20" s="2606"/>
      <c r="F20" s="2606"/>
      <c r="G20" s="2606"/>
      <c r="H20" s="2606"/>
      <c r="I20" s="2606"/>
      <c r="J20" s="2606"/>
      <c r="K20" s="260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6"/>
      <c r="C23" s="2606"/>
      <c r="D23" s="2606"/>
      <c r="E23" s="2606"/>
      <c r="F23" s="2606"/>
      <c r="G23" s="2606"/>
      <c r="H23" s="2606"/>
      <c r="I23" s="2606"/>
      <c r="J23" s="2606"/>
      <c r="K23" s="260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6"/>
      <c r="C26" s="2606"/>
      <c r="D26" s="2606"/>
      <c r="E26" s="2606"/>
      <c r="F26" s="2606"/>
      <c r="G26" s="2606"/>
      <c r="H26" s="2606"/>
      <c r="I26" s="2606"/>
      <c r="J26" s="2606"/>
      <c r="K26" s="260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5"/>
      <c r="C29" s="2605"/>
      <c r="D29" s="2606"/>
      <c r="E29" s="2606"/>
      <c r="F29" s="2606"/>
      <c r="G29" s="2606"/>
      <c r="H29" s="2606"/>
      <c r="I29" s="2606"/>
      <c r="J29" s="2606"/>
      <c r="K29" s="260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5"/>
      <c r="C32" s="2605"/>
      <c r="D32" s="2606"/>
      <c r="E32" s="2606"/>
      <c r="F32" s="2606"/>
      <c r="G32" s="2606"/>
      <c r="H32" s="2606"/>
      <c r="I32" s="2606"/>
      <c r="J32" s="2606"/>
      <c r="K32" s="260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1" t="str">
        <f>'Single Audit Cover'!A7</f>
        <v xml:space="preserve">   United Twp HSD 30</v>
      </c>
      <c r="C1" s="2611"/>
      <c r="D1" s="2611"/>
      <c r="E1" s="2611"/>
      <c r="F1" s="2611"/>
      <c r="G1" s="2611"/>
      <c r="H1" s="2611"/>
      <c r="I1" s="2611"/>
      <c r="J1" s="2611"/>
      <c r="K1" s="2611"/>
      <c r="L1" s="1221"/>
    </row>
    <row r="2" spans="1:12" ht="12.75" customHeight="1" x14ac:dyDescent="0.2">
      <c r="B2" s="2612">
        <f>'Single Audit Cover'!E7</f>
        <v>49081030017</v>
      </c>
      <c r="C2" s="2612"/>
      <c r="D2" s="2612"/>
      <c r="E2" s="2612"/>
      <c r="F2" s="2612"/>
      <c r="G2" s="2612"/>
      <c r="H2" s="2612"/>
      <c r="I2" s="2612"/>
      <c r="J2" s="2612"/>
      <c r="K2" s="2612"/>
      <c r="L2" s="1222"/>
    </row>
    <row r="3" spans="1:12" ht="12.75" customHeight="1" x14ac:dyDescent="0.2">
      <c r="B3" s="2607" t="s">
        <v>1274</v>
      </c>
      <c r="C3" s="2607"/>
      <c r="D3" s="2607"/>
      <c r="E3" s="2607"/>
      <c r="F3" s="2607"/>
      <c r="G3" s="2607"/>
      <c r="H3" s="2607"/>
      <c r="I3" s="2607"/>
      <c r="J3" s="2607"/>
      <c r="K3" s="2607"/>
      <c r="L3" s="1147"/>
    </row>
    <row r="4" spans="1:12" ht="12.75" customHeight="1" x14ac:dyDescent="0.2">
      <c r="B4" s="2607" t="str">
        <f>'Single Audit Cover'!A4</f>
        <v>Year Ending June 30, 2020</v>
      </c>
      <c r="C4" s="2607"/>
      <c r="D4" s="2607"/>
      <c r="E4" s="2607"/>
      <c r="F4" s="2607"/>
      <c r="G4" s="2607"/>
      <c r="H4" s="2607"/>
      <c r="I4" s="2607"/>
      <c r="J4" s="2607"/>
      <c r="K4" s="2607"/>
      <c r="L4" s="1147"/>
    </row>
    <row r="5" spans="1:12" ht="5.25" customHeight="1" x14ac:dyDescent="0.2">
      <c r="B5" s="1036" t="s">
        <v>1159</v>
      </c>
      <c r="C5" s="1036"/>
      <c r="L5" s="300"/>
    </row>
    <row r="6" spans="1:12" ht="30.75" customHeight="1" x14ac:dyDescent="0.2">
      <c r="A6" s="300"/>
      <c r="B6" s="2613" t="s">
        <v>1297</v>
      </c>
      <c r="C6" s="2613"/>
      <c r="D6" s="2613"/>
      <c r="E6" s="2613"/>
      <c r="F6" s="2613"/>
      <c r="G6" s="2613"/>
      <c r="H6" s="2613"/>
      <c r="I6" s="2613"/>
      <c r="J6" s="2613"/>
      <c r="K6" s="2613"/>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870" t="str">
        <f>'AFR20'!$E$2&amp;"-"</f>
        <v>2020-</v>
      </c>
      <c r="D8" s="1223" t="s">
        <v>2120</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1"/>
      <c r="G12" s="2591"/>
      <c r="H12" s="2591"/>
      <c r="I12" s="2591"/>
      <c r="J12" s="2591"/>
      <c r="K12" s="259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6"/>
      <c r="C20" s="2606"/>
      <c r="D20" s="2606"/>
      <c r="E20" s="2606"/>
      <c r="F20" s="2606"/>
      <c r="G20" s="2606"/>
      <c r="H20" s="2606"/>
      <c r="I20" s="2606"/>
      <c r="J20" s="2606"/>
      <c r="K20" s="260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4" t="str">
        <f>'Single Audit Cover'!A7</f>
        <v xml:space="preserve">   United Twp HSD 30</v>
      </c>
      <c r="C1" s="2584"/>
      <c r="D1" s="2584"/>
      <c r="E1" s="1240"/>
    </row>
    <row r="2" spans="2:5" s="1058" customFormat="1" ht="12.75" customHeight="1" x14ac:dyDescent="0.2">
      <c r="B2" s="2586">
        <f>'Single Audit Cover'!E7</f>
        <v>49081030017</v>
      </c>
      <c r="C2" s="2586"/>
      <c r="D2" s="2586"/>
      <c r="E2" s="1241"/>
    </row>
    <row r="3" spans="2:5" ht="12.75" customHeight="1" x14ac:dyDescent="0.2">
      <c r="B3" s="2607" t="s">
        <v>1740</v>
      </c>
      <c r="C3" s="2607"/>
      <c r="D3" s="2607"/>
      <c r="E3" s="1050"/>
    </row>
    <row r="4" spans="2:5" s="1058" customFormat="1" ht="12.75" customHeight="1" x14ac:dyDescent="0.2">
      <c r="B4" s="2617" t="str">
        <f>'Single Audit Cover'!A4</f>
        <v>Year Ending June 30, 2020</v>
      </c>
      <c r="C4" s="2617"/>
      <c r="D4" s="2617"/>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2252</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6" t="s">
        <v>383</v>
      </c>
      <c r="B1" s="2186"/>
      <c r="C1" s="2186"/>
      <c r="D1" s="2186"/>
      <c r="E1" s="2186"/>
      <c r="F1" s="2186"/>
      <c r="G1" s="2186"/>
      <c r="H1" s="2186"/>
      <c r="I1" s="2186"/>
      <c r="J1" s="2186"/>
      <c r="K1" s="2186"/>
      <c r="L1" s="2186"/>
      <c r="M1" s="218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548878338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4">
        <f>ROUND(D10+F10+H10,5)</f>
        <v>1.29E-2</v>
      </c>
      <c r="K10" s="217"/>
      <c r="L10" s="332">
        <v>5.0000000000000001E-4</v>
      </c>
      <c r="M10" s="217"/>
    </row>
    <row r="11" spans="1:14" ht="7.5" customHeight="1" x14ac:dyDescent="0.2">
      <c r="B11" s="217"/>
      <c r="C11" s="217"/>
      <c r="D11" s="2196" t="str">
        <f>IF(SUM(J10)&lt;=0.0999999,"","Enter the Tax Rates by moving the decimal two places to the left.")</f>
        <v/>
      </c>
      <c r="E11" s="2197"/>
      <c r="F11" s="2197"/>
      <c r="G11" s="2197"/>
      <c r="H11" s="2197"/>
      <c r="I11" s="2197"/>
      <c r="J11" s="219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19676359</v>
      </c>
      <c r="E16" s="1547"/>
      <c r="F16" s="1546">
        <f>SUM('Acct Summary 7-8'!C17,'Acct Summary 7-8'!D17,'Acct Summary 7-8'!F17)</f>
        <v>17928111</v>
      </c>
      <c r="G16" s="1547"/>
      <c r="H16" s="1546">
        <f>SUM(D16-F16)</f>
        <v>1748248</v>
      </c>
      <c r="I16" s="1548"/>
      <c r="J16" s="1546">
        <f>SUM('Acct Summary 7-8'!C81,'Acct Summary 7-8'!D81,'Acct Summary 7-8'!F81,'Acct Summary 7-8'!I81)</f>
        <v>14454708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37872605.322000004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8600000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7"/>
      <c r="C54" s="2188"/>
      <c r="D54" s="2188"/>
      <c r="E54" s="2188"/>
      <c r="F54" s="2188"/>
      <c r="G54" s="2188"/>
      <c r="H54" s="2188"/>
      <c r="I54" s="2188"/>
      <c r="J54" s="2188"/>
      <c r="K54" s="2188"/>
      <c r="L54" s="2189"/>
      <c r="M54" s="357"/>
    </row>
    <row r="55" spans="1:13" ht="12.75" customHeight="1" x14ac:dyDescent="0.2">
      <c r="B55" s="2190"/>
      <c r="C55" s="2191"/>
      <c r="D55" s="2191"/>
      <c r="E55" s="2191"/>
      <c r="F55" s="2191"/>
      <c r="G55" s="2191"/>
      <c r="H55" s="2191"/>
      <c r="I55" s="2191"/>
      <c r="J55" s="2191"/>
      <c r="K55" s="2191"/>
      <c r="L55" s="2192"/>
      <c r="M55" s="357"/>
    </row>
    <row r="56" spans="1:13" ht="12.75" customHeight="1" x14ac:dyDescent="0.2">
      <c r="B56" s="2190"/>
      <c r="C56" s="2191"/>
      <c r="D56" s="2191"/>
      <c r="E56" s="2191"/>
      <c r="F56" s="2191"/>
      <c r="G56" s="2191"/>
      <c r="H56" s="2191"/>
      <c r="I56" s="2191"/>
      <c r="J56" s="2191"/>
      <c r="K56" s="2191"/>
      <c r="L56" s="2192"/>
      <c r="M56" s="217"/>
    </row>
    <row r="57" spans="1:13" ht="12.75" customHeight="1" x14ac:dyDescent="0.2">
      <c r="B57" s="2190"/>
      <c r="C57" s="2191"/>
      <c r="D57" s="2191"/>
      <c r="E57" s="2191"/>
      <c r="F57" s="2191"/>
      <c r="G57" s="2191"/>
      <c r="H57" s="2191"/>
      <c r="I57" s="2191"/>
      <c r="J57" s="2191"/>
      <c r="K57" s="2191"/>
      <c r="L57" s="2192"/>
      <c r="M57" s="217"/>
    </row>
    <row r="58" spans="1:13" x14ac:dyDescent="0.2">
      <c r="B58" s="2193"/>
      <c r="C58" s="2194"/>
      <c r="D58" s="2194"/>
      <c r="E58" s="2194"/>
      <c r="F58" s="2194"/>
      <c r="G58" s="2194"/>
      <c r="H58" s="2194"/>
      <c r="I58" s="2194"/>
      <c r="J58" s="2194"/>
      <c r="K58" s="2194"/>
      <c r="L58" s="219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8"/>
      <c r="D61" s="219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5" zoomScale="110" zoomScaleNormal="110" workbookViewId="0">
      <selection activeCell="Q65" sqref="Q6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1"/>
      <c r="B1" s="2202"/>
      <c r="C1" s="2202"/>
      <c r="D1" s="361"/>
      <c r="E1" s="361"/>
      <c r="F1" s="361"/>
      <c r="G1" s="361"/>
      <c r="H1" s="361"/>
      <c r="I1" s="361"/>
      <c r="J1" s="361"/>
      <c r="K1" s="361"/>
      <c r="L1" s="361"/>
      <c r="M1" s="361"/>
      <c r="N1" s="361"/>
      <c r="O1" s="2201"/>
      <c r="P1" s="2202"/>
      <c r="Q1" s="2202"/>
    </row>
    <row r="2" spans="1:18" ht="15" x14ac:dyDescent="0.2">
      <c r="A2" s="2205" t="s">
        <v>552</v>
      </c>
      <c r="B2" s="2205"/>
      <c r="C2" s="2205"/>
      <c r="D2" s="2205"/>
      <c r="E2" s="2205"/>
      <c r="F2" s="2205"/>
      <c r="G2" s="2205"/>
      <c r="H2" s="2205"/>
      <c r="I2" s="2205"/>
      <c r="J2" s="2205"/>
      <c r="K2" s="2205"/>
      <c r="L2" s="2205"/>
      <c r="M2" s="2205"/>
      <c r="N2" s="2205"/>
      <c r="O2" s="2205"/>
      <c r="P2" s="2205"/>
      <c r="Q2" s="2205"/>
      <c r="R2" s="2205"/>
    </row>
    <row r="3" spans="1:18" ht="12.75" x14ac:dyDescent="0.2">
      <c r="A3" s="2206" t="s">
        <v>1396</v>
      </c>
      <c r="B3" s="2206"/>
      <c r="C3" s="2206"/>
      <c r="D3" s="2206"/>
      <c r="E3" s="2206"/>
      <c r="F3" s="2206"/>
      <c r="G3" s="2206"/>
      <c r="H3" s="2206"/>
      <c r="I3" s="2206"/>
      <c r="J3" s="2206"/>
      <c r="K3" s="2206"/>
      <c r="L3" s="2206"/>
      <c r="M3" s="2206"/>
      <c r="N3" s="2206"/>
      <c r="O3" s="2206"/>
      <c r="P3" s="2206"/>
      <c r="Q3" s="2206"/>
      <c r="R3" s="2206"/>
    </row>
    <row r="4" spans="1:18" x14ac:dyDescent="0.2">
      <c r="A4" s="2207" t="s">
        <v>1537</v>
      </c>
      <c r="B4" s="2207"/>
      <c r="C4" s="2207"/>
      <c r="D4" s="2207"/>
      <c r="E4" s="2207"/>
      <c r="F4" s="2207"/>
      <c r="G4" s="2207"/>
      <c r="H4" s="2207"/>
      <c r="I4" s="2207"/>
      <c r="J4" s="2207"/>
      <c r="K4" s="2207"/>
      <c r="L4" s="2207"/>
      <c r="M4" s="2207"/>
      <c r="N4" s="2207"/>
      <c r="O4" s="2207"/>
      <c r="P4" s="2207"/>
      <c r="Q4" s="2207"/>
      <c r="R4" s="220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United Twp HSD 30</v>
      </c>
      <c r="E7" s="368"/>
      <c r="G7" s="247"/>
      <c r="H7" s="364"/>
      <c r="I7" s="364"/>
      <c r="J7" s="364"/>
      <c r="K7" s="364"/>
      <c r="L7" s="307"/>
      <c r="M7" s="307"/>
      <c r="N7" s="307"/>
      <c r="O7" s="307"/>
      <c r="P7" s="307"/>
    </row>
    <row r="8" spans="1:18" ht="12.75" x14ac:dyDescent="0.2">
      <c r="A8" s="307"/>
      <c r="B8" s="307"/>
      <c r="C8" s="366" t="s">
        <v>1115</v>
      </c>
      <c r="D8" s="369">
        <f>COVER!A13</f>
        <v>49081030017</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14454708</v>
      </c>
      <c r="I12" s="380"/>
      <c r="J12" s="380"/>
      <c r="K12" s="1559">
        <f>TRUNC((H12/H13*100000),5)/100000</f>
        <v>0.73462310779999995</v>
      </c>
      <c r="L12" s="381"/>
      <c r="M12" s="337" t="s">
        <v>1134</v>
      </c>
      <c r="N12" s="337"/>
      <c r="O12" s="1562">
        <v>0.35</v>
      </c>
      <c r="P12" s="213"/>
      <c r="Q12" s="213"/>
    </row>
    <row r="13" spans="1:18" s="382" customFormat="1" ht="12.75" x14ac:dyDescent="0.2">
      <c r="A13" s="213"/>
      <c r="B13" s="377"/>
      <c r="C13" s="2203" t="s">
        <v>1313</v>
      </c>
      <c r="D13" s="2204"/>
      <c r="E13" s="213"/>
      <c r="F13" s="383" t="s">
        <v>788</v>
      </c>
      <c r="G13" s="378"/>
      <c r="H13" s="1551">
        <f>SUM('Acct Summary 7-8'!C8+'Acct Summary 7-8'!D8+'Acct Summary 7-8'!F8+'Acct Summary 7-8'!I8)+H14</f>
        <v>19676359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17928111</v>
      </c>
      <c r="I17" s="380"/>
      <c r="J17" s="389"/>
      <c r="K17" s="1559">
        <f>TRUNC((H17/H18*100000),5)/100000</f>
        <v>0.91114982189999993</v>
      </c>
      <c r="L17" s="381"/>
      <c r="M17" s="390" t="s">
        <v>1161</v>
      </c>
      <c r="O17" s="1565" t="str">
        <f>IF(AND(O16="2", J20 &gt; 2),"1",IF(AND(O16 = "1", J20 &gt; 2),"2",IF(AND(O16="1", J20 &gt;1),"1","0")))</f>
        <v>0</v>
      </c>
      <c r="P17" s="213"/>
    </row>
    <row r="18" spans="1:18" s="382" customFormat="1" ht="11.25" x14ac:dyDescent="0.2">
      <c r="A18" s="213"/>
      <c r="B18" s="377"/>
      <c r="C18" s="2203" t="s">
        <v>1306</v>
      </c>
      <c r="D18" s="2204"/>
      <c r="E18" s="213"/>
      <c r="F18" s="391" t="s">
        <v>789</v>
      </c>
      <c r="G18" s="378"/>
      <c r="H18" s="1551">
        <f>SUM('Acct Summary 7-8'!C8+'Acct Summary 7-8'!D8+'Acct Summary 7-8'!F8+'Acct Summary 7-8'!I8)+H19</f>
        <v>19676359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0" t="s">
        <v>1395</v>
      </c>
      <c r="D24" s="2200"/>
      <c r="E24" s="213"/>
      <c r="F24" s="213" t="s">
        <v>442</v>
      </c>
      <c r="G24" s="378"/>
      <c r="H24" s="1551">
        <f>SUM('Assets-Liab 5-6'!C4+'Assets-Liab 5-6'!D4+'Assets-Liab 5-6'!F4+'Assets-Liab 5-6'!I4+'Assets-Liab 5-6'!C5+'Assets-Liab 5-6'!D5+'Assets-Liab 5-6'!F5+'Assets-Liab 5-6'!I5)</f>
        <v>17853033</v>
      </c>
      <c r="I24" s="394"/>
      <c r="J24" s="394"/>
      <c r="K24" s="1555">
        <f>TRUNC(((H24/H25*100000)/100000),2)</f>
        <v>358.49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49800.30833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6018450.9761699997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8600000</v>
      </c>
      <c r="I32" s="392"/>
      <c r="J32" s="392"/>
      <c r="K32" s="1555">
        <f>TRUNC(100-((((H32/H33*100))*100)/100),2)</f>
        <v>77.290000000000006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37872605.322000004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7" activePane="bottomLeft" state="frozen"/>
      <selection pane="bottomLeft" activeCell="C33" sqref="C3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0" t="s">
        <v>967</v>
      </c>
      <c r="B3" s="2211"/>
      <c r="C3" s="1306"/>
      <c r="D3" s="1307"/>
      <c r="E3" s="1307"/>
      <c r="F3" s="1307"/>
      <c r="G3" s="1307"/>
      <c r="H3" s="1307"/>
      <c r="I3" s="1307"/>
      <c r="J3" s="1307"/>
      <c r="K3" s="1307"/>
      <c r="L3" s="1307"/>
      <c r="M3" s="1308"/>
      <c r="N3" s="1309"/>
    </row>
    <row r="4" spans="1:14" ht="13.5" customHeight="1" x14ac:dyDescent="0.2">
      <c r="A4" s="427" t="s">
        <v>1632</v>
      </c>
      <c r="B4" s="428"/>
      <c r="C4" s="1572">
        <f>8353335+635000</f>
        <v>8988335</v>
      </c>
      <c r="D4" s="1573">
        <v>2919333</v>
      </c>
      <c r="E4" s="1573">
        <f>544471+709900</f>
        <v>1254371</v>
      </c>
      <c r="F4" s="1573">
        <f>941544+498001</f>
        <v>1439545</v>
      </c>
      <c r="G4" s="1573">
        <f>528281+1248600-2</f>
        <v>1776879</v>
      </c>
      <c r="H4" s="1573">
        <v>896641</v>
      </c>
      <c r="I4" s="1573">
        <f>604212+1748200+103408</f>
        <v>2455820</v>
      </c>
      <c r="J4" s="1574">
        <f>719028+249100</f>
        <v>968128</v>
      </c>
      <c r="K4" s="1573">
        <v>430683</v>
      </c>
      <c r="L4" s="1573">
        <v>702240</v>
      </c>
      <c r="M4" s="1575"/>
      <c r="N4" s="1576"/>
    </row>
    <row r="5" spans="1:14" x14ac:dyDescent="0.2">
      <c r="A5" s="427" t="s">
        <v>985</v>
      </c>
      <c r="B5" s="429">
        <v>120</v>
      </c>
      <c r="C5" s="1572"/>
      <c r="D5" s="1573">
        <v>1300000</v>
      </c>
      <c r="E5" s="1573"/>
      <c r="F5" s="1573">
        <v>750000</v>
      </c>
      <c r="G5" s="1573"/>
      <c r="H5" s="1573"/>
      <c r="I5" s="1573"/>
      <c r="J5" s="1574"/>
      <c r="K5" s="1577"/>
      <c r="L5" s="1578"/>
      <c r="M5" s="1575"/>
      <c r="N5" s="1576"/>
    </row>
    <row r="6" spans="1:14" ht="13.5" customHeight="1" x14ac:dyDescent="0.2">
      <c r="A6" s="430" t="s">
        <v>414</v>
      </c>
      <c r="B6" s="429">
        <v>130</v>
      </c>
      <c r="C6" s="1572">
        <v>5909499</v>
      </c>
      <c r="D6" s="1573">
        <v>1731563</v>
      </c>
      <c r="E6" s="1573">
        <v>1186830</v>
      </c>
      <c r="F6" s="1573">
        <v>739458</v>
      </c>
      <c r="G6" s="1577">
        <v>751782</v>
      </c>
      <c r="H6" s="1577"/>
      <c r="I6" s="1573">
        <v>308107</v>
      </c>
      <c r="J6" s="1579">
        <v>710496</v>
      </c>
      <c r="K6" s="1577">
        <v>308107</v>
      </c>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291541</v>
      </c>
      <c r="D8" s="1574">
        <v>39757</v>
      </c>
      <c r="E8" s="1574">
        <v>197076</v>
      </c>
      <c r="F8" s="1574"/>
      <c r="G8" s="1583"/>
      <c r="H8" s="1574"/>
      <c r="I8" s="1579"/>
      <c r="J8" s="1579"/>
      <c r="K8" s="1584"/>
      <c r="L8" s="1585"/>
      <c r="M8" s="1575"/>
      <c r="N8" s="1576"/>
    </row>
    <row r="9" spans="1:14" ht="13.5" customHeight="1" x14ac:dyDescent="0.2">
      <c r="A9" s="430" t="s">
        <v>268</v>
      </c>
      <c r="B9" s="429">
        <v>160</v>
      </c>
      <c r="C9" s="1581">
        <f>600379+1020</f>
        <v>601399</v>
      </c>
      <c r="D9" s="1574">
        <f>12982+1120</f>
        <v>14102</v>
      </c>
      <c r="E9" s="1574">
        <v>993</v>
      </c>
      <c r="F9" s="1574">
        <f>19314+758</f>
        <v>20072</v>
      </c>
      <c r="G9" s="1574">
        <v>1686</v>
      </c>
      <c r="H9" s="1583"/>
      <c r="I9" s="1574">
        <v>2649</v>
      </c>
      <c r="J9" s="1574">
        <v>220</v>
      </c>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15790774</v>
      </c>
      <c r="D13" s="1587">
        <f t="shared" ref="D13:L13" si="0">SUM(D4:D12)</f>
        <v>6004755</v>
      </c>
      <c r="E13" s="1587">
        <f t="shared" si="0"/>
        <v>2639270</v>
      </c>
      <c r="F13" s="1587">
        <f t="shared" si="0"/>
        <v>2949075</v>
      </c>
      <c r="G13" s="1587">
        <f t="shared" si="0"/>
        <v>2530347</v>
      </c>
      <c r="H13" s="1587">
        <f t="shared" si="0"/>
        <v>896641</v>
      </c>
      <c r="I13" s="1587">
        <f t="shared" si="0"/>
        <v>2766576</v>
      </c>
      <c r="J13" s="1587">
        <f t="shared" si="0"/>
        <v>1678844</v>
      </c>
      <c r="K13" s="1587">
        <f t="shared" si="0"/>
        <v>738790</v>
      </c>
      <c r="L13" s="1587">
        <f t="shared" si="0"/>
        <v>702240</v>
      </c>
      <c r="M13" s="1575"/>
      <c r="N13" s="1576"/>
    </row>
    <row r="14" spans="1:14" ht="18" customHeight="1" thickTop="1" x14ac:dyDescent="0.2">
      <c r="A14" s="2212" t="s">
        <v>146</v>
      </c>
      <c r="B14" s="221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563816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11784426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13928714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806467+875994+266179</f>
        <v>1948640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2822</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f>E38</f>
        <v>972987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7627013</v>
      </c>
    </row>
    <row r="23" spans="1:14" ht="13.5" customHeight="1" thickBot="1" x14ac:dyDescent="0.25">
      <c r="A23" s="1426" t="s">
        <v>638</v>
      </c>
      <c r="B23" s="1429"/>
      <c r="C23" s="1575"/>
      <c r="D23" s="1575"/>
      <c r="E23" s="1575"/>
      <c r="F23" s="1575"/>
      <c r="G23" s="1575"/>
      <c r="H23" s="1575"/>
      <c r="I23" s="1575"/>
      <c r="J23" s="1575"/>
      <c r="K23" s="1575"/>
      <c r="L23" s="1575"/>
      <c r="M23" s="1594">
        <f>SUM(M15:M22)</f>
        <v>28228418</v>
      </c>
      <c r="N23" s="1594">
        <f>SUM(N21:N22)</f>
        <v>8600000</v>
      </c>
    </row>
    <row r="24" spans="1:14" ht="18" customHeight="1" thickTop="1" x14ac:dyDescent="0.2">
      <c r="A24" s="2214" t="s">
        <v>594</v>
      </c>
      <c r="B24" s="2215"/>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291150</v>
      </c>
      <c r="D27" s="1574">
        <v>20922</v>
      </c>
      <c r="E27" s="1574"/>
      <c r="F27" s="1574">
        <v>631</v>
      </c>
      <c r="G27" s="1574"/>
      <c r="H27" s="1574">
        <v>2822</v>
      </c>
      <c r="I27" s="1574"/>
      <c r="J27" s="1574">
        <v>6771</v>
      </c>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950203</v>
      </c>
      <c r="D30" s="1579">
        <v>35827</v>
      </c>
      <c r="E30" s="1574"/>
      <c r="F30" s="1574">
        <v>7456</v>
      </c>
      <c r="G30" s="1574">
        <v>28095</v>
      </c>
      <c r="H30" s="1574"/>
      <c r="I30" s="1574"/>
      <c r="J30" s="1574">
        <v>969</v>
      </c>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f>8024033-1764</f>
        <v>8022269</v>
      </c>
      <c r="D32" s="1599">
        <v>2322776</v>
      </c>
      <c r="E32" s="1579">
        <v>1666283</v>
      </c>
      <c r="F32" s="1579">
        <v>991933</v>
      </c>
      <c r="G32" s="1579">
        <v>1008465</v>
      </c>
      <c r="H32" s="1579"/>
      <c r="I32" s="1579">
        <v>413305</v>
      </c>
      <c r="J32" s="1579">
        <v>953082</v>
      </c>
      <c r="K32" s="1584">
        <f>413305+50000</f>
        <v>463305</v>
      </c>
      <c r="L32" s="1575"/>
      <c r="M32" s="1575"/>
      <c r="N32" s="1575"/>
    </row>
    <row r="33" spans="1:14" ht="13.5" customHeight="1" x14ac:dyDescent="0.2">
      <c r="A33" s="436" t="s">
        <v>300</v>
      </c>
      <c r="B33" s="435">
        <v>493</v>
      </c>
      <c r="C33" s="1574"/>
      <c r="D33" s="1574"/>
      <c r="E33" s="1574"/>
      <c r="F33" s="1574"/>
      <c r="G33" s="1574"/>
      <c r="H33" s="1574"/>
      <c r="I33" s="1574"/>
      <c r="J33" s="1574"/>
      <c r="K33" s="1574"/>
      <c r="L33" s="1574">
        <v>702240</v>
      </c>
      <c r="M33" s="1575"/>
      <c r="N33" s="1576"/>
    </row>
    <row r="34" spans="1:14" ht="13.5" customHeight="1" thickBot="1" x14ac:dyDescent="0.25">
      <c r="A34" s="1427" t="s">
        <v>649</v>
      </c>
      <c r="B34" s="1428"/>
      <c r="C34" s="1600">
        <f>SUM(C25:C33)</f>
        <v>9263622</v>
      </c>
      <c r="D34" s="1600">
        <f t="shared" ref="D34:K34" si="1">SUM(D25:D33)</f>
        <v>2379525</v>
      </c>
      <c r="E34" s="1600">
        <f t="shared" si="1"/>
        <v>1666283</v>
      </c>
      <c r="F34" s="1600">
        <f t="shared" si="1"/>
        <v>1000020</v>
      </c>
      <c r="G34" s="1600">
        <f t="shared" si="1"/>
        <v>1036560</v>
      </c>
      <c r="H34" s="1600">
        <f t="shared" si="1"/>
        <v>2822</v>
      </c>
      <c r="I34" s="1600">
        <f t="shared" si="1"/>
        <v>413305</v>
      </c>
      <c r="J34" s="1600">
        <f t="shared" si="1"/>
        <v>960822</v>
      </c>
      <c r="K34" s="1600">
        <f t="shared" si="1"/>
        <v>463305</v>
      </c>
      <c r="L34" s="1601">
        <f>SUM(L33)</f>
        <v>702240</v>
      </c>
      <c r="M34" s="1575"/>
      <c r="N34" s="1585"/>
    </row>
    <row r="35" spans="1:14" ht="18" customHeight="1" thickTop="1" x14ac:dyDescent="0.2">
      <c r="A35" s="2216" t="s">
        <v>526</v>
      </c>
      <c r="B35" s="221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8600000</v>
      </c>
    </row>
    <row r="37" spans="1:14" ht="13.5" thickBot="1" x14ac:dyDescent="0.25">
      <c r="A37" s="1426" t="s">
        <v>648</v>
      </c>
      <c r="B37" s="1429"/>
      <c r="C37" s="1582"/>
      <c r="D37" s="1582"/>
      <c r="E37" s="1582"/>
      <c r="F37" s="1582"/>
      <c r="G37" s="1582"/>
      <c r="H37" s="1582"/>
      <c r="I37" s="1582"/>
      <c r="J37" s="1582"/>
      <c r="K37" s="1582"/>
      <c r="L37" s="1585"/>
      <c r="M37" s="1575"/>
      <c r="N37" s="1594">
        <f>SUM(N36:N36)</f>
        <v>8600000</v>
      </c>
    </row>
    <row r="38" spans="1:14" s="307" customFormat="1" ht="13.5" customHeight="1" thickTop="1" x14ac:dyDescent="0.2">
      <c r="A38" s="438" t="s">
        <v>417</v>
      </c>
      <c r="B38" s="432">
        <v>714</v>
      </c>
      <c r="C38" s="1573"/>
      <c r="D38" s="1573"/>
      <c r="E38" s="1573">
        <f t="shared" ref="E38:K38" si="2">E13-E34</f>
        <v>972987</v>
      </c>
      <c r="F38" s="1573">
        <f t="shared" si="2"/>
        <v>1949055</v>
      </c>
      <c r="G38" s="1573">
        <f t="shared" si="2"/>
        <v>1493787</v>
      </c>
      <c r="H38" s="1573">
        <f t="shared" si="2"/>
        <v>893819</v>
      </c>
      <c r="I38" s="1573">
        <f t="shared" si="2"/>
        <v>2353271</v>
      </c>
      <c r="J38" s="1574">
        <f t="shared" si="2"/>
        <v>718022</v>
      </c>
      <c r="K38" s="1573">
        <f t="shared" si="2"/>
        <v>275485</v>
      </c>
      <c r="L38" s="1586">
        <v>0</v>
      </c>
      <c r="M38" s="1604"/>
      <c r="N38" s="1604"/>
    </row>
    <row r="39" spans="1:14" s="307" customFormat="1" ht="13.5" customHeight="1" x14ac:dyDescent="0.2">
      <c r="A39" s="438" t="s">
        <v>339</v>
      </c>
      <c r="B39" s="432">
        <v>730</v>
      </c>
      <c r="C39" s="1573">
        <f>C13-C34</f>
        <v>6527152</v>
      </c>
      <c r="D39" s="1573">
        <f>D13-D34</f>
        <v>3625230</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28228418</v>
      </c>
      <c r="N40" s="1604"/>
    </row>
    <row r="41" spans="1:14" ht="13.5" customHeight="1" thickBot="1" x14ac:dyDescent="0.25">
      <c r="A41" s="1426" t="s">
        <v>650</v>
      </c>
      <c r="B41" s="1405"/>
      <c r="C41" s="1594">
        <f>(SUM(C34,C37,C38,C39))</f>
        <v>15790774</v>
      </c>
      <c r="D41" s="1594">
        <f t="shared" ref="D41:L41" si="3">SUM(D34,D37,D38:D39)</f>
        <v>6004755</v>
      </c>
      <c r="E41" s="1594">
        <f t="shared" si="3"/>
        <v>2639270</v>
      </c>
      <c r="F41" s="1594">
        <f t="shared" si="3"/>
        <v>2949075</v>
      </c>
      <c r="G41" s="1594">
        <f t="shared" si="3"/>
        <v>2530347</v>
      </c>
      <c r="H41" s="1594">
        <f t="shared" si="3"/>
        <v>896641</v>
      </c>
      <c r="I41" s="1594">
        <f t="shared" si="3"/>
        <v>2766576</v>
      </c>
      <c r="J41" s="1594">
        <f t="shared" si="3"/>
        <v>1678844</v>
      </c>
      <c r="K41" s="1594">
        <f t="shared" si="3"/>
        <v>738790</v>
      </c>
      <c r="L41" s="1594">
        <f t="shared" si="3"/>
        <v>702240</v>
      </c>
      <c r="M41" s="1594">
        <f>SUM(M40)</f>
        <v>28228418</v>
      </c>
      <c r="N41" s="1594">
        <f>SUM(N37)</f>
        <v>8600000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9" activePane="bottomLeft" state="frozen"/>
      <selection pane="bottomLeft" activeCell="E16" sqref="E1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8" t="s">
        <v>1165</v>
      </c>
      <c r="B3" s="2239"/>
      <c r="C3" s="1311"/>
      <c r="D3" s="1312"/>
      <c r="E3" s="1312"/>
      <c r="F3" s="1312"/>
      <c r="G3" s="1312"/>
      <c r="H3" s="1312"/>
      <c r="I3" s="1312"/>
      <c r="J3" s="1312"/>
      <c r="K3" s="1313"/>
      <c r="L3" s="446"/>
    </row>
    <row r="4" spans="1:13" ht="15.75" customHeight="1" x14ac:dyDescent="0.2">
      <c r="A4" s="1537" t="s">
        <v>1482</v>
      </c>
      <c r="B4" s="1538">
        <v>1000</v>
      </c>
      <c r="C4" s="1606">
        <f>'Revenues 9-14'!C109</f>
        <v>7798485</v>
      </c>
      <c r="D4" s="1606">
        <f>'Revenues 9-14'!D109</f>
        <v>2383607</v>
      </c>
      <c r="E4" s="1606">
        <f>'Revenues 9-14'!E109</f>
        <v>1926212</v>
      </c>
      <c r="F4" s="1606">
        <f>'Revenues 9-14'!F109</f>
        <v>837750</v>
      </c>
      <c r="G4" s="1606">
        <f>'Revenues 9-14'!G109</f>
        <v>846536</v>
      </c>
      <c r="H4" s="1606">
        <f>'Revenues 9-14'!H109</f>
        <v>17607</v>
      </c>
      <c r="I4" s="1606">
        <f>'Revenues 9-14'!I109</f>
        <v>325349</v>
      </c>
      <c r="J4" s="1606">
        <f>'Revenues 9-14'!J109</f>
        <v>627735</v>
      </c>
      <c r="K4" s="1606">
        <f>'Revenues 9-14'!K109</f>
        <v>275641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6498419</v>
      </c>
      <c r="D6" s="1607">
        <f>'Revenues 9-14'!D170</f>
        <v>0</v>
      </c>
      <c r="E6" s="1607">
        <f>'Revenues 9-14'!E170</f>
        <v>0</v>
      </c>
      <c r="F6" s="1607">
        <f>'Revenues 9-14'!F170</f>
        <v>78677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1754072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16050976</v>
      </c>
      <c r="D8" s="1594">
        <f t="shared" ref="D8:K8" si="0">SUM(D4:D7)</f>
        <v>2383607</v>
      </c>
      <c r="E8" s="1594">
        <f t="shared" si="0"/>
        <v>1926212</v>
      </c>
      <c r="F8" s="1594">
        <f t="shared" si="0"/>
        <v>916427</v>
      </c>
      <c r="G8" s="1594">
        <f t="shared" si="0"/>
        <v>846536</v>
      </c>
      <c r="H8" s="1594">
        <f t="shared" si="0"/>
        <v>17607</v>
      </c>
      <c r="I8" s="1594">
        <f t="shared" si="0"/>
        <v>325349</v>
      </c>
      <c r="J8" s="1594">
        <f t="shared" si="0"/>
        <v>627735</v>
      </c>
      <c r="K8" s="1594">
        <f t="shared" si="0"/>
        <v>275641</v>
      </c>
      <c r="L8" s="325"/>
    </row>
    <row r="9" spans="1:13" ht="15.75" thickTop="1" x14ac:dyDescent="0.2">
      <c r="A9" s="449" t="s">
        <v>1634</v>
      </c>
      <c r="B9" s="450">
        <v>3998</v>
      </c>
      <c r="C9" s="1586">
        <v>7293152</v>
      </c>
      <c r="D9" s="1613"/>
      <c r="E9" s="1586"/>
      <c r="F9" s="1586"/>
      <c r="G9" s="1614"/>
      <c r="H9" s="1586"/>
      <c r="I9" s="1609" t="s">
        <v>1159</v>
      </c>
      <c r="J9" s="1583"/>
      <c r="K9" s="1586"/>
      <c r="L9" s="325"/>
    </row>
    <row r="10" spans="1:13" s="452" customFormat="1" ht="13.5" thickBot="1" x14ac:dyDescent="0.25">
      <c r="A10" s="1426" t="s">
        <v>1163</v>
      </c>
      <c r="B10" s="1407"/>
      <c r="C10" s="1594">
        <f>SUM(C8:C9)</f>
        <v>23344128</v>
      </c>
      <c r="D10" s="1594">
        <f t="shared" ref="D10:K10" si="1">SUM(D8:D9)</f>
        <v>2383607</v>
      </c>
      <c r="E10" s="1594">
        <f t="shared" si="1"/>
        <v>1926212</v>
      </c>
      <c r="F10" s="1594">
        <f t="shared" si="1"/>
        <v>916427</v>
      </c>
      <c r="G10" s="1594">
        <f t="shared" si="1"/>
        <v>846536</v>
      </c>
      <c r="H10" s="1594">
        <f t="shared" si="1"/>
        <v>17607</v>
      </c>
      <c r="I10" s="1594">
        <f t="shared" si="1"/>
        <v>325349</v>
      </c>
      <c r="J10" s="1594">
        <f t="shared" si="1"/>
        <v>627735</v>
      </c>
      <c r="K10" s="1594">
        <f t="shared" si="1"/>
        <v>275641</v>
      </c>
      <c r="L10" s="451"/>
    </row>
    <row r="11" spans="1:13" s="452" customFormat="1" ht="16.7" customHeight="1" thickTop="1" x14ac:dyDescent="0.2">
      <c r="A11" s="2212" t="s">
        <v>1166</v>
      </c>
      <c r="B11" s="2213"/>
      <c r="C11" s="1602"/>
      <c r="D11" s="1603"/>
      <c r="E11" s="1603"/>
      <c r="F11" s="1603"/>
      <c r="G11" s="1603"/>
      <c r="H11" s="1603"/>
      <c r="I11" s="1603"/>
      <c r="J11" s="1603"/>
      <c r="K11" s="1615"/>
      <c r="L11" s="451"/>
    </row>
    <row r="12" spans="1:13" ht="15.75" customHeight="1" x14ac:dyDescent="0.2">
      <c r="A12" s="1314" t="s">
        <v>453</v>
      </c>
      <c r="B12" s="1316">
        <v>1000</v>
      </c>
      <c r="C12" s="1606">
        <f>'Expenditures 15-22'!K33</f>
        <v>9645403</v>
      </c>
      <c r="D12" s="1616" t="s">
        <v>1159</v>
      </c>
      <c r="E12" s="1575" t="s">
        <v>1159</v>
      </c>
      <c r="F12" s="1575" t="s">
        <v>1159</v>
      </c>
      <c r="G12" s="1606">
        <f>'Expenditures 15-22'!K229</f>
        <v>226279</v>
      </c>
      <c r="H12" s="1617"/>
      <c r="I12" s="1575" t="s">
        <v>1159</v>
      </c>
      <c r="J12" s="1575" t="s">
        <v>1159</v>
      </c>
      <c r="K12" s="1617" t="s">
        <v>1159</v>
      </c>
      <c r="L12" s="325"/>
    </row>
    <row r="13" spans="1:13" ht="15.75" customHeight="1" x14ac:dyDescent="0.2">
      <c r="A13" s="1314" t="s">
        <v>454</v>
      </c>
      <c r="B13" s="1316">
        <v>2000</v>
      </c>
      <c r="C13" s="1607">
        <f>'Expenditures 15-22'!K74</f>
        <v>3880864</v>
      </c>
      <c r="D13" s="1607">
        <f>'Expenditures 15-22'!K129</f>
        <v>2101828</v>
      </c>
      <c r="E13" s="1576" t="s">
        <v>1159</v>
      </c>
      <c r="F13" s="1607">
        <f>'Expenditures 15-22'!K184</f>
        <v>878837</v>
      </c>
      <c r="G13" s="1607">
        <f>'Expenditures 15-22'!K279</f>
        <v>465186</v>
      </c>
      <c r="H13" s="1607">
        <f>'Expenditures 15-22'!K303</f>
        <v>1364990</v>
      </c>
      <c r="I13" s="1575" t="s">
        <v>1159</v>
      </c>
      <c r="J13" s="1607">
        <f>'Expenditures 15-22'!K330</f>
        <v>862943</v>
      </c>
      <c r="K13" s="1618">
        <f>'Expenditures 15-22'!K352</f>
        <v>387264</v>
      </c>
      <c r="L13" s="325"/>
    </row>
    <row r="14" spans="1:13" ht="15.75" customHeight="1" x14ac:dyDescent="0.2">
      <c r="A14" s="1314" t="s">
        <v>446</v>
      </c>
      <c r="B14" s="1316">
        <v>3000</v>
      </c>
      <c r="C14" s="1607">
        <f>'Expenditures 15-22'!K75</f>
        <v>78475</v>
      </c>
      <c r="D14" s="1607">
        <f>'Expenditures 15-22'!K130</f>
        <v>0</v>
      </c>
      <c r="E14" s="1616" t="s">
        <v>1159</v>
      </c>
      <c r="F14" s="1607">
        <f>'Expenditures 15-22'!K185</f>
        <v>0</v>
      </c>
      <c r="G14" s="1607">
        <f>'Expenditures 15-22'!K280</f>
        <v>87</v>
      </c>
      <c r="H14" s="1612"/>
      <c r="I14" s="1575" t="s">
        <v>1159</v>
      </c>
      <c r="J14" s="1575" t="s">
        <v>1159</v>
      </c>
      <c r="K14" s="1612" t="s">
        <v>1159</v>
      </c>
      <c r="L14" s="325"/>
    </row>
    <row r="15" spans="1:13" ht="15.75" customHeight="1" x14ac:dyDescent="0.2">
      <c r="A15" s="1314" t="s">
        <v>107</v>
      </c>
      <c r="B15" s="1316">
        <v>4000</v>
      </c>
      <c r="C15" s="1607">
        <f>'Expenditures 15-22'!K102</f>
        <v>1342704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1753771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14947446</v>
      </c>
      <c r="D17" s="1594">
        <f t="shared" si="2"/>
        <v>2101828</v>
      </c>
      <c r="E17" s="1594">
        <f t="shared" si="2"/>
        <v>1753771</v>
      </c>
      <c r="F17" s="1594">
        <f t="shared" si="2"/>
        <v>878837</v>
      </c>
      <c r="G17" s="1594">
        <f t="shared" si="2"/>
        <v>691552</v>
      </c>
      <c r="H17" s="1594">
        <f t="shared" si="2"/>
        <v>1364990</v>
      </c>
      <c r="I17" s="1575"/>
      <c r="J17" s="1594">
        <f>SUM(J12:J16)</f>
        <v>862943</v>
      </c>
      <c r="K17" s="1594">
        <f>SUM(K12:K16)</f>
        <v>387264</v>
      </c>
      <c r="L17" s="325"/>
    </row>
    <row r="18" spans="1:12" ht="15" customHeight="1" thickTop="1" x14ac:dyDescent="0.2">
      <c r="A18" s="1430" t="s">
        <v>1635</v>
      </c>
      <c r="B18" s="1431">
        <v>4180</v>
      </c>
      <c r="C18" s="1606">
        <f t="shared" ref="C18:H18" si="3">C9</f>
        <v>7293152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22240598</v>
      </c>
      <c r="D19" s="1594">
        <f t="shared" si="4"/>
        <v>2101828</v>
      </c>
      <c r="E19" s="1594">
        <f t="shared" si="4"/>
        <v>1753771</v>
      </c>
      <c r="F19" s="1594">
        <f t="shared" si="4"/>
        <v>878837</v>
      </c>
      <c r="G19" s="1594">
        <f t="shared" si="4"/>
        <v>691552</v>
      </c>
      <c r="H19" s="1594">
        <f t="shared" si="4"/>
        <v>1364990</v>
      </c>
      <c r="I19" s="1575"/>
      <c r="J19" s="1594">
        <f>SUM(J17:J18)</f>
        <v>862943</v>
      </c>
      <c r="K19" s="1594">
        <f>SUM(K17:K18)</f>
        <v>387264</v>
      </c>
      <c r="L19" s="325"/>
    </row>
    <row r="20" spans="1:12" ht="16.5" thickTop="1" thickBot="1" x14ac:dyDescent="0.25">
      <c r="A20" s="2228" t="s">
        <v>1636</v>
      </c>
      <c r="B20" s="2229"/>
      <c r="C20" s="1622">
        <f>C8-C17</f>
        <v>1103530</v>
      </c>
      <c r="D20" s="1622">
        <f t="shared" ref="D20:K20" si="5">D8-D17</f>
        <v>281779</v>
      </c>
      <c r="E20" s="1622">
        <f t="shared" si="5"/>
        <v>172441</v>
      </c>
      <c r="F20" s="1622">
        <f t="shared" si="5"/>
        <v>37590</v>
      </c>
      <c r="G20" s="1622">
        <f t="shared" si="5"/>
        <v>154984</v>
      </c>
      <c r="H20" s="1622">
        <f t="shared" si="5"/>
        <v>-1347383</v>
      </c>
      <c r="I20" s="1622">
        <f t="shared" si="5"/>
        <v>325349</v>
      </c>
      <c r="J20" s="1622">
        <f t="shared" si="5"/>
        <v>-235208</v>
      </c>
      <c r="K20" s="1622">
        <f t="shared" si="5"/>
        <v>-111623</v>
      </c>
      <c r="L20" s="325"/>
    </row>
    <row r="21" spans="1:12" ht="16.7" customHeight="1" thickTop="1" x14ac:dyDescent="0.2">
      <c r="A21" s="2240" t="s">
        <v>591</v>
      </c>
      <c r="B21" s="2241"/>
      <c r="C21" s="1602"/>
      <c r="D21" s="1603"/>
      <c r="E21" s="1603"/>
      <c r="F21" s="1603"/>
      <c r="G21" s="1603"/>
      <c r="H21" s="1603"/>
      <c r="I21" s="1603"/>
      <c r="J21" s="1603"/>
      <c r="K21" s="1615"/>
      <c r="L21" s="453"/>
    </row>
    <row r="22" spans="1:12" ht="15.75" customHeight="1" collapsed="1" x14ac:dyDescent="0.2">
      <c r="A22" s="2236" t="s">
        <v>592</v>
      </c>
      <c r="B22" s="2237"/>
      <c r="C22" s="1582"/>
      <c r="D22" s="1582"/>
      <c r="E22" s="1582"/>
      <c r="F22" s="1582"/>
      <c r="G22" s="1582"/>
      <c r="H22" s="1582"/>
      <c r="I22" s="1582"/>
      <c r="J22" s="1582"/>
      <c r="K22" s="1582"/>
      <c r="L22" s="325"/>
    </row>
    <row r="23" spans="1:12" s="433" customFormat="1" ht="15.75" customHeight="1" x14ac:dyDescent="0.2">
      <c r="A23" s="2232" t="s">
        <v>290</v>
      </c>
      <c r="B23" s="2233"/>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1000000</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4" t="s">
        <v>974</v>
      </c>
      <c r="B32" s="2235"/>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2" t="s">
        <v>371</v>
      </c>
      <c r="B44" s="2243"/>
      <c r="C44" s="1624">
        <f>SUM(C24:C43)</f>
        <v>1000000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6" t="s">
        <v>108</v>
      </c>
      <c r="B45" s="2237"/>
      <c r="C45" s="1625"/>
      <c r="D45" s="1625"/>
      <c r="E45" s="1625"/>
      <c r="F45" s="1625"/>
      <c r="G45" s="1625"/>
      <c r="H45" s="1625"/>
      <c r="I45" s="1625"/>
      <c r="J45" s="1625"/>
      <c r="K45" s="1625"/>
      <c r="L45" s="325"/>
    </row>
    <row r="46" spans="1:12" s="433" customFormat="1" ht="15.75" customHeight="1" x14ac:dyDescent="0.2">
      <c r="A46" s="2244" t="s">
        <v>109</v>
      </c>
      <c r="B46" s="224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1000000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8" t="s">
        <v>437</v>
      </c>
      <c r="B76" s="2219"/>
      <c r="C76" s="1624">
        <f t="shared" ref="C76:K76" si="7">SUM(C47:C75)</f>
        <v>0</v>
      </c>
      <c r="D76" s="1624">
        <f t="shared" si="7"/>
        <v>0</v>
      </c>
      <c r="E76" s="1624">
        <f t="shared" si="7"/>
        <v>0</v>
      </c>
      <c r="F76" s="1624">
        <f t="shared" si="7"/>
        <v>0</v>
      </c>
      <c r="G76" s="1624">
        <f t="shared" si="7"/>
        <v>0</v>
      </c>
      <c r="H76" s="1624">
        <f t="shared" si="7"/>
        <v>0</v>
      </c>
      <c r="I76" s="1624">
        <f t="shared" si="7"/>
        <v>1000000</v>
      </c>
      <c r="J76" s="1624">
        <f t="shared" si="7"/>
        <v>0</v>
      </c>
      <c r="K76" s="1624">
        <f t="shared" si="7"/>
        <v>0</v>
      </c>
      <c r="L76" s="453"/>
    </row>
    <row r="77" spans="1:12" ht="14.25" thickTop="1" thickBot="1" x14ac:dyDescent="0.25">
      <c r="A77" s="2220" t="s">
        <v>1167</v>
      </c>
      <c r="B77" s="2221"/>
      <c r="C77" s="1624">
        <f t="shared" ref="C77:K77" si="8">C44-C76</f>
        <v>1000000</v>
      </c>
      <c r="D77" s="1624">
        <f t="shared" si="8"/>
        <v>0</v>
      </c>
      <c r="E77" s="1624">
        <f t="shared" si="8"/>
        <v>0</v>
      </c>
      <c r="F77" s="1624">
        <f t="shared" si="8"/>
        <v>0</v>
      </c>
      <c r="G77" s="1624">
        <f t="shared" si="8"/>
        <v>0</v>
      </c>
      <c r="H77" s="1624">
        <f t="shared" si="8"/>
        <v>0</v>
      </c>
      <c r="I77" s="1624">
        <f t="shared" si="8"/>
        <v>-1000000</v>
      </c>
      <c r="J77" s="1624">
        <f t="shared" si="8"/>
        <v>0</v>
      </c>
      <c r="K77" s="1624">
        <f t="shared" si="8"/>
        <v>0</v>
      </c>
      <c r="L77" s="325"/>
    </row>
    <row r="78" spans="1:12" ht="21.75" customHeight="1" thickTop="1" thickBot="1" x14ac:dyDescent="0.25">
      <c r="A78" s="2224" t="s">
        <v>593</v>
      </c>
      <c r="B78" s="2225"/>
      <c r="C78" s="1629">
        <f t="shared" ref="C78:K78" si="9">C20+C77</f>
        <v>2103530</v>
      </c>
      <c r="D78" s="1629">
        <f t="shared" si="9"/>
        <v>281779</v>
      </c>
      <c r="E78" s="1629">
        <f t="shared" si="9"/>
        <v>172441</v>
      </c>
      <c r="F78" s="1629">
        <f t="shared" si="9"/>
        <v>37590</v>
      </c>
      <c r="G78" s="1629">
        <f t="shared" si="9"/>
        <v>154984</v>
      </c>
      <c r="H78" s="1629">
        <f t="shared" si="9"/>
        <v>-1347383</v>
      </c>
      <c r="I78" s="1629">
        <f t="shared" si="9"/>
        <v>-674651</v>
      </c>
      <c r="J78" s="1629">
        <f t="shared" si="9"/>
        <v>-235208</v>
      </c>
      <c r="K78" s="1629">
        <f t="shared" si="9"/>
        <v>-111623</v>
      </c>
      <c r="L78" s="457"/>
    </row>
    <row r="79" spans="1:12" ht="13.5" thickTop="1" x14ac:dyDescent="0.2">
      <c r="A79" s="1844" t="str">
        <f>"Fund Balances - July 1, "&amp;'AFR20'!E2-1</f>
        <v>Fund Balances - July 1, 2019</v>
      </c>
      <c r="B79" s="458"/>
      <c r="C79" s="1583">
        <v>4423622</v>
      </c>
      <c r="D79" s="1630">
        <v>3343451</v>
      </c>
      <c r="E79" s="1630">
        <v>800546</v>
      </c>
      <c r="F79" s="1630">
        <v>1911465</v>
      </c>
      <c r="G79" s="1630">
        <v>1338803</v>
      </c>
      <c r="H79" s="1630">
        <v>2241202</v>
      </c>
      <c r="I79" s="1630">
        <v>3027922</v>
      </c>
      <c r="J79" s="1630">
        <v>953230</v>
      </c>
      <c r="K79" s="1630">
        <v>387108</v>
      </c>
      <c r="L79" s="325"/>
    </row>
    <row r="80" spans="1:12" x14ac:dyDescent="0.2">
      <c r="A80" s="2230" t="s">
        <v>1769</v>
      </c>
      <c r="B80" s="2231"/>
      <c r="C80" s="1574"/>
      <c r="D80" s="1574"/>
      <c r="E80" s="1574"/>
      <c r="F80" s="1574"/>
      <c r="G80" s="1574"/>
      <c r="H80" s="1574"/>
      <c r="I80" s="1574"/>
      <c r="J80" s="1574"/>
      <c r="K80" s="1574"/>
      <c r="L80" s="325"/>
    </row>
    <row r="81" spans="1:12" ht="13.5" thickBot="1" x14ac:dyDescent="0.25">
      <c r="A81" s="2222" t="str">
        <f>"Fund Balances - June 30, "&amp;'AFR20'!E2</f>
        <v>Fund Balances - June 30, 2020</v>
      </c>
      <c r="B81" s="2223"/>
      <c r="C81" s="1594">
        <f>(SUM(C78:C80))</f>
        <v>6527152</v>
      </c>
      <c r="D81" s="1594">
        <f>SUM(D78:D80)</f>
        <v>3625230</v>
      </c>
      <c r="E81" s="1594">
        <f t="shared" ref="E81:K81" si="10">SUM(E78:E80)</f>
        <v>972987</v>
      </c>
      <c r="F81" s="1594">
        <f t="shared" si="10"/>
        <v>1949055</v>
      </c>
      <c r="G81" s="1594">
        <f t="shared" si="10"/>
        <v>1493787</v>
      </c>
      <c r="H81" s="1594">
        <f t="shared" si="10"/>
        <v>893819</v>
      </c>
      <c r="I81" s="1594">
        <f t="shared" si="10"/>
        <v>2353271</v>
      </c>
      <c r="J81" s="1594">
        <f t="shared" si="10"/>
        <v>718022</v>
      </c>
      <c r="K81" s="1594">
        <f t="shared" si="10"/>
        <v>275485</v>
      </c>
      <c r="L81" s="325"/>
    </row>
    <row r="82" spans="1:12" ht="0.75" customHeight="1" thickTop="1" thickBot="1" x14ac:dyDescent="0.25">
      <c r="A82" s="459" t="s">
        <v>340</v>
      </c>
      <c r="B82" s="460"/>
      <c r="C82" s="461">
        <f>(C81-C79)</f>
        <v>2103530</v>
      </c>
      <c r="D82" s="461">
        <f t="shared" ref="D82:K82" si="11">(D81-D79)</f>
        <v>281779</v>
      </c>
      <c r="E82" s="461">
        <f t="shared" si="11"/>
        <v>172441</v>
      </c>
      <c r="F82" s="461">
        <f t="shared" si="11"/>
        <v>37590</v>
      </c>
      <c r="G82" s="461">
        <f t="shared" si="11"/>
        <v>154984</v>
      </c>
      <c r="H82" s="461">
        <f t="shared" si="11"/>
        <v>-1347383</v>
      </c>
      <c r="I82" s="461">
        <f t="shared" si="11"/>
        <v>-674651</v>
      </c>
      <c r="J82" s="461">
        <f t="shared" si="11"/>
        <v>-235208</v>
      </c>
      <c r="K82" s="461">
        <f t="shared" si="11"/>
        <v>-111623</v>
      </c>
    </row>
    <row r="83" spans="1:12" ht="14.25" hidden="1" thickTop="1" thickBot="1" x14ac:dyDescent="0.25">
      <c r="A83" s="462" t="s">
        <v>341</v>
      </c>
      <c r="B83" s="428"/>
      <c r="C83" s="463">
        <f>C82/C81</f>
        <v>0.32227378801658058</v>
      </c>
      <c r="D83" s="463">
        <f t="shared" ref="D83:K83" si="12">D82/D81</f>
        <v>7.772720627380883E-2</v>
      </c>
      <c r="E83" s="463">
        <f t="shared" si="12"/>
        <v>0.17722847273396253</v>
      </c>
      <c r="F83" s="463">
        <f t="shared" si="12"/>
        <v>1.9286269499834537E-2</v>
      </c>
      <c r="G83" s="463">
        <f t="shared" si="12"/>
        <v>0.1037524091453467</v>
      </c>
      <c r="H83" s="463">
        <f t="shared" si="12"/>
        <v>-1.5074450196292537</v>
      </c>
      <c r="I83" s="463">
        <f t="shared" si="12"/>
        <v>-0.28668648872144348</v>
      </c>
      <c r="J83" s="463">
        <f t="shared" si="12"/>
        <v>-0.32757770653266893</v>
      </c>
      <c r="K83" s="463">
        <f t="shared" si="12"/>
        <v>-0.40518721527487883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66" activePane="bottomLeft" state="frozen"/>
      <selection pane="bottomLeft" activeCell="C69" sqref="C6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6" t="s">
        <v>1776</v>
      </c>
      <c r="B1" s="416"/>
      <c r="C1" s="417" t="s">
        <v>422</v>
      </c>
      <c r="D1" s="417" t="s">
        <v>423</v>
      </c>
      <c r="E1" s="417" t="s">
        <v>424</v>
      </c>
      <c r="F1" s="417" t="s">
        <v>425</v>
      </c>
      <c r="G1" s="417" t="s">
        <v>426</v>
      </c>
      <c r="H1" s="417" t="s">
        <v>427</v>
      </c>
      <c r="I1" s="417" t="s">
        <v>428</v>
      </c>
      <c r="J1" s="417" t="s">
        <v>429</v>
      </c>
      <c r="K1" s="417" t="s">
        <v>751</v>
      </c>
    </row>
    <row r="2" spans="1:12" ht="36" x14ac:dyDescent="0.2">
      <c r="A2" s="222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4977691</v>
      </c>
      <c r="D5" s="1586">
        <v>1352633</v>
      </c>
      <c r="E5" s="1573">
        <v>1057219</v>
      </c>
      <c r="F5" s="1631">
        <v>649916</v>
      </c>
      <c r="G5" s="1573">
        <v>33546</v>
      </c>
      <c r="H5" s="1573"/>
      <c r="I5" s="1573">
        <v>270527</v>
      </c>
      <c r="J5" s="1574">
        <v>605979</v>
      </c>
      <c r="K5" s="1573">
        <v>270527</v>
      </c>
    </row>
    <row r="6" spans="1:12" ht="15" x14ac:dyDescent="0.2">
      <c r="A6" s="427" t="s">
        <v>1643</v>
      </c>
      <c r="B6" s="429">
        <v>1130</v>
      </c>
      <c r="C6" s="1573">
        <v>27053</v>
      </c>
      <c r="D6" s="1573">
        <v>243474</v>
      </c>
      <c r="E6" s="1580"/>
      <c r="F6" s="1580"/>
      <c r="G6" s="1575"/>
      <c r="H6" s="1575"/>
      <c r="I6" s="1575"/>
      <c r="J6" s="1575"/>
      <c r="K6" s="1575"/>
    </row>
    <row r="7" spans="1:12" x14ac:dyDescent="0.2">
      <c r="A7" s="427" t="s">
        <v>110</v>
      </c>
      <c r="B7" s="471">
        <v>1140</v>
      </c>
      <c r="C7" s="1573">
        <v>108211</v>
      </c>
      <c r="D7" s="1573"/>
      <c r="E7" s="1575"/>
      <c r="F7" s="1574"/>
      <c r="G7" s="1574"/>
      <c r="H7" s="1574"/>
      <c r="I7" s="1575"/>
      <c r="J7" s="1575"/>
      <c r="K7" s="1575"/>
    </row>
    <row r="8" spans="1:12" x14ac:dyDescent="0.2">
      <c r="A8" s="427" t="s">
        <v>410</v>
      </c>
      <c r="B8" s="429">
        <v>1150</v>
      </c>
      <c r="C8" s="1580"/>
      <c r="D8" s="1580"/>
      <c r="E8" s="1582"/>
      <c r="F8" s="1582"/>
      <c r="G8" s="1586">
        <v>625458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5112955</v>
      </c>
      <c r="D12" s="1633">
        <f t="shared" si="0"/>
        <v>1596107</v>
      </c>
      <c r="E12" s="1633">
        <f t="shared" si="0"/>
        <v>1057219</v>
      </c>
      <c r="F12" s="1633">
        <f t="shared" si="0"/>
        <v>649916</v>
      </c>
      <c r="G12" s="1633">
        <f t="shared" si="0"/>
        <v>659004</v>
      </c>
      <c r="H12" s="1633">
        <f t="shared" si="0"/>
        <v>0</v>
      </c>
      <c r="I12" s="1633">
        <f t="shared" si="0"/>
        <v>270527</v>
      </c>
      <c r="J12" s="1633">
        <f t="shared" si="0"/>
        <v>605979</v>
      </c>
      <c r="K12" s="1594">
        <f t="shared" si="0"/>
        <v>270527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836</v>
      </c>
      <c r="D14" s="1573">
        <v>262</v>
      </c>
      <c r="E14" s="1573">
        <v>172</v>
      </c>
      <c r="F14" s="1573">
        <v>106</v>
      </c>
      <c r="G14" s="1573">
        <v>107</v>
      </c>
      <c r="H14" s="1573"/>
      <c r="I14" s="1573">
        <v>44</v>
      </c>
      <c r="J14" s="1574">
        <v>99</v>
      </c>
      <c r="K14" s="1573">
        <v>44</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1909256</v>
      </c>
      <c r="D16" s="1573">
        <v>260353</v>
      </c>
      <c r="E16" s="1573"/>
      <c r="F16" s="1573"/>
      <c r="G16" s="1573">
        <v>153838</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1910092</v>
      </c>
      <c r="D18" s="1635">
        <f t="shared" ref="D18:K18" si="1">SUM(D14:D17)</f>
        <v>260615</v>
      </c>
      <c r="E18" s="1635">
        <f t="shared" si="1"/>
        <v>172</v>
      </c>
      <c r="F18" s="1635">
        <f t="shared" si="1"/>
        <v>106</v>
      </c>
      <c r="G18" s="1635">
        <f t="shared" si="1"/>
        <v>153945</v>
      </c>
      <c r="H18" s="1635">
        <f t="shared" si="1"/>
        <v>0</v>
      </c>
      <c r="I18" s="1635">
        <f t="shared" si="1"/>
        <v>44</v>
      </c>
      <c r="J18" s="1635">
        <f t="shared" si="1"/>
        <v>99</v>
      </c>
      <c r="K18" s="1636">
        <f t="shared" si="1"/>
        <v>44</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v>55200</v>
      </c>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55200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86923</v>
      </c>
      <c r="D65" s="1573">
        <v>98712</v>
      </c>
      <c r="E65" s="1573">
        <v>18560</v>
      </c>
      <c r="F65" s="1574">
        <v>50786</v>
      </c>
      <c r="G65" s="1573">
        <v>33587</v>
      </c>
      <c r="H65" s="1573">
        <v>17607</v>
      </c>
      <c r="I65" s="1573">
        <v>54778</v>
      </c>
      <c r="J65" s="1574">
        <v>21657</v>
      </c>
      <c r="K65" s="1573">
        <v>5070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86923</v>
      </c>
      <c r="D67" s="1594">
        <f t="shared" ref="D67:K67" si="2">SUM(D65:D66)</f>
        <v>98712</v>
      </c>
      <c r="E67" s="1594">
        <f t="shared" si="2"/>
        <v>18560</v>
      </c>
      <c r="F67" s="1594">
        <f t="shared" si="2"/>
        <v>50786</v>
      </c>
      <c r="G67" s="1594">
        <f t="shared" si="2"/>
        <v>33587</v>
      </c>
      <c r="H67" s="1594">
        <f t="shared" si="2"/>
        <v>17607</v>
      </c>
      <c r="I67" s="1594">
        <f t="shared" si="2"/>
        <v>54778</v>
      </c>
      <c r="J67" s="1594">
        <f t="shared" si="2"/>
        <v>21657</v>
      </c>
      <c r="K67" s="1594">
        <f t="shared" si="2"/>
        <v>5070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f>138368+1764</f>
        <v>140132</v>
      </c>
      <c r="D69" s="1575"/>
      <c r="E69" s="1575"/>
      <c r="F69" s="1575"/>
      <c r="G69" s="1575"/>
      <c r="H69" s="1575"/>
      <c r="I69" s="1575"/>
      <c r="J69" s="1575"/>
      <c r="K69" s="1575"/>
    </row>
    <row r="70" spans="1:11" ht="12.75" customHeight="1" x14ac:dyDescent="0.2">
      <c r="A70" s="427" t="s">
        <v>990</v>
      </c>
      <c r="B70" s="429">
        <v>1612</v>
      </c>
      <c r="C70" s="1632">
        <v>6984</v>
      </c>
      <c r="D70" s="1575"/>
      <c r="E70" s="1575"/>
      <c r="F70" s="1575"/>
      <c r="G70" s="1575"/>
      <c r="H70" s="1575"/>
      <c r="I70" s="1575"/>
      <c r="J70" s="1575"/>
      <c r="K70" s="1575"/>
    </row>
    <row r="71" spans="1:11" ht="12.75" customHeight="1" x14ac:dyDescent="0.2">
      <c r="A71" s="427" t="s">
        <v>271</v>
      </c>
      <c r="B71" s="429">
        <v>1613</v>
      </c>
      <c r="C71" s="1632">
        <v>76459</v>
      </c>
      <c r="D71" s="1575"/>
      <c r="E71" s="1575"/>
      <c r="F71" s="1575"/>
      <c r="G71" s="1575"/>
      <c r="H71" s="1575"/>
      <c r="I71" s="1575"/>
      <c r="J71" s="1575"/>
      <c r="K71" s="1575"/>
    </row>
    <row r="72" spans="1:11" ht="12.75" customHeight="1" x14ac:dyDescent="0.2">
      <c r="A72" s="427" t="s">
        <v>24</v>
      </c>
      <c r="B72" s="429">
        <v>1614</v>
      </c>
      <c r="C72" s="1632">
        <v>11647</v>
      </c>
      <c r="D72" s="1575"/>
      <c r="E72" s="1575"/>
      <c r="F72" s="1575"/>
      <c r="G72" s="1575"/>
      <c r="H72" s="1575"/>
      <c r="I72" s="1575"/>
      <c r="J72" s="1575"/>
      <c r="K72" s="1575"/>
    </row>
    <row r="73" spans="1:11" ht="12.75" customHeight="1" x14ac:dyDescent="0.2">
      <c r="A73" s="427" t="s">
        <v>991</v>
      </c>
      <c r="B73" s="429">
        <v>1620</v>
      </c>
      <c r="C73" s="1632">
        <v>4439</v>
      </c>
      <c r="D73" s="1575"/>
      <c r="E73" s="1575"/>
      <c r="F73" s="1575"/>
      <c r="G73" s="1575"/>
      <c r="H73" s="1575"/>
      <c r="I73" s="1575"/>
      <c r="J73" s="1575"/>
      <c r="K73" s="1575"/>
    </row>
    <row r="74" spans="1:11" ht="12.75" customHeight="1" x14ac:dyDescent="0.2">
      <c r="A74" s="427" t="s">
        <v>25</v>
      </c>
      <c r="B74" s="429">
        <v>1690</v>
      </c>
      <c r="C74" s="1632">
        <v>10498</v>
      </c>
      <c r="D74" s="1575"/>
      <c r="E74" s="1575"/>
      <c r="F74" s="1575"/>
      <c r="G74" s="1575"/>
      <c r="H74" s="1575"/>
      <c r="I74" s="1575"/>
      <c r="J74" s="1575"/>
      <c r="K74" s="1575"/>
    </row>
    <row r="75" spans="1:11" ht="12.75" customHeight="1" thickBot="1" x14ac:dyDescent="0.25">
      <c r="A75" s="1406" t="s">
        <v>544</v>
      </c>
      <c r="B75" s="1407"/>
      <c r="C75" s="1594">
        <f>SUM(C69:C74)</f>
        <v>250159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74937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10297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85234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40825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40825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897</v>
      </c>
      <c r="E95" s="1617"/>
      <c r="F95" s="1617"/>
      <c r="G95" s="1617"/>
      <c r="H95" s="1617"/>
      <c r="I95" s="1617"/>
      <c r="J95" s="1617"/>
      <c r="K95" s="1617"/>
    </row>
    <row r="96" spans="1:11" ht="12.75" customHeight="1" x14ac:dyDescent="0.2">
      <c r="A96" s="427" t="s">
        <v>388</v>
      </c>
      <c r="B96" s="429">
        <v>1920</v>
      </c>
      <c r="C96" s="1632">
        <v>750</v>
      </c>
      <c r="D96" s="1632">
        <v>162597</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27926</v>
      </c>
      <c r="D98" s="1573">
        <v>143463</v>
      </c>
      <c r="E98" s="1612"/>
      <c r="F98" s="1573">
        <v>49862</v>
      </c>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213234</v>
      </c>
      <c r="D100" s="1598"/>
      <c r="E100" s="1598"/>
      <c r="F100" s="1598"/>
      <c r="G100" s="1598"/>
      <c r="H100" s="1598"/>
      <c r="I100" s="1574"/>
      <c r="J100" s="1598"/>
      <c r="K100" s="1574"/>
    </row>
    <row r="101" spans="1:12" ht="12.75" customHeight="1" x14ac:dyDescent="0.2">
      <c r="A101" s="427" t="s">
        <v>244</v>
      </c>
      <c r="B101" s="429">
        <v>1970</v>
      </c>
      <c r="C101" s="1598">
        <v>11800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850261</v>
      </c>
      <c r="F103" s="1575"/>
      <c r="G103" s="1575"/>
      <c r="H103" s="1598"/>
      <c r="I103" s="1575"/>
      <c r="J103" s="1610"/>
      <c r="K103" s="1610"/>
    </row>
    <row r="104" spans="1:12" ht="12.75" customHeight="1" x14ac:dyDescent="0.2">
      <c r="A104" s="427" t="s">
        <v>825</v>
      </c>
      <c r="B104" s="429">
        <v>1991</v>
      </c>
      <c r="C104" s="1598">
        <v>9600</v>
      </c>
      <c r="D104" s="1573">
        <v>75793</v>
      </c>
      <c r="E104" s="1586"/>
      <c r="F104" s="1574">
        <v>31880</v>
      </c>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48987</v>
      </c>
      <c r="D107" s="1573">
        <v>45423</v>
      </c>
      <c r="E107" s="1573"/>
      <c r="F107" s="1573"/>
      <c r="G107" s="1573"/>
      <c r="H107" s="1573"/>
      <c r="I107" s="1573"/>
      <c r="J107" s="1574"/>
      <c r="K107" s="1573"/>
    </row>
    <row r="108" spans="1:12" ht="12.75" customHeight="1" thickBot="1" x14ac:dyDescent="0.25">
      <c r="A108" s="1406" t="s">
        <v>484</v>
      </c>
      <c r="B108" s="1408"/>
      <c r="C108" s="1633">
        <f>SUM(C95:C107)</f>
        <v>312297</v>
      </c>
      <c r="D108" s="1633">
        <f t="shared" ref="D108:K108" si="3">SUM(D95:D107)</f>
        <v>428173</v>
      </c>
      <c r="E108" s="1633">
        <f t="shared" si="3"/>
        <v>850261</v>
      </c>
      <c r="F108" s="1633">
        <f t="shared" si="3"/>
        <v>81742</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7798485</v>
      </c>
      <c r="D109" s="1641">
        <f t="shared" si="4"/>
        <v>2383607</v>
      </c>
      <c r="E109" s="1641">
        <f t="shared" si="4"/>
        <v>1926212</v>
      </c>
      <c r="F109" s="1641">
        <f t="shared" si="4"/>
        <v>837750</v>
      </c>
      <c r="G109" s="1641">
        <f t="shared" si="4"/>
        <v>846536</v>
      </c>
      <c r="H109" s="1641">
        <f t="shared" si="4"/>
        <v>17607</v>
      </c>
      <c r="I109" s="1641">
        <f t="shared" si="4"/>
        <v>325349</v>
      </c>
      <c r="J109" s="1641">
        <f t="shared" si="4"/>
        <v>627735</v>
      </c>
      <c r="K109" s="1629">
        <f t="shared" si="4"/>
        <v>275641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6371172</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6371172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46750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1165</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47915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41114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41114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4816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32143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v>78677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78677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1259</v>
      </c>
      <c r="D168" s="1655"/>
      <c r="E168" s="1655"/>
      <c r="F168" s="1655"/>
      <c r="G168" s="1656"/>
      <c r="H168" s="1657"/>
      <c r="I168" s="1656"/>
      <c r="J168" s="1656"/>
      <c r="K168" s="1657">
        <v>0</v>
      </c>
    </row>
    <row r="169" spans="1:11" ht="12.75" customHeight="1" thickTop="1" thickBot="1" x14ac:dyDescent="0.25">
      <c r="A169" s="2246" t="s">
        <v>395</v>
      </c>
      <c r="B169" s="2247"/>
      <c r="C169" s="1658">
        <f t="shared" ref="C169:K169" si="6">SUM(C132,C141,C145,C146:C150,C155,C156:C167,C168)</f>
        <v>127247</v>
      </c>
      <c r="D169" s="1658">
        <f t="shared" si="6"/>
        <v>0</v>
      </c>
      <c r="E169" s="1658">
        <f t="shared" si="6"/>
        <v>0</v>
      </c>
      <c r="F169" s="1658">
        <f t="shared" si="6"/>
        <v>78677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6498419</v>
      </c>
      <c r="D170" s="1641">
        <f t="shared" si="7"/>
        <v>0</v>
      </c>
      <c r="E170" s="1641">
        <f t="shared" si="7"/>
        <v>0</v>
      </c>
      <c r="F170" s="1641">
        <f t="shared" si="7"/>
        <v>78677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8" t="s">
        <v>1475</v>
      </c>
      <c r="B172" s="2249"/>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2" t="s">
        <v>1646</v>
      </c>
      <c r="B175" s="225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6" t="s">
        <v>1645</v>
      </c>
      <c r="B176" s="2257"/>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4" t="s">
        <v>780</v>
      </c>
      <c r="B181" s="2255"/>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0" t="s">
        <v>1777</v>
      </c>
      <c r="B182" s="225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345947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48375</v>
      </c>
      <c r="D193" s="1575"/>
      <c r="E193" s="1640"/>
      <c r="F193" s="1575"/>
      <c r="G193" s="1664"/>
      <c r="H193" s="1575"/>
      <c r="I193" s="1575"/>
      <c r="J193" s="1575"/>
      <c r="K193" s="1575"/>
    </row>
    <row r="194" spans="1:11" ht="12.75" customHeight="1" x14ac:dyDescent="0.2">
      <c r="A194" s="427" t="s">
        <v>1434</v>
      </c>
      <c r="B194" s="429">
        <v>4225</v>
      </c>
      <c r="C194" s="1632">
        <v>44139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438461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810798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810798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f>1352+393530</f>
        <v>394882</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394882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5901</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74296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13114</v>
      </c>
      <c r="D263" s="1651"/>
      <c r="E263" s="1575"/>
      <c r="F263" s="1651"/>
      <c r="G263" s="1651"/>
      <c r="H263" s="1575"/>
      <c r="I263" s="1575"/>
      <c r="J263" s="1575"/>
      <c r="K263" s="1575"/>
    </row>
    <row r="264" spans="1:11" ht="12.75" customHeight="1" thickTop="1" thickBot="1" x14ac:dyDescent="0.25">
      <c r="A264" s="427" t="s">
        <v>374</v>
      </c>
      <c r="B264" s="429">
        <v>4992</v>
      </c>
      <c r="C264" s="1650">
        <v>11000</v>
      </c>
      <c r="D264" s="1651"/>
      <c r="E264" s="1575"/>
      <c r="F264" s="1651"/>
      <c r="G264" s="1651"/>
      <c r="H264" s="1575"/>
      <c r="I264" s="1575"/>
      <c r="J264" s="1575"/>
      <c r="K264" s="1575"/>
    </row>
    <row r="265" spans="1:11" s="489" customFormat="1" ht="12.75" customHeight="1" thickTop="1" thickBot="1" x14ac:dyDescent="0.25">
      <c r="A265" s="479" t="s">
        <v>75</v>
      </c>
      <c r="B265" s="475">
        <v>4998</v>
      </c>
      <c r="C265" s="1650">
        <v>5620</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1754072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1754072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16050976</v>
      </c>
      <c r="D268" s="1641">
        <f t="shared" si="12"/>
        <v>2383607</v>
      </c>
      <c r="E268" s="1641">
        <f t="shared" si="12"/>
        <v>1926212</v>
      </c>
      <c r="F268" s="1641">
        <f t="shared" si="12"/>
        <v>916427</v>
      </c>
      <c r="G268" s="1641">
        <f t="shared" si="12"/>
        <v>846536</v>
      </c>
      <c r="H268" s="1641">
        <f t="shared" si="12"/>
        <v>17607</v>
      </c>
      <c r="I268" s="1641">
        <f t="shared" si="12"/>
        <v>325349</v>
      </c>
      <c r="J268" s="1641">
        <f t="shared" si="12"/>
        <v>627735</v>
      </c>
      <c r="K268" s="1629">
        <f t="shared" si="12"/>
        <v>275641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16" activePane="bottomLeft" state="frozen"/>
      <selection pane="bottomLeft" activeCell="L324" sqref="L3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6"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4371599</v>
      </c>
      <c r="D5" s="1573">
        <v>973876</v>
      </c>
      <c r="E5" s="1573">
        <v>72725</v>
      </c>
      <c r="F5" s="1573">
        <v>72301</v>
      </c>
      <c r="G5" s="1573"/>
      <c r="H5" s="1573">
        <v>1986</v>
      </c>
      <c r="I5" s="1574"/>
      <c r="J5" s="1574"/>
      <c r="K5" s="1672">
        <f>SUM(C5:J5)</f>
        <v>5492487</v>
      </c>
      <c r="L5" s="1573">
        <v>5686766</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1478574</v>
      </c>
      <c r="D8" s="1573">
        <v>289003</v>
      </c>
      <c r="E8" s="1573">
        <v>8095</v>
      </c>
      <c r="F8" s="1573">
        <v>3741</v>
      </c>
      <c r="G8" s="1573">
        <v>16652</v>
      </c>
      <c r="H8" s="1573">
        <v>269</v>
      </c>
      <c r="I8" s="1574"/>
      <c r="J8" s="1574"/>
      <c r="K8" s="1672">
        <f t="shared" si="0"/>
        <v>1796334</v>
      </c>
      <c r="L8" s="1573">
        <v>1802719</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290797</v>
      </c>
      <c r="D10" s="1573">
        <v>59692</v>
      </c>
      <c r="E10" s="1573">
        <v>6114</v>
      </c>
      <c r="F10" s="1573">
        <v>69387</v>
      </c>
      <c r="G10" s="1573">
        <v>9880</v>
      </c>
      <c r="H10" s="1573"/>
      <c r="I10" s="1574"/>
      <c r="J10" s="1574"/>
      <c r="K10" s="1672">
        <f t="shared" si="0"/>
        <v>435870</v>
      </c>
      <c r="L10" s="1573">
        <v>458899</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588545</v>
      </c>
      <c r="D13" s="1573">
        <v>126543</v>
      </c>
      <c r="E13" s="1573">
        <v>3413</v>
      </c>
      <c r="F13" s="1573">
        <v>20210</v>
      </c>
      <c r="G13" s="1573"/>
      <c r="H13" s="1573"/>
      <c r="I13" s="1574"/>
      <c r="J13" s="1574"/>
      <c r="K13" s="1672">
        <f t="shared" si="0"/>
        <v>738711</v>
      </c>
      <c r="L13" s="1573">
        <v>734264</v>
      </c>
    </row>
    <row r="14" spans="1:14" x14ac:dyDescent="0.2">
      <c r="A14" s="1274" t="s">
        <v>957</v>
      </c>
      <c r="B14" s="503">
        <v>1500</v>
      </c>
      <c r="C14" s="1573">
        <v>530197</v>
      </c>
      <c r="D14" s="1573">
        <v>41917</v>
      </c>
      <c r="E14" s="1573">
        <v>30358</v>
      </c>
      <c r="F14" s="1573">
        <v>27090</v>
      </c>
      <c r="G14" s="1573"/>
      <c r="H14" s="1573">
        <v>15360</v>
      </c>
      <c r="I14" s="1574"/>
      <c r="J14" s="1574"/>
      <c r="K14" s="1672">
        <f t="shared" si="0"/>
        <v>644922</v>
      </c>
      <c r="L14" s="1573">
        <v>687943</v>
      </c>
    </row>
    <row r="15" spans="1:14" x14ac:dyDescent="0.2">
      <c r="A15" s="1274" t="s">
        <v>958</v>
      </c>
      <c r="B15" s="503">
        <v>1600</v>
      </c>
      <c r="C15" s="1573">
        <v>3385</v>
      </c>
      <c r="D15" s="1573"/>
      <c r="E15" s="1573"/>
      <c r="F15" s="1573"/>
      <c r="G15" s="1573"/>
      <c r="H15" s="1573"/>
      <c r="I15" s="1574"/>
      <c r="J15" s="1574"/>
      <c r="K15" s="1672">
        <f t="shared" si="0"/>
        <v>3385</v>
      </c>
      <c r="L15" s="1573">
        <v>5161</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132945</v>
      </c>
      <c r="D17" s="1574">
        <v>26168</v>
      </c>
      <c r="E17" s="1574">
        <v>13598</v>
      </c>
      <c r="F17" s="1574">
        <v>4553</v>
      </c>
      <c r="G17" s="1574"/>
      <c r="H17" s="1574"/>
      <c r="I17" s="1574"/>
      <c r="J17" s="1574"/>
      <c r="K17" s="1672">
        <f t="shared" si="0"/>
        <v>177264</v>
      </c>
      <c r="L17" s="1573">
        <v>203171</v>
      </c>
    </row>
    <row r="18" spans="1:12" x14ac:dyDescent="0.2">
      <c r="A18" s="1274" t="s">
        <v>1078</v>
      </c>
      <c r="B18" s="503">
        <v>1800</v>
      </c>
      <c r="C18" s="1573">
        <v>141110</v>
      </c>
      <c r="D18" s="1573">
        <v>47353</v>
      </c>
      <c r="E18" s="1573">
        <v>3933</v>
      </c>
      <c r="F18" s="1573">
        <v>901</v>
      </c>
      <c r="G18" s="1573"/>
      <c r="H18" s="1573"/>
      <c r="I18" s="1574"/>
      <c r="J18" s="1574"/>
      <c r="K18" s="1672">
        <f t="shared" si="0"/>
        <v>193297</v>
      </c>
      <c r="L18" s="1573">
        <v>133958</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163133</v>
      </c>
      <c r="I22" s="1673"/>
      <c r="J22" s="1582"/>
      <c r="K22" s="1672">
        <f t="shared" si="0"/>
        <v>163133</v>
      </c>
      <c r="L22" s="1577">
        <v>170000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7537152</v>
      </c>
      <c r="D33" s="1674">
        <f t="shared" ref="D33:L33" si="1">SUM(D5:D32)</f>
        <v>1564552</v>
      </c>
      <c r="E33" s="1674">
        <f t="shared" si="1"/>
        <v>138236</v>
      </c>
      <c r="F33" s="1674">
        <f t="shared" si="1"/>
        <v>198183</v>
      </c>
      <c r="G33" s="1674">
        <f t="shared" si="1"/>
        <v>26532</v>
      </c>
      <c r="H33" s="1674">
        <f t="shared" si="1"/>
        <v>180748</v>
      </c>
      <c r="I33" s="1674">
        <f t="shared" si="1"/>
        <v>0</v>
      </c>
      <c r="J33" s="1674">
        <f t="shared" si="1"/>
        <v>0</v>
      </c>
      <c r="K33" s="1674">
        <f t="shared" si="1"/>
        <v>9645403</v>
      </c>
      <c r="L33" s="1674">
        <f t="shared" si="1"/>
        <v>9882881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234575</v>
      </c>
      <c r="D36" s="1586">
        <v>50227</v>
      </c>
      <c r="E36" s="1586">
        <v>72810</v>
      </c>
      <c r="F36" s="1586"/>
      <c r="G36" s="1586"/>
      <c r="H36" s="1586">
        <v>744</v>
      </c>
      <c r="I36" s="1574"/>
      <c r="J36" s="1574"/>
      <c r="K36" s="1672">
        <f t="shared" ref="K36:K41" si="2">SUM(C36:J36)</f>
        <v>358356</v>
      </c>
      <c r="L36" s="1573">
        <v>357615</v>
      </c>
    </row>
    <row r="37" spans="1:14" x14ac:dyDescent="0.2">
      <c r="A37" s="1274" t="s">
        <v>1081</v>
      </c>
      <c r="B37" s="503">
        <v>2120</v>
      </c>
      <c r="C37" s="1573">
        <v>425764</v>
      </c>
      <c r="D37" s="1573">
        <v>75438</v>
      </c>
      <c r="E37" s="1573">
        <v>2108</v>
      </c>
      <c r="F37" s="1573">
        <v>2436</v>
      </c>
      <c r="G37" s="1573">
        <v>5204</v>
      </c>
      <c r="H37" s="1573"/>
      <c r="I37" s="1574"/>
      <c r="J37" s="1574"/>
      <c r="K37" s="1672">
        <f t="shared" si="2"/>
        <v>510950</v>
      </c>
      <c r="L37" s="1573">
        <v>513315</v>
      </c>
    </row>
    <row r="38" spans="1:14" x14ac:dyDescent="0.2">
      <c r="A38" s="1274" t="s">
        <v>196</v>
      </c>
      <c r="B38" s="503">
        <v>2130</v>
      </c>
      <c r="C38" s="1573">
        <v>26081</v>
      </c>
      <c r="D38" s="1573">
        <v>7829</v>
      </c>
      <c r="E38" s="1573">
        <v>477</v>
      </c>
      <c r="F38" s="1573">
        <v>865</v>
      </c>
      <c r="G38" s="1573"/>
      <c r="H38" s="1573"/>
      <c r="I38" s="1574"/>
      <c r="J38" s="1574"/>
      <c r="K38" s="1672">
        <f t="shared" si="2"/>
        <v>35252</v>
      </c>
      <c r="L38" s="1573">
        <v>42011</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20879</v>
      </c>
      <c r="D40" s="1573">
        <v>3825</v>
      </c>
      <c r="E40" s="1573"/>
      <c r="F40" s="1573"/>
      <c r="G40" s="1573"/>
      <c r="H40" s="1573"/>
      <c r="I40" s="1574"/>
      <c r="J40" s="1574"/>
      <c r="K40" s="1672">
        <f t="shared" si="2"/>
        <v>24704</v>
      </c>
      <c r="L40" s="1573">
        <v>24721</v>
      </c>
    </row>
    <row r="41" spans="1:14" x14ac:dyDescent="0.2">
      <c r="A41" s="1274" t="s">
        <v>1650</v>
      </c>
      <c r="B41" s="503">
        <v>2190</v>
      </c>
      <c r="C41" s="1573"/>
      <c r="D41" s="1573"/>
      <c r="E41" s="1573">
        <v>8615</v>
      </c>
      <c r="F41" s="1573">
        <v>7487</v>
      </c>
      <c r="G41" s="1573"/>
      <c r="H41" s="1573"/>
      <c r="I41" s="1574"/>
      <c r="J41" s="1574"/>
      <c r="K41" s="1672">
        <f t="shared" si="2"/>
        <v>16102</v>
      </c>
      <c r="L41" s="1573">
        <v>23400</v>
      </c>
    </row>
    <row r="42" spans="1:14" ht="12.75" customHeight="1" thickBot="1" x14ac:dyDescent="0.25">
      <c r="A42" s="1380" t="s">
        <v>556</v>
      </c>
      <c r="B42" s="1381" t="s">
        <v>711</v>
      </c>
      <c r="C42" s="1674">
        <f>SUM(C36:C41)</f>
        <v>707299</v>
      </c>
      <c r="D42" s="1674">
        <f t="shared" ref="D42:L42" si="3">SUM(D36:D41)</f>
        <v>137319</v>
      </c>
      <c r="E42" s="1674">
        <f t="shared" si="3"/>
        <v>84010</v>
      </c>
      <c r="F42" s="1674">
        <f t="shared" si="3"/>
        <v>10788</v>
      </c>
      <c r="G42" s="1674">
        <f t="shared" si="3"/>
        <v>5204</v>
      </c>
      <c r="H42" s="1674">
        <f t="shared" si="3"/>
        <v>744</v>
      </c>
      <c r="I42" s="1674">
        <f t="shared" si="3"/>
        <v>0</v>
      </c>
      <c r="J42" s="1674">
        <f t="shared" si="3"/>
        <v>0</v>
      </c>
      <c r="K42" s="1674">
        <f t="shared" si="3"/>
        <v>945364</v>
      </c>
      <c r="L42" s="1674">
        <f t="shared" si="3"/>
        <v>961062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123552</v>
      </c>
      <c r="D44" s="1586">
        <v>31284</v>
      </c>
      <c r="E44" s="1586">
        <v>24371</v>
      </c>
      <c r="F44" s="1586">
        <v>4044</v>
      </c>
      <c r="G44" s="1586">
        <v>1041</v>
      </c>
      <c r="H44" s="1586">
        <v>239</v>
      </c>
      <c r="I44" s="1574"/>
      <c r="J44" s="1574"/>
      <c r="K44" s="1678">
        <f>SUM(C44:J44)</f>
        <v>184531</v>
      </c>
      <c r="L44" s="1586">
        <v>242244</v>
      </c>
    </row>
    <row r="45" spans="1:14" x14ac:dyDescent="0.2">
      <c r="A45" s="1274" t="s">
        <v>810</v>
      </c>
      <c r="B45" s="503">
        <v>2220</v>
      </c>
      <c r="C45" s="1573">
        <v>160332</v>
      </c>
      <c r="D45" s="1573">
        <v>25496</v>
      </c>
      <c r="E45" s="1573">
        <v>255918</v>
      </c>
      <c r="F45" s="1573">
        <v>21734</v>
      </c>
      <c r="G45" s="1573">
        <v>88843</v>
      </c>
      <c r="H45" s="1573"/>
      <c r="I45" s="1574"/>
      <c r="J45" s="1574"/>
      <c r="K45" s="1678">
        <f>SUM(C45:J45)</f>
        <v>552323</v>
      </c>
      <c r="L45" s="1573">
        <v>633556</v>
      </c>
    </row>
    <row r="46" spans="1:14" x14ac:dyDescent="0.2">
      <c r="A46" s="1274" t="s">
        <v>811</v>
      </c>
      <c r="B46" s="503">
        <v>2230</v>
      </c>
      <c r="C46" s="1573">
        <v>1125</v>
      </c>
      <c r="D46" s="1573">
        <v>101</v>
      </c>
      <c r="E46" s="1573">
        <v>28937</v>
      </c>
      <c r="F46" s="1573">
        <v>3611</v>
      </c>
      <c r="G46" s="1573"/>
      <c r="H46" s="1573"/>
      <c r="I46" s="1574"/>
      <c r="J46" s="1574"/>
      <c r="K46" s="1678">
        <f>SUM(C46:J46)</f>
        <v>33774</v>
      </c>
      <c r="L46" s="1573">
        <v>42425</v>
      </c>
    </row>
    <row r="47" spans="1:14" ht="12.75" customHeight="1" thickBot="1" x14ac:dyDescent="0.25">
      <c r="A47" s="1380" t="s">
        <v>557</v>
      </c>
      <c r="B47" s="1381" t="s">
        <v>32</v>
      </c>
      <c r="C47" s="1674">
        <f>SUM(C44:C46)</f>
        <v>285009</v>
      </c>
      <c r="D47" s="1674">
        <f t="shared" ref="D47:K47" si="4">SUM(D44:D46)</f>
        <v>56881</v>
      </c>
      <c r="E47" s="1674">
        <f t="shared" si="4"/>
        <v>309226</v>
      </c>
      <c r="F47" s="1674">
        <f t="shared" si="4"/>
        <v>29389</v>
      </c>
      <c r="G47" s="1674">
        <f t="shared" si="4"/>
        <v>89884</v>
      </c>
      <c r="H47" s="1674">
        <f t="shared" si="4"/>
        <v>239</v>
      </c>
      <c r="I47" s="1674">
        <f t="shared" si="4"/>
        <v>0</v>
      </c>
      <c r="J47" s="1674">
        <f t="shared" si="4"/>
        <v>0</v>
      </c>
      <c r="K47" s="1674">
        <f t="shared" si="4"/>
        <v>770628</v>
      </c>
      <c r="L47" s="1674">
        <f>SUM(L44:L46)</f>
        <v>918225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44362</v>
      </c>
      <c r="F49" s="1586">
        <v>528</v>
      </c>
      <c r="G49" s="1586"/>
      <c r="H49" s="1586">
        <v>5072</v>
      </c>
      <c r="I49" s="1574"/>
      <c r="J49" s="1574"/>
      <c r="K49" s="1678">
        <f>SUM(C49:J49)</f>
        <v>49962</v>
      </c>
      <c r="L49" s="1586">
        <v>73450</v>
      </c>
    </row>
    <row r="50" spans="1:14" x14ac:dyDescent="0.2">
      <c r="A50" s="1274" t="s">
        <v>813</v>
      </c>
      <c r="B50" s="503">
        <v>2320</v>
      </c>
      <c r="C50" s="1573">
        <v>174180</v>
      </c>
      <c r="D50" s="1573">
        <v>39814</v>
      </c>
      <c r="E50" s="1573">
        <v>269</v>
      </c>
      <c r="F50" s="1573">
        <v>524</v>
      </c>
      <c r="G50" s="1573"/>
      <c r="H50" s="1573">
        <v>2602</v>
      </c>
      <c r="I50" s="1574"/>
      <c r="J50" s="1574"/>
      <c r="K50" s="1678">
        <f>SUM(C50:J50)</f>
        <v>217389</v>
      </c>
      <c r="L50" s="1573">
        <v>220029</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174180</v>
      </c>
      <c r="D53" s="1674">
        <f t="shared" ref="D53:L53" si="5">SUM(D49:D52)</f>
        <v>39814</v>
      </c>
      <c r="E53" s="1674">
        <f t="shared" si="5"/>
        <v>44631</v>
      </c>
      <c r="F53" s="1674">
        <f t="shared" si="5"/>
        <v>1052</v>
      </c>
      <c r="G53" s="1674">
        <f t="shared" si="5"/>
        <v>0</v>
      </c>
      <c r="H53" s="1674">
        <f t="shared" si="5"/>
        <v>7674</v>
      </c>
      <c r="I53" s="1674">
        <f t="shared" si="5"/>
        <v>0</v>
      </c>
      <c r="J53" s="1674">
        <f t="shared" si="5"/>
        <v>0</v>
      </c>
      <c r="K53" s="1674">
        <f t="shared" si="5"/>
        <v>267351</v>
      </c>
      <c r="L53" s="1674">
        <f t="shared" si="5"/>
        <v>293479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634372</v>
      </c>
      <c r="D55" s="1586">
        <v>136724</v>
      </c>
      <c r="E55" s="1586">
        <v>16584</v>
      </c>
      <c r="F55" s="1586">
        <v>3817</v>
      </c>
      <c r="G55" s="1586">
        <v>13294</v>
      </c>
      <c r="H55" s="1586">
        <v>730</v>
      </c>
      <c r="I55" s="1574"/>
      <c r="J55" s="1574"/>
      <c r="K55" s="1678">
        <f>SUM(C55:J55)</f>
        <v>805521</v>
      </c>
      <c r="L55" s="1586">
        <v>813739</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634372</v>
      </c>
      <c r="D57" s="1679">
        <f t="shared" ref="D57:K57" si="6">SUM(D55:D56)</f>
        <v>136724</v>
      </c>
      <c r="E57" s="1679">
        <f t="shared" si="6"/>
        <v>16584</v>
      </c>
      <c r="F57" s="1679">
        <f t="shared" si="6"/>
        <v>3817</v>
      </c>
      <c r="G57" s="1679">
        <f t="shared" si="6"/>
        <v>13294</v>
      </c>
      <c r="H57" s="1679">
        <f t="shared" si="6"/>
        <v>730</v>
      </c>
      <c r="I57" s="1679">
        <f t="shared" si="6"/>
        <v>0</v>
      </c>
      <c r="J57" s="1679">
        <f t="shared" si="6"/>
        <v>0</v>
      </c>
      <c r="K57" s="1679">
        <f t="shared" si="6"/>
        <v>805521</v>
      </c>
      <c r="L57" s="1674">
        <f>SUM(L55:L56)</f>
        <v>813739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114495</v>
      </c>
      <c r="D59" s="1586">
        <v>18021</v>
      </c>
      <c r="E59" s="1586">
        <v>304</v>
      </c>
      <c r="F59" s="1586">
        <v>124</v>
      </c>
      <c r="G59" s="1586"/>
      <c r="H59" s="1586">
        <v>390</v>
      </c>
      <c r="I59" s="1574"/>
      <c r="J59" s="1574"/>
      <c r="K59" s="1678">
        <f t="shared" ref="K59:K64" si="7">SUM(C59:J59)</f>
        <v>133334</v>
      </c>
      <c r="L59" s="1586">
        <v>135777</v>
      </c>
      <c r="M59" s="501"/>
      <c r="N59" s="501"/>
    </row>
    <row r="60" spans="1:14" s="321" customFormat="1" x14ac:dyDescent="0.2">
      <c r="A60" s="1274" t="s">
        <v>460</v>
      </c>
      <c r="B60" s="503">
        <v>2520</v>
      </c>
      <c r="C60" s="1573">
        <v>89590</v>
      </c>
      <c r="D60" s="1573">
        <v>13361</v>
      </c>
      <c r="E60" s="1573">
        <v>2586</v>
      </c>
      <c r="F60" s="1573">
        <v>2526</v>
      </c>
      <c r="G60" s="1573">
        <v>2027</v>
      </c>
      <c r="H60" s="1573"/>
      <c r="I60" s="1574"/>
      <c r="J60" s="1574"/>
      <c r="K60" s="1678">
        <f t="shared" si="7"/>
        <v>110090</v>
      </c>
      <c r="L60" s="1573">
        <v>115615</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1148</v>
      </c>
      <c r="M62" s="501"/>
      <c r="N62" s="501"/>
    </row>
    <row r="63" spans="1:14" s="501" customFormat="1" x14ac:dyDescent="0.2">
      <c r="A63" s="1274" t="s">
        <v>100</v>
      </c>
      <c r="B63" s="503">
        <v>2560</v>
      </c>
      <c r="C63" s="1573">
        <v>277822</v>
      </c>
      <c r="D63" s="1573">
        <v>55255</v>
      </c>
      <c r="E63" s="1573">
        <v>11519</v>
      </c>
      <c r="F63" s="1573">
        <v>310537</v>
      </c>
      <c r="G63" s="1573">
        <v>8790</v>
      </c>
      <c r="H63" s="1573">
        <v>152</v>
      </c>
      <c r="I63" s="1574"/>
      <c r="J63" s="1574"/>
      <c r="K63" s="1678">
        <f t="shared" si="7"/>
        <v>664075</v>
      </c>
      <c r="L63" s="1573">
        <v>776274</v>
      </c>
    </row>
    <row r="64" spans="1:14" s="501" customFormat="1" x14ac:dyDescent="0.2">
      <c r="A64" s="1279" t="s">
        <v>101</v>
      </c>
      <c r="B64" s="513">
        <v>2570</v>
      </c>
      <c r="C64" s="1586"/>
      <c r="D64" s="1586"/>
      <c r="E64" s="1586">
        <v>12899</v>
      </c>
      <c r="F64" s="1586"/>
      <c r="G64" s="1586"/>
      <c r="H64" s="1586"/>
      <c r="I64" s="1574"/>
      <c r="J64" s="1574"/>
      <c r="K64" s="1678">
        <f t="shared" si="7"/>
        <v>12899</v>
      </c>
      <c r="L64" s="1586">
        <v>6700</v>
      </c>
    </row>
    <row r="65" spans="1:14" s="321" customFormat="1" ht="12.75" customHeight="1" thickBot="1" x14ac:dyDescent="0.25">
      <c r="A65" s="1380" t="s">
        <v>714</v>
      </c>
      <c r="B65" s="1381" t="s">
        <v>35</v>
      </c>
      <c r="C65" s="1674">
        <f>SUM(C59:C64)</f>
        <v>481907</v>
      </c>
      <c r="D65" s="1674">
        <f t="shared" ref="D65:L65" si="8">SUM(D59:D64)</f>
        <v>86637</v>
      </c>
      <c r="E65" s="1674">
        <f t="shared" si="8"/>
        <v>27308</v>
      </c>
      <c r="F65" s="1674">
        <f t="shared" si="8"/>
        <v>313187</v>
      </c>
      <c r="G65" s="1674">
        <f t="shared" si="8"/>
        <v>10817</v>
      </c>
      <c r="H65" s="1674">
        <f t="shared" si="8"/>
        <v>542</v>
      </c>
      <c r="I65" s="1674">
        <f t="shared" si="8"/>
        <v>0</v>
      </c>
      <c r="J65" s="1674">
        <f t="shared" si="8"/>
        <v>0</v>
      </c>
      <c r="K65" s="1674">
        <f t="shared" si="8"/>
        <v>920398</v>
      </c>
      <c r="L65" s="1674">
        <f t="shared" si="8"/>
        <v>1035514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v>32189</v>
      </c>
      <c r="D70" s="1573">
        <v>7321</v>
      </c>
      <c r="E70" s="1573">
        <v>10503</v>
      </c>
      <c r="F70" s="1573">
        <v>42</v>
      </c>
      <c r="G70" s="1573"/>
      <c r="H70" s="1573"/>
      <c r="I70" s="1574"/>
      <c r="J70" s="1574"/>
      <c r="K70" s="1678">
        <f>SUM(C70:J70)</f>
        <v>50055</v>
      </c>
      <c r="L70" s="1573">
        <v>64500</v>
      </c>
      <c r="M70" s="501"/>
      <c r="N70" s="501"/>
    </row>
    <row r="71" spans="1:14" s="321" customFormat="1" x14ac:dyDescent="0.2">
      <c r="A71" s="1274" t="s">
        <v>401</v>
      </c>
      <c r="B71" s="503">
        <v>2660</v>
      </c>
      <c r="C71" s="1573">
        <v>63332</v>
      </c>
      <c r="D71" s="1573">
        <v>11022</v>
      </c>
      <c r="E71" s="1573">
        <v>42516</v>
      </c>
      <c r="F71" s="1573">
        <v>1961</v>
      </c>
      <c r="G71" s="1573">
        <v>2716</v>
      </c>
      <c r="H71" s="1573"/>
      <c r="I71" s="1574"/>
      <c r="J71" s="1574"/>
      <c r="K71" s="1678">
        <f>SUM(C71:J71)</f>
        <v>121547</v>
      </c>
      <c r="L71" s="1573">
        <v>142235</v>
      </c>
      <c r="M71" s="501"/>
      <c r="N71" s="501"/>
    </row>
    <row r="72" spans="1:14" s="321" customFormat="1" ht="12.75" customHeight="1" thickBot="1" x14ac:dyDescent="0.25">
      <c r="A72" s="1380" t="s">
        <v>37</v>
      </c>
      <c r="B72" s="1383" t="s">
        <v>36</v>
      </c>
      <c r="C72" s="1674">
        <f>SUM(C67:C71)</f>
        <v>95521</v>
      </c>
      <c r="D72" s="1674">
        <f t="shared" ref="D72:K72" si="9">SUM(D67:D71)</f>
        <v>18343</v>
      </c>
      <c r="E72" s="1674">
        <f t="shared" si="9"/>
        <v>53019</v>
      </c>
      <c r="F72" s="1674">
        <f t="shared" si="9"/>
        <v>2003</v>
      </c>
      <c r="G72" s="1674">
        <f t="shared" si="9"/>
        <v>2716</v>
      </c>
      <c r="H72" s="1674">
        <f t="shared" si="9"/>
        <v>0</v>
      </c>
      <c r="I72" s="1674">
        <f t="shared" si="9"/>
        <v>0</v>
      </c>
      <c r="J72" s="1674">
        <f t="shared" si="9"/>
        <v>0</v>
      </c>
      <c r="K72" s="1674">
        <f t="shared" si="9"/>
        <v>171602</v>
      </c>
      <c r="L72" s="1674">
        <f>SUM(L67:L71)</f>
        <v>206735</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2378288</v>
      </c>
      <c r="D74" s="1681">
        <f t="shared" ref="D74:K74" si="10">SUM(D42,D47,D53,D57,D65,D72,D73)</f>
        <v>475718</v>
      </c>
      <c r="E74" s="1681">
        <f t="shared" si="10"/>
        <v>534778</v>
      </c>
      <c r="F74" s="1681">
        <f t="shared" si="10"/>
        <v>360236</v>
      </c>
      <c r="G74" s="1681">
        <f t="shared" si="10"/>
        <v>121915</v>
      </c>
      <c r="H74" s="1681">
        <f t="shared" si="10"/>
        <v>9929</v>
      </c>
      <c r="I74" s="1681">
        <f t="shared" si="10"/>
        <v>0</v>
      </c>
      <c r="J74" s="1681">
        <f t="shared" si="10"/>
        <v>0</v>
      </c>
      <c r="K74" s="1681">
        <f t="shared" si="10"/>
        <v>3880864</v>
      </c>
      <c r="L74" s="1681">
        <f>SUM(L42,L47,L53,L57,L65,L72,L73)</f>
        <v>4228754</v>
      </c>
    </row>
    <row r="75" spans="1:14" s="254" customFormat="1" ht="15.75" customHeight="1" thickTop="1" thickBot="1" x14ac:dyDescent="0.25">
      <c r="A75" s="1348" t="s">
        <v>47</v>
      </c>
      <c r="B75" s="1349" t="s">
        <v>571</v>
      </c>
      <c r="C75" s="1649">
        <v>6685</v>
      </c>
      <c r="D75" s="1649">
        <v>1327</v>
      </c>
      <c r="E75" s="1649">
        <v>69624</v>
      </c>
      <c r="F75" s="1649">
        <v>839</v>
      </c>
      <c r="G75" s="1649"/>
      <c r="H75" s="1649"/>
      <c r="I75" s="1627"/>
      <c r="J75" s="1627"/>
      <c r="K75" s="1674">
        <f>SUM(C75:J75)</f>
        <v>78475</v>
      </c>
      <c r="L75" s="1651">
        <v>83731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210</v>
      </c>
      <c r="F78" s="1673"/>
      <c r="G78" s="1673"/>
      <c r="H78" s="1682"/>
      <c r="I78" s="1582"/>
      <c r="J78" s="1582"/>
      <c r="K78" s="1672">
        <f t="shared" ref="K78:K83" si="11">SUM(C78:J78)</f>
        <v>210</v>
      </c>
      <c r="L78" s="1586">
        <v>0</v>
      </c>
    </row>
    <row r="79" spans="1:14" x14ac:dyDescent="0.2">
      <c r="A79" s="1274" t="s">
        <v>301</v>
      </c>
      <c r="B79" s="503">
        <v>4120</v>
      </c>
      <c r="C79" s="1673"/>
      <c r="D79" s="1673"/>
      <c r="E79" s="1573">
        <v>262538</v>
      </c>
      <c r="F79" s="1673"/>
      <c r="G79" s="1673"/>
      <c r="H79" s="1573"/>
      <c r="I79" s="1582"/>
      <c r="J79" s="1582"/>
      <c r="K79" s="1672">
        <f t="shared" si="11"/>
        <v>262538</v>
      </c>
      <c r="L79" s="1573">
        <v>251550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v>275</v>
      </c>
      <c r="F83" s="1673"/>
      <c r="G83" s="1673"/>
      <c r="H83" s="1573"/>
      <c r="I83" s="1582"/>
      <c r="J83" s="1582"/>
      <c r="K83" s="1672">
        <f t="shared" si="11"/>
        <v>275</v>
      </c>
      <c r="L83" s="1573">
        <v>0</v>
      </c>
    </row>
    <row r="84" spans="1:12" ht="13.5" thickBot="1" x14ac:dyDescent="0.25">
      <c r="A84" s="1380" t="s">
        <v>1468</v>
      </c>
      <c r="B84" s="1385">
        <v>4100</v>
      </c>
      <c r="C84" s="1673"/>
      <c r="D84" s="1673"/>
      <c r="E84" s="1674">
        <f>SUM(E78:E83)</f>
        <v>263023</v>
      </c>
      <c r="F84" s="1673"/>
      <c r="G84" s="1673"/>
      <c r="H84" s="1674">
        <f>SUM(H78:H83)</f>
        <v>0</v>
      </c>
      <c r="I84" s="1582"/>
      <c r="J84" s="1582"/>
      <c r="K84" s="1674">
        <f>SUM(K78:K83)</f>
        <v>263023</v>
      </c>
      <c r="L84" s="1674">
        <f>SUM(L78:L83)</f>
        <v>251550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512193</v>
      </c>
      <c r="I86" s="1582"/>
      <c r="J86" s="1582"/>
      <c r="K86" s="1681">
        <f t="shared" ref="K86:K98" si="12">H86</f>
        <v>512193</v>
      </c>
      <c r="L86" s="1626">
        <v>575275</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567488</v>
      </c>
      <c r="I88" s="1582"/>
      <c r="J88" s="1582"/>
      <c r="K88" s="1681">
        <f t="shared" si="12"/>
        <v>567488</v>
      </c>
      <c r="L88" s="1626">
        <v>570000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1079681</v>
      </c>
      <c r="I92" s="1582"/>
      <c r="J92" s="1582"/>
      <c r="K92" s="1681">
        <f t="shared" si="12"/>
        <v>1079681</v>
      </c>
      <c r="L92" s="1674">
        <f>SUM(L85:L91)</f>
        <v>1145275</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263023</v>
      </c>
      <c r="F102" s="1673"/>
      <c r="G102" s="1673"/>
      <c r="H102" s="1681">
        <f>SUM(H84,H92,H100,H101)</f>
        <v>1079681</v>
      </c>
      <c r="I102" s="1582"/>
      <c r="J102" s="1582"/>
      <c r="K102" s="1681">
        <f>SUM(K84,K92,K100,K101)</f>
        <v>1342704</v>
      </c>
      <c r="L102" s="1681">
        <f>SUM(L84,L92,L100,L101)</f>
        <v>1396825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9922125</v>
      </c>
      <c r="D114" s="1674">
        <f t="shared" ref="D114:K114" si="13">SUM(D33,D74,D75,D102,D112,D113)</f>
        <v>2041597</v>
      </c>
      <c r="E114" s="1674">
        <f t="shared" si="13"/>
        <v>1005661</v>
      </c>
      <c r="F114" s="1674">
        <f t="shared" si="13"/>
        <v>559258</v>
      </c>
      <c r="G114" s="1674">
        <f t="shared" si="13"/>
        <v>148447</v>
      </c>
      <c r="H114" s="1674">
        <f>SUM(H33,H74,H75,H102,H112,H113)</f>
        <v>1270358</v>
      </c>
      <c r="I114" s="1674">
        <f t="shared" si="13"/>
        <v>0</v>
      </c>
      <c r="J114" s="1674">
        <f t="shared" si="13"/>
        <v>0</v>
      </c>
      <c r="K114" s="1674">
        <f t="shared" si="13"/>
        <v>14947446</v>
      </c>
      <c r="L114" s="1674">
        <f>SUM(L33,L74,L75,L102,L112,L113)</f>
        <v>15592191</v>
      </c>
    </row>
    <row r="115" spans="1:14" ht="13.5" thickTop="1" x14ac:dyDescent="0.2">
      <c r="A115" s="2258" t="s">
        <v>989</v>
      </c>
      <c r="B115" s="2259"/>
      <c r="C115" s="1675"/>
      <c r="D115" s="1675"/>
      <c r="E115" s="1675"/>
      <c r="F115" s="1675"/>
      <c r="G115" s="1675"/>
      <c r="H115" s="1675"/>
      <c r="I115" s="1675"/>
      <c r="J115" s="1675"/>
      <c r="K115" s="1689">
        <f>'Revenues 9-14'!C268-'Expenditures 15-22'!K114</f>
        <v>1103530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3" t="s">
        <v>293</v>
      </c>
      <c r="B117" s="226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16325</v>
      </c>
      <c r="D122" s="1573">
        <v>3141</v>
      </c>
      <c r="E122" s="1573"/>
      <c r="F122" s="1573"/>
      <c r="G122" s="1573"/>
      <c r="H122" s="1573"/>
      <c r="I122" s="1574"/>
      <c r="J122" s="1574"/>
      <c r="K122" s="1674">
        <f>SUM(C122:J122)</f>
        <v>19466</v>
      </c>
      <c r="L122" s="1573">
        <v>19502</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867165</v>
      </c>
      <c r="D124" s="1573">
        <v>128572</v>
      </c>
      <c r="E124" s="1573">
        <v>308235</v>
      </c>
      <c r="F124" s="1573">
        <v>336899</v>
      </c>
      <c r="G124" s="1573">
        <v>441491</v>
      </c>
      <c r="H124" s="1573"/>
      <c r="I124" s="1574"/>
      <c r="J124" s="1574"/>
      <c r="K124" s="1674">
        <f>SUM(C124:J124)</f>
        <v>2082362</v>
      </c>
      <c r="L124" s="1573">
        <v>2470661</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883490</v>
      </c>
      <c r="D127" s="1674">
        <f t="shared" ref="D127:L127" si="14">SUM(D122:D126)</f>
        <v>131713</v>
      </c>
      <c r="E127" s="1674">
        <f t="shared" si="14"/>
        <v>308235</v>
      </c>
      <c r="F127" s="1674">
        <f t="shared" si="14"/>
        <v>336899</v>
      </c>
      <c r="G127" s="1674">
        <f t="shared" si="14"/>
        <v>441491</v>
      </c>
      <c r="H127" s="1674">
        <f t="shared" si="14"/>
        <v>0</v>
      </c>
      <c r="I127" s="1674">
        <f t="shared" si="14"/>
        <v>0</v>
      </c>
      <c r="J127" s="1674">
        <f t="shared" si="14"/>
        <v>0</v>
      </c>
      <c r="K127" s="1674">
        <f t="shared" si="14"/>
        <v>2101828</v>
      </c>
      <c r="L127" s="1674">
        <f t="shared" si="14"/>
        <v>2490163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883490</v>
      </c>
      <c r="D129" s="1681">
        <f t="shared" ref="D129:L129" si="15">SUM(D120,D127,D128)</f>
        <v>131713</v>
      </c>
      <c r="E129" s="1681">
        <f t="shared" si="15"/>
        <v>308235</v>
      </c>
      <c r="F129" s="1681">
        <f t="shared" si="15"/>
        <v>336899</v>
      </c>
      <c r="G129" s="1681">
        <f t="shared" si="15"/>
        <v>441491</v>
      </c>
      <c r="H129" s="1681">
        <f t="shared" si="15"/>
        <v>0</v>
      </c>
      <c r="I129" s="1681">
        <f t="shared" si="15"/>
        <v>0</v>
      </c>
      <c r="J129" s="1681">
        <f t="shared" si="15"/>
        <v>0</v>
      </c>
      <c r="K129" s="1681">
        <f t="shared" si="15"/>
        <v>2101828</v>
      </c>
      <c r="L129" s="1681">
        <f t="shared" si="15"/>
        <v>2490163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5" t="s">
        <v>616</v>
      </c>
      <c r="B151" s="2255"/>
      <c r="C151" s="1674">
        <f>SUM(C129,C130,C139,C149,C150)</f>
        <v>883490</v>
      </c>
      <c r="D151" s="1674">
        <f t="shared" ref="D151:K151" si="16">SUM(D129,D130,D139,D149,D150)</f>
        <v>131713</v>
      </c>
      <c r="E151" s="1674">
        <f t="shared" si="16"/>
        <v>308235</v>
      </c>
      <c r="F151" s="1674">
        <f t="shared" si="16"/>
        <v>336899</v>
      </c>
      <c r="G151" s="1674">
        <f t="shared" si="16"/>
        <v>441491</v>
      </c>
      <c r="H151" s="1674">
        <f t="shared" si="16"/>
        <v>0</v>
      </c>
      <c r="I151" s="1674">
        <f t="shared" si="16"/>
        <v>0</v>
      </c>
      <c r="J151" s="1674">
        <f t="shared" si="16"/>
        <v>0</v>
      </c>
      <c r="K151" s="1674">
        <f t="shared" si="16"/>
        <v>2101828</v>
      </c>
      <c r="L151" s="1674">
        <f>SUM(L129,L130,L139,L149,L150)</f>
        <v>2490163</v>
      </c>
    </row>
    <row r="152" spans="1:14" ht="12.75" customHeight="1" thickTop="1" x14ac:dyDescent="0.2">
      <c r="A152" s="2278" t="s">
        <v>1168</v>
      </c>
      <c r="B152" s="2279"/>
      <c r="C152" s="1675"/>
      <c r="D152" s="1675"/>
      <c r="E152" s="1675"/>
      <c r="F152" s="1675"/>
      <c r="G152" s="1675"/>
      <c r="H152" s="1675"/>
      <c r="I152" s="1675"/>
      <c r="J152" s="1673"/>
      <c r="K152" s="1689">
        <f>'Revenues 9-14'!D268-'Expenditures 15-22'!K151</f>
        <v>281779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3" t="s">
        <v>617</v>
      </c>
      <c r="B154" s="226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v>0</v>
      </c>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308771</v>
      </c>
      <c r="I169" s="1673"/>
      <c r="J169" s="1673"/>
      <c r="K169" s="1672">
        <f>SUM(C169:H169)</f>
        <v>308771</v>
      </c>
      <c r="L169" s="1695">
        <v>310000</v>
      </c>
    </row>
    <row r="170" spans="1:14" ht="33.75" customHeight="1" x14ac:dyDescent="0.2">
      <c r="A170" s="543" t="s">
        <v>1651</v>
      </c>
      <c r="B170" s="545" t="s">
        <v>31</v>
      </c>
      <c r="C170" s="1673"/>
      <c r="D170" s="1673"/>
      <c r="E170" s="1673"/>
      <c r="F170" s="1673"/>
      <c r="G170" s="1673"/>
      <c r="H170" s="1646">
        <v>1445000</v>
      </c>
      <c r="I170" s="1673"/>
      <c r="J170" s="1673"/>
      <c r="K170" s="1672">
        <f>SUM(C170:J170)</f>
        <v>1445000</v>
      </c>
      <c r="L170" s="1646">
        <v>1445000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1753771</v>
      </c>
      <c r="I172" s="1684"/>
      <c r="J172" s="1673"/>
      <c r="K172" s="1681">
        <f>SUM(K168,K169,K170,K171)</f>
        <v>1753771</v>
      </c>
      <c r="L172" s="1681">
        <f>SUM(L168,L169,L170,L171)</f>
        <v>1755000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1753771</v>
      </c>
      <c r="I174" s="1684"/>
      <c r="J174" s="1673"/>
      <c r="K174" s="1681">
        <f>SUM(K160,K172,K173)</f>
        <v>1753771</v>
      </c>
      <c r="L174" s="1681">
        <f>SUM(L160,L172,L173)</f>
        <v>1755000</v>
      </c>
    </row>
    <row r="175" spans="1:14" ht="13.5" thickTop="1" x14ac:dyDescent="0.2">
      <c r="A175" s="2258" t="s">
        <v>989</v>
      </c>
      <c r="B175" s="2259"/>
      <c r="C175" s="1673"/>
      <c r="D175" s="1673"/>
      <c r="E175" s="1673"/>
      <c r="F175" s="1673"/>
      <c r="G175" s="1673"/>
      <c r="H175" s="1675"/>
      <c r="I175" s="1673"/>
      <c r="J175" s="1673"/>
      <c r="K175" s="1689">
        <f>'Revenues 9-14'!E268-'Expenditures 15-22'!K174</f>
        <v>172441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448350</v>
      </c>
      <c r="D182" s="1573">
        <v>49115</v>
      </c>
      <c r="E182" s="1573">
        <v>85924</v>
      </c>
      <c r="F182" s="1573">
        <v>112168</v>
      </c>
      <c r="G182" s="1573">
        <v>183213</v>
      </c>
      <c r="H182" s="1573">
        <v>67</v>
      </c>
      <c r="I182" s="1574"/>
      <c r="J182" s="1574"/>
      <c r="K182" s="1672">
        <f>SUM(C182:J182)</f>
        <v>878837</v>
      </c>
      <c r="L182" s="1573">
        <v>947943</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448350</v>
      </c>
      <c r="D184" s="1681">
        <f t="shared" ref="D184:J184" si="17">SUM(D180,D182,D183)</f>
        <v>49115</v>
      </c>
      <c r="E184" s="1681">
        <f t="shared" si="17"/>
        <v>85924</v>
      </c>
      <c r="F184" s="1681">
        <f t="shared" si="17"/>
        <v>112168</v>
      </c>
      <c r="G184" s="1681">
        <f t="shared" si="17"/>
        <v>183213</v>
      </c>
      <c r="H184" s="1681">
        <f t="shared" si="17"/>
        <v>67</v>
      </c>
      <c r="I184" s="1681">
        <f t="shared" si="17"/>
        <v>0</v>
      </c>
      <c r="J184" s="1681">
        <f t="shared" si="17"/>
        <v>0</v>
      </c>
      <c r="K184" s="1681">
        <f>SUM(K180,K182,K183)</f>
        <v>878837</v>
      </c>
      <c r="L184" s="1681">
        <f>SUM(L180, L182:L183)</f>
        <v>947943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448350</v>
      </c>
      <c r="D210" s="1674">
        <f>SUM(D184,D185)</f>
        <v>49115</v>
      </c>
      <c r="E210" s="1674">
        <f>SUM(E184,E185,E196)</f>
        <v>85924</v>
      </c>
      <c r="F210" s="1674">
        <f>SUM(F184,F185)</f>
        <v>112168</v>
      </c>
      <c r="G210" s="1674">
        <f>SUM(G184,G185)</f>
        <v>183213</v>
      </c>
      <c r="H210" s="1674">
        <f>SUM(H184,H185,H196,H208,H209)</f>
        <v>67</v>
      </c>
      <c r="I210" s="1674">
        <f>SUM(I184,I185)</f>
        <v>0</v>
      </c>
      <c r="J210" s="1674">
        <f>SUM(J184,J185)</f>
        <v>0</v>
      </c>
      <c r="K210" s="1672">
        <f>SUM(K184,K185,K196,K208,K209)</f>
        <v>878837</v>
      </c>
      <c r="L210" s="1674">
        <f>SUM(L184,L185,L196,L208,L209)</f>
        <v>947943</v>
      </c>
    </row>
    <row r="211" spans="1:14" ht="13.5" thickTop="1" x14ac:dyDescent="0.2">
      <c r="A211" s="2258" t="s">
        <v>989</v>
      </c>
      <c r="B211" s="2259"/>
      <c r="C211" s="1675"/>
      <c r="D211" s="1675"/>
      <c r="E211" s="1675"/>
      <c r="F211" s="1675"/>
      <c r="G211" s="1675"/>
      <c r="H211" s="1675"/>
      <c r="I211" s="1673"/>
      <c r="J211" s="1673"/>
      <c r="K211" s="1689">
        <f>'Revenues 9-14'!F268-'Expenditures 15-22'!K210</f>
        <v>37590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0" t="s">
        <v>959</v>
      </c>
      <c r="B213" s="228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v>0</v>
      </c>
    </row>
    <row r="216" spans="1:14" x14ac:dyDescent="0.2">
      <c r="A216" s="1274" t="s">
        <v>162</v>
      </c>
      <c r="B216" s="503" t="s">
        <v>961</v>
      </c>
      <c r="C216" s="1673"/>
      <c r="D216" s="1574">
        <v>73713</v>
      </c>
      <c r="E216" s="1673"/>
      <c r="F216" s="1673"/>
      <c r="G216" s="1673"/>
      <c r="H216" s="1673"/>
      <c r="I216" s="1673"/>
      <c r="J216" s="1673"/>
      <c r="K216" s="1672">
        <f t="shared" ref="K216:K228" si="19">D216</f>
        <v>73713</v>
      </c>
      <c r="L216" s="1573">
        <v>77206</v>
      </c>
    </row>
    <row r="217" spans="1:14" x14ac:dyDescent="0.2">
      <c r="A217" s="1274" t="s">
        <v>163</v>
      </c>
      <c r="B217" s="503">
        <v>1200</v>
      </c>
      <c r="C217" s="1673"/>
      <c r="D217" s="1573">
        <v>61696</v>
      </c>
      <c r="E217" s="1673"/>
      <c r="F217" s="1673"/>
      <c r="G217" s="1673"/>
      <c r="H217" s="1673"/>
      <c r="I217" s="1673"/>
      <c r="J217" s="1673"/>
      <c r="K217" s="1672">
        <f t="shared" si="19"/>
        <v>61696</v>
      </c>
      <c r="L217" s="1573">
        <v>61192</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39817</v>
      </c>
      <c r="E219" s="1673"/>
      <c r="F219" s="1673"/>
      <c r="G219" s="1673"/>
      <c r="H219" s="1673"/>
      <c r="I219" s="1673"/>
      <c r="J219" s="1673"/>
      <c r="K219" s="1672">
        <f t="shared" si="19"/>
        <v>39817</v>
      </c>
      <c r="L219" s="1573">
        <v>41380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8675</v>
      </c>
      <c r="E222" s="1673"/>
      <c r="F222" s="1673"/>
      <c r="G222" s="1673"/>
      <c r="H222" s="1673"/>
      <c r="I222" s="1673"/>
      <c r="J222" s="1673"/>
      <c r="K222" s="1672">
        <f t="shared" si="19"/>
        <v>8675</v>
      </c>
      <c r="L222" s="1573">
        <v>8136</v>
      </c>
    </row>
    <row r="223" spans="1:14" x14ac:dyDescent="0.2">
      <c r="A223" s="1274" t="s">
        <v>957</v>
      </c>
      <c r="B223" s="503">
        <v>1500</v>
      </c>
      <c r="C223" s="1673"/>
      <c r="D223" s="1573">
        <v>34375</v>
      </c>
      <c r="E223" s="1673"/>
      <c r="F223" s="1673"/>
      <c r="G223" s="1673"/>
      <c r="H223" s="1673"/>
      <c r="I223" s="1673"/>
      <c r="J223" s="1673"/>
      <c r="K223" s="1672">
        <f t="shared" si="19"/>
        <v>34375</v>
      </c>
      <c r="L223" s="1573">
        <v>35543</v>
      </c>
    </row>
    <row r="224" spans="1:14" x14ac:dyDescent="0.2">
      <c r="A224" s="1274" t="s">
        <v>958</v>
      </c>
      <c r="B224" s="503">
        <v>1600</v>
      </c>
      <c r="C224" s="1673"/>
      <c r="D224" s="1573">
        <v>617</v>
      </c>
      <c r="E224" s="1673"/>
      <c r="F224" s="1673"/>
      <c r="G224" s="1673"/>
      <c r="H224" s="1673"/>
      <c r="I224" s="1673"/>
      <c r="J224" s="1673"/>
      <c r="K224" s="1672">
        <f t="shared" si="19"/>
        <v>617</v>
      </c>
      <c r="L224" s="1573">
        <v>760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1695</v>
      </c>
      <c r="E226" s="1673"/>
      <c r="F226" s="1673"/>
      <c r="G226" s="1673"/>
      <c r="H226" s="1673"/>
      <c r="I226" s="1673"/>
      <c r="J226" s="1673"/>
      <c r="K226" s="1672">
        <f t="shared" si="19"/>
        <v>1695</v>
      </c>
      <c r="L226" s="1573">
        <v>2193</v>
      </c>
    </row>
    <row r="227" spans="1:12" x14ac:dyDescent="0.2">
      <c r="A227" s="1274" t="s">
        <v>1078</v>
      </c>
      <c r="B227" s="503">
        <v>1800</v>
      </c>
      <c r="C227" s="1673"/>
      <c r="D227" s="1573">
        <v>5691</v>
      </c>
      <c r="E227" s="1673"/>
      <c r="F227" s="1673"/>
      <c r="G227" s="1673"/>
      <c r="H227" s="1673"/>
      <c r="I227" s="1673"/>
      <c r="J227" s="1673"/>
      <c r="K227" s="1672">
        <f t="shared" si="19"/>
        <v>5691</v>
      </c>
      <c r="L227" s="1573">
        <v>6040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226279</v>
      </c>
      <c r="E229" s="1673"/>
      <c r="F229" s="1673"/>
      <c r="G229" s="1673"/>
      <c r="H229" s="1673"/>
      <c r="I229" s="1673"/>
      <c r="J229" s="1673"/>
      <c r="K229" s="1674">
        <f>SUM(K215:K228)</f>
        <v>226279</v>
      </c>
      <c r="L229" s="1674">
        <f>SUM(L215:L228)</f>
        <v>232450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15882</v>
      </c>
      <c r="E232" s="1673"/>
      <c r="F232" s="1673"/>
      <c r="G232" s="1673"/>
      <c r="H232" s="1673"/>
      <c r="I232" s="1673"/>
      <c r="J232" s="1673"/>
      <c r="K232" s="1672">
        <f t="shared" ref="K232:K237" si="20">D232</f>
        <v>15882</v>
      </c>
      <c r="L232" s="1573">
        <v>16078</v>
      </c>
    </row>
    <row r="233" spans="1:12" x14ac:dyDescent="0.2">
      <c r="A233" s="1274" t="s">
        <v>1081</v>
      </c>
      <c r="B233" s="503">
        <v>2120</v>
      </c>
      <c r="C233" s="1673"/>
      <c r="D233" s="1573">
        <v>11892</v>
      </c>
      <c r="E233" s="1673"/>
      <c r="F233" s="1673"/>
      <c r="G233" s="1673"/>
      <c r="H233" s="1673"/>
      <c r="I233" s="1673"/>
      <c r="J233" s="1673"/>
      <c r="K233" s="1672">
        <f t="shared" si="20"/>
        <v>11892</v>
      </c>
      <c r="L233" s="1573">
        <v>11811</v>
      </c>
    </row>
    <row r="234" spans="1:12" x14ac:dyDescent="0.2">
      <c r="A234" s="1274" t="s">
        <v>196</v>
      </c>
      <c r="B234" s="503">
        <v>2130</v>
      </c>
      <c r="C234" s="1673"/>
      <c r="D234" s="1573">
        <v>4201</v>
      </c>
      <c r="E234" s="1673"/>
      <c r="F234" s="1673"/>
      <c r="G234" s="1673"/>
      <c r="H234" s="1673"/>
      <c r="I234" s="1673"/>
      <c r="J234" s="1673"/>
      <c r="K234" s="1672">
        <f t="shared" si="20"/>
        <v>4201</v>
      </c>
      <c r="L234" s="1573">
        <v>5263</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298</v>
      </c>
      <c r="E236" s="1673"/>
      <c r="F236" s="1673"/>
      <c r="G236" s="1673"/>
      <c r="H236" s="1673"/>
      <c r="I236" s="1673"/>
      <c r="J236" s="1673"/>
      <c r="K236" s="1672">
        <f t="shared" si="20"/>
        <v>298</v>
      </c>
      <c r="L236" s="1573">
        <v>303</v>
      </c>
    </row>
    <row r="237" spans="1:12" x14ac:dyDescent="0.2">
      <c r="A237" s="1274" t="s">
        <v>164</v>
      </c>
      <c r="B237" s="503">
        <v>2190</v>
      </c>
      <c r="C237" s="1673"/>
      <c r="D237" s="1573"/>
      <c r="E237" s="1673"/>
      <c r="F237" s="1673"/>
      <c r="G237" s="1673"/>
      <c r="H237" s="1673"/>
      <c r="I237" s="1673"/>
      <c r="J237" s="1673"/>
      <c r="K237" s="1672">
        <f t="shared" si="20"/>
        <v>0</v>
      </c>
      <c r="L237" s="1573">
        <v>35</v>
      </c>
    </row>
    <row r="238" spans="1:12" ht="12.75" customHeight="1" thickBot="1" x14ac:dyDescent="0.25">
      <c r="A238" s="1380" t="s">
        <v>556</v>
      </c>
      <c r="B238" s="1383" t="s">
        <v>711</v>
      </c>
      <c r="C238" s="1673"/>
      <c r="D238" s="1674">
        <f>SUM(D232:D237)</f>
        <v>32273</v>
      </c>
      <c r="E238" s="1673"/>
      <c r="F238" s="1673"/>
      <c r="G238" s="1673"/>
      <c r="H238" s="1673"/>
      <c r="I238" s="1673"/>
      <c r="J238" s="1673"/>
      <c r="K238" s="1674">
        <f>SUM(K232:K237)</f>
        <v>32273</v>
      </c>
      <c r="L238" s="1674">
        <f>SUM(L232:L237)</f>
        <v>33490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3052</v>
      </c>
      <c r="E240" s="1673"/>
      <c r="F240" s="1673"/>
      <c r="G240" s="1673"/>
      <c r="H240" s="1673"/>
      <c r="I240" s="1673"/>
      <c r="J240" s="1673"/>
      <c r="K240" s="1678">
        <f>D240</f>
        <v>3052</v>
      </c>
      <c r="L240" s="1586">
        <v>2502</v>
      </c>
    </row>
    <row r="241" spans="1:12" x14ac:dyDescent="0.2">
      <c r="A241" s="1274" t="s">
        <v>810</v>
      </c>
      <c r="B241" s="503">
        <v>2220</v>
      </c>
      <c r="C241" s="1673"/>
      <c r="D241" s="1573">
        <v>15492</v>
      </c>
      <c r="E241" s="1673"/>
      <c r="F241" s="1673"/>
      <c r="G241" s="1673"/>
      <c r="H241" s="1673"/>
      <c r="I241" s="1673"/>
      <c r="J241" s="1673"/>
      <c r="K241" s="1678">
        <f>D241</f>
        <v>15492</v>
      </c>
      <c r="L241" s="1573">
        <v>16360</v>
      </c>
    </row>
    <row r="242" spans="1:12" x14ac:dyDescent="0.2">
      <c r="A242" s="1274" t="s">
        <v>811</v>
      </c>
      <c r="B242" s="503">
        <v>2230</v>
      </c>
      <c r="C242" s="1673"/>
      <c r="D242" s="1573">
        <v>15</v>
      </c>
      <c r="E242" s="1673"/>
      <c r="F242" s="1673"/>
      <c r="G242" s="1673"/>
      <c r="H242" s="1673"/>
      <c r="I242" s="1673"/>
      <c r="J242" s="1673"/>
      <c r="K242" s="1678">
        <f>D242</f>
        <v>15</v>
      </c>
      <c r="L242" s="1573">
        <v>90</v>
      </c>
    </row>
    <row r="243" spans="1:12" ht="12.75" customHeight="1" thickBot="1" x14ac:dyDescent="0.25">
      <c r="A243" s="1396" t="s">
        <v>557</v>
      </c>
      <c r="B243" s="1397">
        <v>2200</v>
      </c>
      <c r="C243" s="1673"/>
      <c r="D243" s="1674">
        <f>SUM(D240:D242)</f>
        <v>18559</v>
      </c>
      <c r="E243" s="1673"/>
      <c r="F243" s="1673"/>
      <c r="G243" s="1673"/>
      <c r="H243" s="1673"/>
      <c r="I243" s="1673"/>
      <c r="J243" s="1673"/>
      <c r="K243" s="1674">
        <f>SUM(K240:K242)</f>
        <v>18559</v>
      </c>
      <c r="L243" s="1674">
        <f>SUM(L240:L242)</f>
        <v>18952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7702</v>
      </c>
      <c r="E246" s="1673"/>
      <c r="F246" s="1673"/>
      <c r="G246" s="1673"/>
      <c r="H246" s="1673"/>
      <c r="I246" s="1673"/>
      <c r="J246" s="1673"/>
      <c r="K246" s="1678">
        <f t="shared" ref="K246:K256" si="21">D246</f>
        <v>7702</v>
      </c>
      <c r="L246" s="1573">
        <v>7837</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1779</v>
      </c>
      <c r="B249" s="557" t="s">
        <v>280</v>
      </c>
      <c r="C249" s="1673"/>
      <c r="D249" s="1579"/>
      <c r="E249" s="1673"/>
      <c r="F249" s="1673"/>
      <c r="G249" s="1673"/>
      <c r="H249" s="1673"/>
      <c r="I249" s="1673"/>
      <c r="J249" s="1673"/>
      <c r="K249" s="1678">
        <f t="shared" si="21"/>
        <v>0</v>
      </c>
      <c r="L249" s="1573">
        <v>0</v>
      </c>
    </row>
    <row r="250" spans="1:12" x14ac:dyDescent="0.2">
      <c r="A250" s="1275" t="s">
        <v>1780</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v>3427</v>
      </c>
      <c r="E252" s="1673"/>
      <c r="F252" s="1673"/>
      <c r="G252" s="1673"/>
      <c r="H252" s="1673"/>
      <c r="I252" s="1673"/>
      <c r="J252" s="1673"/>
      <c r="K252" s="1678">
        <f t="shared" si="21"/>
        <v>3427</v>
      </c>
      <c r="L252" s="1573">
        <v>3499</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v>36624</v>
      </c>
      <c r="E254" s="1673"/>
      <c r="F254" s="1673"/>
      <c r="G254" s="1673"/>
      <c r="H254" s="1673"/>
      <c r="I254" s="1673"/>
      <c r="J254" s="1673"/>
      <c r="K254" s="1678">
        <f t="shared" si="21"/>
        <v>36624</v>
      </c>
      <c r="L254" s="1573">
        <v>38611</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47753</v>
      </c>
      <c r="E257" s="1673"/>
      <c r="F257" s="1673"/>
      <c r="G257" s="1673"/>
      <c r="H257" s="1673"/>
      <c r="I257" s="1673"/>
      <c r="J257" s="1673"/>
      <c r="K257" s="1674">
        <f>SUM(K245:K256)</f>
        <v>47753</v>
      </c>
      <c r="L257" s="1674">
        <f>SUM(L245:L256)</f>
        <v>49947</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48236</v>
      </c>
      <c r="E259" s="1673"/>
      <c r="F259" s="1673"/>
      <c r="G259" s="1673"/>
      <c r="H259" s="1673"/>
      <c r="I259" s="1673"/>
      <c r="J259" s="1673"/>
      <c r="K259" s="1678">
        <f>D259</f>
        <v>48236</v>
      </c>
      <c r="L259" s="1586">
        <v>52119</v>
      </c>
    </row>
    <row r="260" spans="1:14" s="493" customFormat="1" x14ac:dyDescent="0.2">
      <c r="A260" s="1292" t="s">
        <v>1778</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48236</v>
      </c>
      <c r="E261" s="1673"/>
      <c r="F261" s="1673"/>
      <c r="G261" s="1673"/>
      <c r="H261" s="1673"/>
      <c r="I261" s="1673"/>
      <c r="J261" s="1673"/>
      <c r="K261" s="1674">
        <f>SUM(K259:K260)</f>
        <v>48236</v>
      </c>
      <c r="L261" s="1674">
        <f>SUM(L259:L260)</f>
        <v>52119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23176</v>
      </c>
      <c r="E263" s="1673"/>
      <c r="F263" s="1673"/>
      <c r="G263" s="1673"/>
      <c r="H263" s="1673"/>
      <c r="I263" s="1673"/>
      <c r="J263" s="1673"/>
      <c r="K263" s="1678">
        <f>D263</f>
        <v>23176</v>
      </c>
      <c r="L263" s="1586">
        <v>23444</v>
      </c>
    </row>
    <row r="264" spans="1:14" x14ac:dyDescent="0.2">
      <c r="A264" s="1274" t="s">
        <v>460</v>
      </c>
      <c r="B264" s="559">
        <v>2520</v>
      </c>
      <c r="C264" s="1673"/>
      <c r="D264" s="1573">
        <v>15474</v>
      </c>
      <c r="E264" s="1673"/>
      <c r="F264" s="1673"/>
      <c r="G264" s="1673"/>
      <c r="H264" s="1673"/>
      <c r="I264" s="1673"/>
      <c r="J264" s="1673"/>
      <c r="K264" s="1678">
        <f t="shared" ref="K264:K269" si="22">D264</f>
        <v>15474</v>
      </c>
      <c r="L264" s="1573">
        <v>15500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148337</v>
      </c>
      <c r="E266" s="1673"/>
      <c r="F266" s="1673"/>
      <c r="G266" s="1673"/>
      <c r="H266" s="1673"/>
      <c r="I266" s="1673"/>
      <c r="J266" s="1673"/>
      <c r="K266" s="1678">
        <f t="shared" si="22"/>
        <v>148337</v>
      </c>
      <c r="L266" s="1573">
        <v>153434</v>
      </c>
    </row>
    <row r="267" spans="1:14" x14ac:dyDescent="0.2">
      <c r="A267" s="1274" t="s">
        <v>947</v>
      </c>
      <c r="B267" s="503">
        <v>2550</v>
      </c>
      <c r="C267" s="1673"/>
      <c r="D267" s="1573">
        <v>71725</v>
      </c>
      <c r="E267" s="1673"/>
      <c r="F267" s="1673"/>
      <c r="G267" s="1673"/>
      <c r="H267" s="1673"/>
      <c r="I267" s="1673"/>
      <c r="J267" s="1673"/>
      <c r="K267" s="1678">
        <f t="shared" si="22"/>
        <v>71725</v>
      </c>
      <c r="L267" s="1573">
        <v>85758</v>
      </c>
    </row>
    <row r="268" spans="1:14" x14ac:dyDescent="0.2">
      <c r="A268" s="1274" t="s">
        <v>100</v>
      </c>
      <c r="B268" s="503">
        <v>2560</v>
      </c>
      <c r="C268" s="1673"/>
      <c r="D268" s="1573">
        <v>43690</v>
      </c>
      <c r="E268" s="1673"/>
      <c r="F268" s="1673"/>
      <c r="G268" s="1673"/>
      <c r="H268" s="1673"/>
      <c r="I268" s="1673"/>
      <c r="J268" s="1673"/>
      <c r="K268" s="1678">
        <f t="shared" si="22"/>
        <v>43690</v>
      </c>
      <c r="L268" s="1573">
        <v>50947</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302402</v>
      </c>
      <c r="E270" s="1673"/>
      <c r="F270" s="1673"/>
      <c r="G270" s="1673"/>
      <c r="H270" s="1673"/>
      <c r="I270" s="1673"/>
      <c r="J270" s="1673"/>
      <c r="K270" s="1674">
        <f>SUM(K263:K269)</f>
        <v>302402</v>
      </c>
      <c r="L270" s="1674">
        <f>SUM(L263:L269)</f>
        <v>329083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v>5250</v>
      </c>
      <c r="E275" s="1673"/>
      <c r="F275" s="1673"/>
      <c r="G275" s="1673"/>
      <c r="H275" s="1673"/>
      <c r="I275" s="1673"/>
      <c r="J275" s="1673"/>
      <c r="K275" s="1678">
        <f>D275</f>
        <v>5250</v>
      </c>
      <c r="L275" s="1573">
        <v>7144</v>
      </c>
    </row>
    <row r="276" spans="1:12" x14ac:dyDescent="0.2">
      <c r="A276" s="1274" t="s">
        <v>401</v>
      </c>
      <c r="B276" s="503">
        <v>2660</v>
      </c>
      <c r="C276" s="1673"/>
      <c r="D276" s="1573">
        <v>10713</v>
      </c>
      <c r="E276" s="1673"/>
      <c r="F276" s="1673"/>
      <c r="G276" s="1673"/>
      <c r="H276" s="1673"/>
      <c r="I276" s="1673"/>
      <c r="J276" s="1673"/>
      <c r="K276" s="1678">
        <f>D276</f>
        <v>10713</v>
      </c>
      <c r="L276" s="1573">
        <v>11212</v>
      </c>
    </row>
    <row r="277" spans="1:12" ht="12.75" customHeight="1" thickBot="1" x14ac:dyDescent="0.25">
      <c r="A277" s="1393" t="s">
        <v>37</v>
      </c>
      <c r="B277" s="1381" t="s">
        <v>36</v>
      </c>
      <c r="C277" s="1673"/>
      <c r="D277" s="1674">
        <f>SUM(D272:D276)</f>
        <v>15963</v>
      </c>
      <c r="E277" s="1673"/>
      <c r="F277" s="1673"/>
      <c r="G277" s="1673"/>
      <c r="H277" s="1673"/>
      <c r="I277" s="1673"/>
      <c r="J277" s="1673"/>
      <c r="K277" s="1674">
        <f>SUM(K272:K276)</f>
        <v>15963</v>
      </c>
      <c r="L277" s="1674">
        <f>SUM(L272:L276)</f>
        <v>18356</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465186</v>
      </c>
      <c r="E279" s="1673"/>
      <c r="F279" s="1673"/>
      <c r="G279" s="1673"/>
      <c r="H279" s="1673"/>
      <c r="I279" s="1673"/>
      <c r="J279" s="1673"/>
      <c r="K279" s="1681">
        <f>SUM(K238,K243,K257,K261,K270,K277,K278)</f>
        <v>465186</v>
      </c>
      <c r="L279" s="1681">
        <f>SUM(L238,L243,L257,L261,L270,L277,L278)</f>
        <v>501947</v>
      </c>
    </row>
    <row r="280" spans="1:12" ht="15.75" customHeight="1" thickTop="1" thickBot="1" x14ac:dyDescent="0.25">
      <c r="A280" s="1362" t="s">
        <v>870</v>
      </c>
      <c r="B280" s="1351">
        <v>3000</v>
      </c>
      <c r="C280" s="1673"/>
      <c r="D280" s="1651">
        <v>87</v>
      </c>
      <c r="E280" s="1673"/>
      <c r="F280" s="1673"/>
      <c r="G280" s="1673"/>
      <c r="H280" s="1673"/>
      <c r="I280" s="1673"/>
      <c r="J280" s="1673"/>
      <c r="K280" s="1687">
        <f>D280</f>
        <v>87</v>
      </c>
      <c r="L280" s="1651">
        <v>105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6" t="s">
        <v>502</v>
      </c>
      <c r="B295" s="2277"/>
      <c r="C295" s="1673"/>
      <c r="D295" s="1674">
        <f>SUM(D229,D279,D280,D285)</f>
        <v>691552</v>
      </c>
      <c r="E295" s="1673"/>
      <c r="F295" s="1673"/>
      <c r="G295" s="1673"/>
      <c r="H295" s="1674">
        <f>H293</f>
        <v>0</v>
      </c>
      <c r="I295" s="1673"/>
      <c r="J295" s="1673"/>
      <c r="K295" s="1674">
        <f>SUM(K229,K279,K280,K285,K293,K294)</f>
        <v>691552</v>
      </c>
      <c r="L295" s="1674">
        <f>SUM(L229,L279,L280,L285,L293,L294)</f>
        <v>734502</v>
      </c>
    </row>
    <row r="296" spans="1:14" ht="13.5" thickTop="1" x14ac:dyDescent="0.2">
      <c r="A296" s="2258" t="s">
        <v>989</v>
      </c>
      <c r="B296" s="2259"/>
      <c r="C296" s="1673"/>
      <c r="D296" s="1675"/>
      <c r="E296" s="1673"/>
      <c r="F296" s="1673"/>
      <c r="G296" s="1673"/>
      <c r="H296" s="1707"/>
      <c r="I296" s="1673"/>
      <c r="J296" s="1673"/>
      <c r="K296" s="1689">
        <f>'Revenues 9-14'!G268-'Expenditures 15-22'!K295</f>
        <v>154984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8" t="s">
        <v>142</v>
      </c>
      <c r="B298" s="226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245973</v>
      </c>
      <c r="F301" s="1573"/>
      <c r="G301" s="1573">
        <v>1119017</v>
      </c>
      <c r="H301" s="1573"/>
      <c r="I301" s="1574"/>
      <c r="J301" s="1574"/>
      <c r="K301" s="1672">
        <f>SUM(C301:J301)</f>
        <v>1364990</v>
      </c>
      <c r="L301" s="1574">
        <v>1991000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245973</v>
      </c>
      <c r="F303" s="1681">
        <f t="shared" si="23"/>
        <v>0</v>
      </c>
      <c r="G303" s="1681">
        <f t="shared" si="23"/>
        <v>1119017</v>
      </c>
      <c r="H303" s="1681">
        <f t="shared" si="23"/>
        <v>0</v>
      </c>
      <c r="I303" s="1681">
        <f t="shared" si="23"/>
        <v>0</v>
      </c>
      <c r="J303" s="1681">
        <f t="shared" si="23"/>
        <v>0</v>
      </c>
      <c r="K303" s="1681">
        <f t="shared" si="23"/>
        <v>1364990</v>
      </c>
      <c r="L303" s="1681">
        <f t="shared" si="23"/>
        <v>1991000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3" t="s">
        <v>275</v>
      </c>
      <c r="B312" s="2274"/>
      <c r="C312" s="1674">
        <f>SUM(C303)</f>
        <v>0</v>
      </c>
      <c r="D312" s="1674">
        <f>SUM(D303)</f>
        <v>0</v>
      </c>
      <c r="E312" s="1674">
        <f>SUM(E303,E310)</f>
        <v>245973</v>
      </c>
      <c r="F312" s="1674">
        <f>SUM(F303)</f>
        <v>0</v>
      </c>
      <c r="G312" s="1674">
        <f>SUM(G303)</f>
        <v>1119017</v>
      </c>
      <c r="H312" s="1674">
        <f>SUM(H303,H310)</f>
        <v>0</v>
      </c>
      <c r="I312" s="1674">
        <f>SUM(I303)</f>
        <v>0</v>
      </c>
      <c r="J312" s="1674">
        <f>SUM(J303)</f>
        <v>0</v>
      </c>
      <c r="K312" s="1674">
        <f>SUM(K303,K310,K311)</f>
        <v>1364990</v>
      </c>
      <c r="L312" s="1674">
        <f>SUM(L303,L310,L311)</f>
        <v>1991000</v>
      </c>
      <c r="M312" s="539"/>
      <c r="N312" s="539"/>
    </row>
    <row r="313" spans="1:14" ht="13.5" thickTop="1" x14ac:dyDescent="0.2">
      <c r="A313" s="2269" t="s">
        <v>989</v>
      </c>
      <c r="B313" s="2270"/>
      <c r="C313" s="1677"/>
      <c r="D313" s="1677"/>
      <c r="E313" s="1677"/>
      <c r="F313" s="1677"/>
      <c r="G313" s="1677"/>
      <c r="H313" s="1677"/>
      <c r="I313" s="1677"/>
      <c r="J313" s="1677"/>
      <c r="K313" s="1696">
        <f>'Revenues 9-14'!H268-'Expenditures 15-22'!K312</f>
        <v>-1347383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2" t="s">
        <v>148</v>
      </c>
      <c r="B315" s="228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4" t="s">
        <v>892</v>
      </c>
      <c r="B317" s="228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1779</v>
      </c>
      <c r="B320" s="568" t="s">
        <v>280</v>
      </c>
      <c r="C320" s="1574"/>
      <c r="D320" s="1574"/>
      <c r="E320" s="1574">
        <f>76937</f>
        <v>76937</v>
      </c>
      <c r="F320" s="1574"/>
      <c r="G320" s="1574"/>
      <c r="H320" s="1574"/>
      <c r="I320" s="1574"/>
      <c r="J320" s="1574"/>
      <c r="K320" s="1672">
        <f t="shared" ref="K320:K327" si="24">SUM(C320:J320)</f>
        <v>76937</v>
      </c>
      <c r="L320" s="1574">
        <v>108000</v>
      </c>
      <c r="M320" s="539"/>
      <c r="N320" s="539"/>
    </row>
    <row r="321" spans="1:14" s="548" customFormat="1" x14ac:dyDescent="0.2">
      <c r="A321" s="1289" t="s">
        <v>297</v>
      </c>
      <c r="B321" s="567" t="s">
        <v>281</v>
      </c>
      <c r="C321" s="1574"/>
      <c r="D321" s="1574"/>
      <c r="E321" s="1574">
        <f>714</f>
        <v>714</v>
      </c>
      <c r="F321" s="1574"/>
      <c r="G321" s="1574"/>
      <c r="H321" s="1574"/>
      <c r="I321" s="1574"/>
      <c r="J321" s="1574"/>
      <c r="K321" s="1672">
        <f t="shared" si="24"/>
        <v>714</v>
      </c>
      <c r="L321" s="1574">
        <v>10000</v>
      </c>
      <c r="M321" s="539"/>
      <c r="N321" s="539"/>
    </row>
    <row r="322" spans="1:14" s="548" customFormat="1" x14ac:dyDescent="0.2">
      <c r="A322" s="1289" t="s">
        <v>236</v>
      </c>
      <c r="B322" s="567" t="s">
        <v>282</v>
      </c>
      <c r="C322" s="1574"/>
      <c r="D322" s="1574"/>
      <c r="E322" s="1574">
        <f>34254</f>
        <v>34254</v>
      </c>
      <c r="F322" s="1574"/>
      <c r="G322" s="1574"/>
      <c r="H322" s="1574"/>
      <c r="I322" s="1574"/>
      <c r="J322" s="1574"/>
      <c r="K322" s="1672">
        <f t="shared" si="24"/>
        <v>34254</v>
      </c>
      <c r="L322" s="1574">
        <v>45000</v>
      </c>
      <c r="M322" s="539"/>
      <c r="N322" s="539"/>
    </row>
    <row r="323" spans="1:14" s="548" customFormat="1" x14ac:dyDescent="0.2">
      <c r="A323" s="1289" t="s">
        <v>697</v>
      </c>
      <c r="B323" s="567" t="s">
        <v>283</v>
      </c>
      <c r="C323" s="1574">
        <v>51390</v>
      </c>
      <c r="D323" s="1574">
        <v>11317</v>
      </c>
      <c r="E323" s="1574"/>
      <c r="F323" s="1574"/>
      <c r="G323" s="1574"/>
      <c r="H323" s="1574"/>
      <c r="I323" s="1574"/>
      <c r="J323" s="1574"/>
      <c r="K323" s="1672">
        <f t="shared" si="24"/>
        <v>62707</v>
      </c>
      <c r="L323" s="1574">
        <v>63746</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267755</v>
      </c>
      <c r="D325" s="1574">
        <v>49681</v>
      </c>
      <c r="E325" s="1574">
        <f>231346+3484</f>
        <v>234830</v>
      </c>
      <c r="F325" s="1574">
        <v>3764</v>
      </c>
      <c r="G325" s="1574">
        <v>53628</v>
      </c>
      <c r="H325" s="1574"/>
      <c r="I325" s="1574"/>
      <c r="J325" s="1574"/>
      <c r="K325" s="1672">
        <f t="shared" si="24"/>
        <v>609658</v>
      </c>
      <c r="L325" s="1574">
        <v>744054</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11981</v>
      </c>
      <c r="F327" s="1574"/>
      <c r="G327" s="1574"/>
      <c r="H327" s="1574"/>
      <c r="I327" s="1574"/>
      <c r="J327" s="1574"/>
      <c r="K327" s="1672">
        <f t="shared" si="24"/>
        <v>11981</v>
      </c>
      <c r="L327" s="1574">
        <v>13000</v>
      </c>
      <c r="M327" s="539"/>
      <c r="N327" s="539"/>
    </row>
    <row r="328" spans="1:14" s="548" customFormat="1" x14ac:dyDescent="0.2">
      <c r="A328" s="1290" t="s">
        <v>469</v>
      </c>
      <c r="B328" s="562" t="s">
        <v>1122</v>
      </c>
      <c r="C328" s="1579"/>
      <c r="D328" s="1579"/>
      <c r="E328" s="1579">
        <v>51272</v>
      </c>
      <c r="F328" s="1579"/>
      <c r="G328" s="1579"/>
      <c r="H328" s="1579"/>
      <c r="I328" s="1579"/>
      <c r="J328" s="1579"/>
      <c r="K328" s="1713">
        <f>SUM(C328:J328)</f>
        <v>51272</v>
      </c>
      <c r="L328" s="1579">
        <v>60000</v>
      </c>
      <c r="M328" s="539"/>
      <c r="N328" s="539"/>
    </row>
    <row r="329" spans="1:14" s="548" customFormat="1" x14ac:dyDescent="0.2">
      <c r="A329" s="1290" t="s">
        <v>1123</v>
      </c>
      <c r="B329" s="562" t="s">
        <v>1124</v>
      </c>
      <c r="C329" s="1579"/>
      <c r="D329" s="1579"/>
      <c r="E329" s="1579">
        <v>15420</v>
      </c>
      <c r="F329" s="1579"/>
      <c r="G329" s="1579"/>
      <c r="H329" s="1579"/>
      <c r="I329" s="1579"/>
      <c r="J329" s="1579"/>
      <c r="K329" s="1713">
        <f>SUM(C329:J329)</f>
        <v>15420</v>
      </c>
      <c r="L329" s="1579">
        <v>14000</v>
      </c>
      <c r="M329" s="539"/>
      <c r="N329" s="539"/>
    </row>
    <row r="330" spans="1:14" s="548" customFormat="1" ht="12.75" customHeight="1" thickBot="1" x14ac:dyDescent="0.25">
      <c r="A330" s="1401" t="s">
        <v>712</v>
      </c>
      <c r="B330" s="1381" t="s">
        <v>565</v>
      </c>
      <c r="C330" s="1674">
        <f>SUM(C319:C329)</f>
        <v>319145</v>
      </c>
      <c r="D330" s="1674">
        <f t="shared" ref="D330:J330" si="25">SUM(D319:D329)</f>
        <v>60998</v>
      </c>
      <c r="E330" s="1674">
        <f t="shared" si="25"/>
        <v>425408</v>
      </c>
      <c r="F330" s="1674">
        <f t="shared" si="25"/>
        <v>3764</v>
      </c>
      <c r="G330" s="1674">
        <f t="shared" si="25"/>
        <v>53628</v>
      </c>
      <c r="H330" s="1674">
        <f t="shared" si="25"/>
        <v>0</v>
      </c>
      <c r="I330" s="1674">
        <f t="shared" si="25"/>
        <v>0</v>
      </c>
      <c r="J330" s="1674">
        <f t="shared" si="25"/>
        <v>0</v>
      </c>
      <c r="K330" s="1674">
        <f>SUM(K319:K329)</f>
        <v>862943</v>
      </c>
      <c r="L330" s="1674">
        <f>SUM(L319:L329)</f>
        <v>1057800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319145</v>
      </c>
      <c r="D342" s="1674">
        <f>SUM(D330)</f>
        <v>60998</v>
      </c>
      <c r="E342" s="1674">
        <f>SUM(E330)</f>
        <v>425408</v>
      </c>
      <c r="F342" s="1674">
        <f>SUM(F330)</f>
        <v>3764</v>
      </c>
      <c r="G342" s="1674">
        <f>SUM(G330)</f>
        <v>53628</v>
      </c>
      <c r="H342" s="1674">
        <f>SUM(H330,H334,H340)</f>
        <v>0</v>
      </c>
      <c r="I342" s="1674">
        <f>SUM(I330)</f>
        <v>0</v>
      </c>
      <c r="J342" s="1674">
        <f>SUM(J330)</f>
        <v>0</v>
      </c>
      <c r="K342" s="1674">
        <f>SUM(K330,K334,K340)</f>
        <v>862943</v>
      </c>
      <c r="L342" s="1681">
        <f>SUM(L330,L334,L340,L341)</f>
        <v>1057800</v>
      </c>
    </row>
    <row r="343" spans="1:14" ht="12.75" customHeight="1" thickTop="1" x14ac:dyDescent="0.2">
      <c r="A343" s="2271" t="s">
        <v>989</v>
      </c>
      <c r="B343" s="2272"/>
      <c r="C343" s="1673"/>
      <c r="D343" s="1673"/>
      <c r="E343" s="1673"/>
      <c r="F343" s="1673"/>
      <c r="G343" s="1673"/>
      <c r="H343" s="1673"/>
      <c r="I343" s="1673"/>
      <c r="J343" s="1673"/>
      <c r="K343" s="1689">
        <f>'Revenues 9-14'!J268-'Expenditures 15-22'!K342</f>
        <v>-235208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1" t="s">
        <v>960</v>
      </c>
      <c r="B345" s="226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2383</v>
      </c>
      <c r="F348" s="1573"/>
      <c r="G348" s="1573">
        <v>384881</v>
      </c>
      <c r="H348" s="1573"/>
      <c r="I348" s="1574"/>
      <c r="J348" s="1574"/>
      <c r="K348" s="1672">
        <f>SUM(C348:J348)</f>
        <v>387264</v>
      </c>
      <c r="L348" s="1573">
        <v>390000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2383</v>
      </c>
      <c r="F350" s="1674">
        <f t="shared" si="26"/>
        <v>0</v>
      </c>
      <c r="G350" s="1674">
        <f t="shared" si="26"/>
        <v>384881</v>
      </c>
      <c r="H350" s="1674">
        <f t="shared" si="26"/>
        <v>0</v>
      </c>
      <c r="I350" s="1674">
        <f t="shared" si="26"/>
        <v>0</v>
      </c>
      <c r="J350" s="1674">
        <f t="shared" si="26"/>
        <v>0</v>
      </c>
      <c r="K350" s="1674">
        <f t="shared" si="26"/>
        <v>387264</v>
      </c>
      <c r="L350" s="1674">
        <f t="shared" si="26"/>
        <v>390000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2383</v>
      </c>
      <c r="F352" s="1674">
        <f t="shared" si="27"/>
        <v>0</v>
      </c>
      <c r="G352" s="1674">
        <f t="shared" si="27"/>
        <v>384881</v>
      </c>
      <c r="H352" s="1674">
        <f t="shared" si="27"/>
        <v>0</v>
      </c>
      <c r="I352" s="1674">
        <f t="shared" si="27"/>
        <v>0</v>
      </c>
      <c r="J352" s="1674">
        <f t="shared" si="27"/>
        <v>0</v>
      </c>
      <c r="K352" s="1674">
        <f t="shared" si="27"/>
        <v>387264</v>
      </c>
      <c r="L352" s="1674">
        <f t="shared" si="27"/>
        <v>390000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v>0</v>
      </c>
    </row>
    <row r="355" spans="1:14" ht="12.75" customHeight="1" x14ac:dyDescent="0.2">
      <c r="A355" s="1283" t="s">
        <v>1822</v>
      </c>
      <c r="B355" s="562" t="s">
        <v>1815</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2383</v>
      </c>
      <c r="F367" s="1674">
        <f t="shared" si="28"/>
        <v>0</v>
      </c>
      <c r="G367" s="1674">
        <f t="shared" si="28"/>
        <v>384881</v>
      </c>
      <c r="H367" s="1674">
        <f t="shared" si="28"/>
        <v>0</v>
      </c>
      <c r="I367" s="1674">
        <f t="shared" si="28"/>
        <v>0</v>
      </c>
      <c r="J367" s="1674">
        <f t="shared" si="28"/>
        <v>0</v>
      </c>
      <c r="K367" s="1674">
        <f t="shared" si="28"/>
        <v>387264</v>
      </c>
      <c r="L367" s="1674">
        <f t="shared" si="28"/>
        <v>390000</v>
      </c>
    </row>
    <row r="368" spans="1:14" ht="13.5" thickTop="1" x14ac:dyDescent="0.2">
      <c r="A368" s="2258" t="s">
        <v>989</v>
      </c>
      <c r="B368" s="2259"/>
      <c r="C368" s="1694"/>
      <c r="D368" s="1694"/>
      <c r="E368" s="1677"/>
      <c r="F368" s="1677"/>
      <c r="G368" s="1677"/>
      <c r="H368" s="1677"/>
      <c r="I368" s="1677"/>
      <c r="J368" s="1676"/>
      <c r="K368" s="1672">
        <f>'Revenues 9-14'!K268-'Expenditures 15-22'!K367</f>
        <v>-111623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www.w3.org/XML/1998/namespace"/>
    <ds:schemaRef ds:uri="http://purl.org/dc/elements/1.1/"/>
    <ds:schemaRef ds:uri="http://purl.org/dc/dcmitype/"/>
    <ds:schemaRef ds:uri="http://schemas.microsoft.com/office/2006/documentManagement/types"/>
    <ds:schemaRef ds:uri="http://purl.org/dc/terms/"/>
    <ds:schemaRef ds:uri="6ce3111e-7420-4802-b50a-75d4e9a0b980"/>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2020-12-10T22:13:22Z</cp:lastPrinted>
  <dcterms:created xsi:type="dcterms:W3CDTF">2003-10-29T19:06:34Z</dcterms:created>
  <dcterms:modified xsi:type="dcterms:W3CDTF">2020-12-12T02:30:56Z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