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61A69431-68A9-4068-9945-B70095806D29}"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20" sheetId="187" r:id="rId29"/>
    <sheet name="SEFA NOTES" sheetId="173" r:id="rId30"/>
    <sheet name="SF&amp;QC Sec-1" sheetId="174" r:id="rId31"/>
    <sheet name="SF&amp;QC Sec-2" sheetId="175" r:id="rId32"/>
    <sheet name="SF&amp;QC Sec-3" sheetId="176" r:id="rId33"/>
    <sheet name="SSPAF" sheetId="177" r:id="rId34"/>
    <sheet name="CAP 2020-001" sheetId="185" r:id="rId35"/>
    <sheet name="CAP 2020-002" sheetId="186" r:id="rId36"/>
  </sheets>
  <definedNames>
    <definedName name="_xlnm._FilterDatabase" localSheetId="23" hidden="1">'AFR20'!$A$1:$F$7884</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9">'SEFA NOTES'!$A$1:$F$59</definedName>
    <definedName name="_xlnm.Print_Area" localSheetId="26">'SEFA Reconcile'!$A$1:$E$49</definedName>
    <definedName name="_xlnm.Print_Area" localSheetId="28">SEFA20!$A$1:$N$114</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SEFA20!$A$14:$N$102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SEFA20!$A:$A,SEFA20!$1:$11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35">#REF!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35">#REF!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35">#REF!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35">#REF!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35">#REF!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8" i="187" l="1"/>
  <c r="I98" i="187"/>
  <c r="M97" i="187"/>
  <c r="M96" i="187"/>
  <c r="M95" i="187"/>
  <c r="N90" i="187"/>
  <c r="M90" i="187"/>
  <c r="F90" i="187"/>
  <c r="N89" i="187"/>
  <c r="H89" i="187"/>
  <c r="M89" i="187" s="1"/>
  <c r="F89" i="187"/>
  <c r="F98" i="187" s="1"/>
  <c r="E89" i="187"/>
  <c r="E98" i="187" s="1"/>
  <c r="M81" i="187"/>
  <c r="K76" i="187"/>
  <c r="K106" i="187" s="1"/>
  <c r="I76" i="187"/>
  <c r="I106" i="187" s="1"/>
  <c r="M74" i="187"/>
  <c r="F74" i="187"/>
  <c r="F76" i="187" s="1"/>
  <c r="M73" i="187"/>
  <c r="M76" i="187" s="1"/>
  <c r="H72" i="187"/>
  <c r="H76" i="187" s="1"/>
  <c r="E72" i="187"/>
  <c r="E76" i="187" s="1"/>
  <c r="K66" i="187"/>
  <c r="K83" i="187" s="1"/>
  <c r="I66" i="187"/>
  <c r="I83" i="187" s="1"/>
  <c r="H66" i="187"/>
  <c r="F66" i="187"/>
  <c r="F83" i="187" s="1"/>
  <c r="E66" i="187"/>
  <c r="M64" i="187"/>
  <c r="M62" i="187"/>
  <c r="M61" i="187"/>
  <c r="M59" i="187"/>
  <c r="M58" i="187"/>
  <c r="M56" i="187"/>
  <c r="M55" i="187"/>
  <c r="M53" i="187"/>
  <c r="M52" i="187"/>
  <c r="M50" i="187"/>
  <c r="M49" i="187"/>
  <c r="M47" i="187"/>
  <c r="M46" i="187"/>
  <c r="K38" i="187"/>
  <c r="I38" i="187"/>
  <c r="H38" i="187"/>
  <c r="F38" i="187"/>
  <c r="E38" i="187"/>
  <c r="M37" i="187"/>
  <c r="M36" i="187"/>
  <c r="M38" i="187" s="1"/>
  <c r="M32" i="187"/>
  <c r="K30" i="187"/>
  <c r="I30" i="187"/>
  <c r="H30" i="187"/>
  <c r="F30" i="187"/>
  <c r="E30" i="187"/>
  <c r="M29" i="187"/>
  <c r="M28" i="187"/>
  <c r="M27" i="187"/>
  <c r="K25" i="187"/>
  <c r="K34" i="187" s="1"/>
  <c r="K40" i="187" s="1"/>
  <c r="I25" i="187"/>
  <c r="I34" i="187" s="1"/>
  <c r="H25" i="187"/>
  <c r="H34" i="187" s="1"/>
  <c r="F25" i="187"/>
  <c r="F34" i="187" s="1"/>
  <c r="F40" i="187" s="1"/>
  <c r="F104" i="187" s="1"/>
  <c r="E25" i="187"/>
  <c r="E34" i="187" s="1"/>
  <c r="E40" i="187" s="1"/>
  <c r="E104" i="187" s="1"/>
  <c r="M24" i="187"/>
  <c r="M23" i="187"/>
  <c r="M21" i="187"/>
  <c r="M20" i="187"/>
  <c r="M17" i="187"/>
  <c r="M16" i="187"/>
  <c r="I9" i="187"/>
  <c r="H9" i="187"/>
  <c r="I8" i="187"/>
  <c r="M72" i="187" l="1"/>
  <c r="H83" i="187"/>
  <c r="M30" i="187"/>
  <c r="M98" i="187"/>
  <c r="M66" i="187"/>
  <c r="M83" i="187" s="1"/>
  <c r="H98" i="187"/>
  <c r="H106" i="187" s="1"/>
  <c r="M25" i="187"/>
  <c r="H40" i="187"/>
  <c r="H104" i="187" s="1"/>
  <c r="H108" i="187" s="1"/>
  <c r="I40" i="187"/>
  <c r="I104" i="187" s="1"/>
  <c r="I108" i="187" s="1"/>
  <c r="M106" i="187"/>
  <c r="E108" i="187"/>
  <c r="K104" i="187"/>
  <c r="K108" i="187" s="1"/>
  <c r="K100" i="187"/>
  <c r="E83" i="187"/>
  <c r="E100" i="187" s="1"/>
  <c r="F100" i="187"/>
  <c r="E106" i="187"/>
  <c r="F106" i="187"/>
  <c r="F108" i="187" s="1"/>
  <c r="H5" i="12"/>
  <c r="M34" i="187" l="1"/>
  <c r="M40" i="187" s="1"/>
  <c r="M104" i="187" s="1"/>
  <c r="M108" i="187" s="1"/>
  <c r="I100" i="187"/>
  <c r="H100" i="187"/>
  <c r="M100" i="18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J35" i="8" s="1"/>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L22" i="37"/>
  <c r="B7047" i="106" l="1"/>
  <c r="D7047" i="106" s="1"/>
  <c r="F42" i="34"/>
  <c r="F52" i="34"/>
  <c r="B7831" i="106" s="1"/>
  <c r="D7831" i="106" s="1"/>
  <c r="F69" i="34"/>
  <c r="D24" i="37"/>
  <c r="B4270" i="106" s="1"/>
  <c r="D4270" i="106" s="1"/>
  <c r="D14" i="4"/>
  <c r="B2570" i="106" s="1"/>
  <c r="D2570" i="106" s="1"/>
  <c r="G35" i="108"/>
  <c r="B2805" i="106"/>
  <c r="D2805" i="106" s="1"/>
  <c r="H365" i="29"/>
  <c r="B7242" i="106" s="1"/>
  <c r="D7242" i="106" s="1"/>
  <c r="B2724" i="106"/>
  <c r="D2724" i="106" s="1"/>
  <c r="D36" i="108"/>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C151" i="29" l="1"/>
  <c r="B1226" i="106" s="1"/>
  <c r="D1226" i="106" s="1"/>
  <c r="L16" i="11"/>
  <c r="B2061" i="106" s="1"/>
  <c r="D2061" i="106" s="1"/>
  <c r="B4435" i="106"/>
  <c r="D4435" i="106" s="1"/>
  <c r="J151" i="29"/>
  <c r="B7052" i="106" s="1"/>
  <c r="D7052" i="106" s="1"/>
  <c r="J16" i="4"/>
  <c r="B6226" i="106" s="1"/>
  <c r="D6226" i="106" s="1"/>
  <c r="I151" i="29"/>
  <c r="F59" i="34" s="1"/>
  <c r="L114" i="29"/>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1145" i="106"/>
  <c r="D1145" i="106" s="1"/>
  <c r="B7224" i="106"/>
  <c r="D7224" i="106" s="1"/>
  <c r="K367" i="29"/>
  <c r="K368" i="29" s="1"/>
  <c r="B3681" i="106" s="1"/>
  <c r="D3681"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H24" i="118"/>
  <c r="K24" i="118" s="1"/>
  <c r="O23" i="118" s="1"/>
  <c r="O25" i="118" s="1"/>
  <c r="D36" i="36"/>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H12" i="118" s="1"/>
  <c r="K12" i="118" s="1"/>
  <c r="J83" i="4"/>
  <c r="B6283" i="106" s="1"/>
  <c r="D6283" i="106" s="1"/>
  <c r="B6274" i="106"/>
  <c r="D6274" i="106" s="1"/>
  <c r="B11" i="146"/>
  <c r="C82" i="4"/>
  <c r="B1630" i="106"/>
  <c r="D1630" i="106" s="1"/>
  <c r="O11" i="118" l="1"/>
  <c r="O13" i="118" s="1"/>
  <c r="J20" i="118"/>
  <c r="J16" i="37"/>
  <c r="B4269" i="106" s="1"/>
  <c r="D4269" i="106"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K20" i="118" l="1"/>
  <c r="O17" i="118"/>
  <c r="O20" i="118" s="1"/>
  <c r="O35" i="118" s="1"/>
  <c r="O37" i="118" s="1"/>
  <c r="B141" i="106"/>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<sst xmlns="http://schemas.openxmlformats.org/spreadsheetml/2006/main" count="5433" uniqueCount="2238">
  <si>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</si>
  <si>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</si>
  <si>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</si>
  <si>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</si>
  <si>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</si>
  <si>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</si>
  <si>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</si>
  <si>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</si>
  <si>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</si>
  <si>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</si>
  <si>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</si>
  <si>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</si>
  <si>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</si>
  <si>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</si>
  <si>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</si>
  <si>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</si>
  <si>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</si>
  <si>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</si>
  <si>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</si>
  <si>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</si>
  <si>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</si>
  <si>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</si>
  <si>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</si>
  <si>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</si>
  <si>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</si>
  <si>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</si>
  <si>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</si>
  <si>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</si>
  <si>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</si>
  <si>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</si>
  <si>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</si>
  <si>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</si>
  <si>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</si>
  <si>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</si>
  <si>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</si>
  <si>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</si>
  <si>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</si>
  <si>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</si>
  <si>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</si>
  <si>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</si>
  <si>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</si>
  <si>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</si>
  <si>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</si>
  <si>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</si>
  <si>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</si>
  <si>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</si>
  <si>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</si>
  <si>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</si>
  <si>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</si>
  <si>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</si>
  <si>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</si>
  <si>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</si>
  <si>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</si>
  <si>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</si>
  <si>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</si>
  <si>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</si>
  <si>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</si>
  <si>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</si>
  <si>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</si>
  <si>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</si>
  <si>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</si>
  <si>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</si>
  <si>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</si>
  <si>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</si>
  <si>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</si>
  <si>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</si>
  <si>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</si>
  <si>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</si>
  <si>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</si>
  <si>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</si>
  <si>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</si>
  <si>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</si>
  <si>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</si>
  <si>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</si>
  <si>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</si>
  <si>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</si>
  <si>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</si>
  <si>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</si>
  <si>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</si>
  <si>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</si>
  <si>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</si>
  <si>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</si>
  <si>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</si>
  <si>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</si>
  <si>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</si>
  <si>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</si>
  <si>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</si>
  <si>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</si>
  <si>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</si>
  <si>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</si>
  <si>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</si>
  <si>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</si>
  <si>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</si>
  <si>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</si>
  <si>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</si>
  <si>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</si>
  <si>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</si>
  <si>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</si>
  <si>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</si>
  <si>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</si>
  <si>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</si>
  <si>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</si>
  <si>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</si>
  <si>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</si>
  <si>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</si>
  <si>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</si>
  <si>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</si>
  <si>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</si>
  <si>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</si>
  <si>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</si>
  <si>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</si>
  <si>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</si>
  <si>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</si>
  <si>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</si>
  <si>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</si>
  <si>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</si>
  <si>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</si>
  <si>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</si>
  <si>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</si>
  <si>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</si>
  <si>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</si>
  <si>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</si>
  <si>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</si>
  <si>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</si>
  <si>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</si>
  <si>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</si>
  <si>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</si>
  <si>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</si>
  <si>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</si>
  <si>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</si>
  <si>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</si>
  <si>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</si>
  <si>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</si>
  <si>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</si>
  <si>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</si>
  <si>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</si>
  <si>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</si>
  <si>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</si>
  <si>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</si>
  <si>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</si>
  <si>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</si>
  <si>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</si>
  <si>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</si>
  <si>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</si>
  <si>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</si>
  <si>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</si>
  <si>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</si>
  <si>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</si>
  <si>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</si>
  <si>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</si>
  <si>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</si>
  <si>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</si>
  <si>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</si>
  <si>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</si>
  <si>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</si>
  <si>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</si>
  <si>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</si>
  <si>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</si>
  <si>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</si>
  <si>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</si>
  <si>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</si>
  <si>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</si>
  <si>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</si>
  <si>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</si>
  <si>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</si>
  <si>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</si>
  <si>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</si>
  <si>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</si>
  <si>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</si>
  <si>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</si>
  <si>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</si>
  <si>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</si>
  <si>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</si>
  <si>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</si>
  <si>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</si>
  <si>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</si>
  <si>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</si>
  <si>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</si>
  <si>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</si>
  <si>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</si>
  <si>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</si>
  <si>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</si>
  <si>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</si>
  <si>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</si>
  <si>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</si>
  <si>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</si>
  <si>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</si>
  <si>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</si>
  <si>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</si>
  <si>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</si>
  <si>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</si>
  <si>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</si>
  <si>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</si>
  <si>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</si>
  <si>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</si>
  <si>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</si>
  <si>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</si>
  <si>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</si>
  <si>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</si>
  <si>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</si>
  <si>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</si>
  <si>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</si>
  <si>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</si>
  <si>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</si>
  <si>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</si>
  <si>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</si>
  <si>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</si>
  <si>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</si>
  <si>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</si>
  <si>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</si>
  <si>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</si>
  <si>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</si>
  <si>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</si>
  <si>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</si>
  <si>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</si>
  <si>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</si>
  <si>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</si>
  <si>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</si>
  <si>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</si>
  <si>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</si>
  <si>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</si>
  <si>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</si>
  <si>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</si>
  <si>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</si>
  <si>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</si>
  <si>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</si>
  <si>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</si>
  <si>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</si>
  <si>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</si>
  <si>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</si>
  <si>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</si>
  <si>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</si>
  <si>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</si>
  <si>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</si>
  <si>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</si>
  <si>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</si>
  <si>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</si>
  <si>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</si>
  <si>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</si>
  <si>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</si>
  <si>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</si>
  <si>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</si>
  <si>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</si>
  <si>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</si>
  <si>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</si>
  <si>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</si>
  <si>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</si>
  <si>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</si>
  <si>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</si>
  <si>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</si>
  <si>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</si>
  <si>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</si>
  <si>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</si>
  <si>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</si>
  <si>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</si>
  <si>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</si>
  <si>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</si>
  <si>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</si>
  <si>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</si>
  <si>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</si>
  <si>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</si>
  <si>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</si>
  <si>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</si>
  <si>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</si>
  <si>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</si>
  <si>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</si>
  <si>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</si>
  <si>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</si>
  <si>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</si>
  <si>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</si>
  <si>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</si>
  <si>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</si>
  <si>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</si>
  <si>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</si>
  <si>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</si>
  <si>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</si>
  <si>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</si>
  <si>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</si>
  <si>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</si>
  <si>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</si>
  <si>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</si>
  <si>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</si>
  <si>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</si>
  <si>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</si>
  <si>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</si>
  <si>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</si>
  <si>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</si>
  <si>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</si>
  <si>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</si>
  <si>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</si>
  <si>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</si>
  <si>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</si>
  <si>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</si>
  <si>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</si>
  <si>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</si>
  <si>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</si>
  <si>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</si>
  <si>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</si>
  <si>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</si>
  <si>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</si>
  <si>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</si>
  <si>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</si>
  <si>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</si>
  <si>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</si>
  <si>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</si>
  <si>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</si>
  <si>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</si>
  <si>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</si>
  <si>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</si>
  <si>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</si>
  <si>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</si>
  <si>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</si>
  <si>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</si>
  <si>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</si>
  <si>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</si>
  <si>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</si>
  <si>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</si>
  <si>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</si>
  <si>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</si>
  <si>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</si>
  <si>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</si>
  <si>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</si>
  <si>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</si>
  <si>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</si>
  <si>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</si>
  <si>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</si>
  <si>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</si>
  <si>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</si>
  <si>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</si>
  <si>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</si>
  <si>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</si>
  <si>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</si>
  <si>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</si>
  <si>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</si>
  <si>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</si>
  <si>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</si>
  <si>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</si>
  <si>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</si>
  <si>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</si>
  <si>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</si>
  <si>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</si>
  <si>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</si>
  <si>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</si>
  <si>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</si>
  <si>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</si>
  <si>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</si>
  <si>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</si>
  <si>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</si>
  <si>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</si>
  <si>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</si>
  <si>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</si>
  <si>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</si>
  <si>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</si>
  <si>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</si>
  <si>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</si>
  <si>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</si>
  <si>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</si>
  <si>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</si>
  <si>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</si>
  <si>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</si>
  <si>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</si>
  <si>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</si>
  <si>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</si>
  <si>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</si>
  <si>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</si>
  <si>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</si>
  <si>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</si>
  <si>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</si>
  <si>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</si>
  <si>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</si>
  <si>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</si>
  <si>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</si>
  <si>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</si>
  <si>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</si>
  <si>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</si>
  <si>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</si>
  <si>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</si>
  <si>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</si>
  <si>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</si>
  <si>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</si>
  <si>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</si>
  <si>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</si>
  <si>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</si>
  <si>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</si>
  <si>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</si>
  <si>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</si>
  <si>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</si>
  <si>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</si>
  <si>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</si>
  <si>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</si>
  <si>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</si>
  <si>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</si>
  <si>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</si>
  <si>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</si>
  <si>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</si>
  <si>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</si>
  <si>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</si>
  <si>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</si>
  <si>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</si>
  <si>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</si>
  <si>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</si>
  <si>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</si>
  <si>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</si>
  <si>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</si>
  <si>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</si>
  <si>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</si>
  <si>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</si>
  <si>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</si>
  <si>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</si>
  <si>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</si>
  <si>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</si>
  <si>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</si>
  <si>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</si>
  <si>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</si>
  <si>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</si>
  <si>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</si>
  <si>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</si>
  <si>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</si>
  <si>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</si>
  <si>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</si>
  <si>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</si>
  <si>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</si>
  <si>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</si>
  <si>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</si>
  <si>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</si>
  <si>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</si>
  <si>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</si>
  <si>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</si>
  <si>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</si>
  <si>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</si>
  <si>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</si>
  <si>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</si>
  <si>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</si>
  <si>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</si>
  <si>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</si>
  <si>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</si>
  <si>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</si>
  <si>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</si>
  <si>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</si>
  <si>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</si>
  <si>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</si>
  <si>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</si>
  <si>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</si>
  <si>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</si>
  <si>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</si>
  <si>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</si>
  <si>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</si>
  <si>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</si>
  <si>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</si>
  <si>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</si>
  <si>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</si>
  <si>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</si>
  <si>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</si>
  <si>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</si>
  <si>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</si>
  <si>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</si>
  <si>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</si>
  <si>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</si>
  <si>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</si>
  <si>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</si>
  <si>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</si>
  <si>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</si>
  <si>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</si>
  <si>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</si>
  <si>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</si>
  <si>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</si>
  <si>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</si>
  <si>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</si>
  <si>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</si>
  <si>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</si>
  <si>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</si>
  <si>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</si>
  <si>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</si>
  <si>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</si>
  <si>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</si>
  <si>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</si>
  <si>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</si>
  <si>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</si>
  <si>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</si>
  <si>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</si>
  <si>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</si>
  <si>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</si>
  <si>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</si>
  <si>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</si>
  <si>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</si>
  <si>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</si>
  <si>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</si>
  <si>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</si>
  <si>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</si>
  <si>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</si>
  <si>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</si>
  <si>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</si>
  <si>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</si>
  <si>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</si>
  <si>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</si>
  <si>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</si>
  <si>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</si>
  <si>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</si>
  <si>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</si>
  <si>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</si>
  <si>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</si>
  <si>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</si>
  <si>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</si>
  <si>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</si>
  <si>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</si>
  <si>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</si>
  <si>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</si>
  <si>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</si>
  <si>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</si>
  <si>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</si>
  <si>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</si>
  <si>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</si>
  <si>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</si>
  <si>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</si>
  <si>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</si>
  <si>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</si>
  <si>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</si>
  <si>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</si>
  <si>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</si>
  <si>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</si>
  <si>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</si>
  <si>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</si>
  <si>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</si>
  <si>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</si>
  <si>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</si>
  <si>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</si>
  <si>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</si>
  <si>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</si>
  <si>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</si>
  <si>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</si>
  <si>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</si>
  <si>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</si>
  <si>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</si>
  <si>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</si>
  <si>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</si>
  <si>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</si>
  <si>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</si>
  <si>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</si>
  <si>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</si>
  <si>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</si>
  <si>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</si>
  <si>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</si>
  <si>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</si>
  <si>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</si>
  <si>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</si>
  <si>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</si>
  <si>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</si>
  <si>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</si>
  <si>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</si>
  <si>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</si>
  <si>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</si>
  <si>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</si>
  <si>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</si>
  <si>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</si>
  <si>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</si>
  <si>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</si>
  <si>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</si>
  <si>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</si>
  <si>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</si>
  <si>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</si>
  <si>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</si>
  <si>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</si>
  <si>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</si>
  <si>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</si>
  <si>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</si>
  <si>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</si>
  <si>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</si>
  <si>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</si>
  <si>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</si>
  <si>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</si>
  <si>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</si>
  <si>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</si>
  <si>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</si>
  <si>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</si>
  <si>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</si>
  <si>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</si>
  <si>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</si>
  <si>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</si>
  <si>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</si>
  <si>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</si>
  <si>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</si>
  <si>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</si>
  <si>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</si>
  <si>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</si>
  <si>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</si>
  <si>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</si>
  <si>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</si>
  <si>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</si>
  <si>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</si>
  <si>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</si>
  <si>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</si>
  <si>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</si>
  <si>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</si>
  <si>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</si>
  <si>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</si>
  <si>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</si>
  <si>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</si>
  <si>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</si>
  <si>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</si>
  <si>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</si>
  <si>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</si>
  <si>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</si>
  <si>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</si>
  <si>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</si>
  <si>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</si>
  <si>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</si>
  <si>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</si>
  <si>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</si>
  <si>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</si>
  <si>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</si>
  <si>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</si>
  <si>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</si>
  <si>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</si>
  <si>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</si>
  <si>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</si>
  <si>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</si>
  <si>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</si>
  <si>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</si>
  <si>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</si>
  <si>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</si>
  <si>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</si>
  <si>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</si>
  <si>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</si>
  <si>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</si>
  <si>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</si>
  <si>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</si>
  <si>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</si>
  <si>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</si>
  <si>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</si>
  <si>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</si>
  <si>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</si>
  <si>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</si>
  <si>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</si>
  <si>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</si>
  <si>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</si>
  <si>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</si>
  <si>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</si>
  <si>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</si>
  <si>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</si>
  <si>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</si>
  <si>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</si>
  <si>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</si>
  <si>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</si>
  <si>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</si>
  <si>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</si>
  <si>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</si>
  <si>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</si>
  <si>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</si>
  <si>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</si>
  <si>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</si>
  <si>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</si>
  <si>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</si>
  <si>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</si>
  <si>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</si>
  <si>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</si>
  <si>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</si>
  <si>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</si>
  <si>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</si>
  <si>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</si>
  <si>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</si>
  <si>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</si>
  <si>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</si>
  <si>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</si>
  <si>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</si>
  <si>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</si>
  <si>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</si>
  <si>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</si>
  <si>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</si>
  <si>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</si>
  <si>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</si>
  <si>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</si>
  <si>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</si>
  <si>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</si>
  <si>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</si>
  <si>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</si>
  <si>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</si>
  <si>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</si>
  <si>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</si>
  <si>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</si>
  <si>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</si>
  <si>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</si>
  <si>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</si>
  <si>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</si>
  <si>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</si>
  <si>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</si>
  <si>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</si>
  <si>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</si>
  <si>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</si>
  <si>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</si>
  <si>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</si>
  <si>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</si>
  <si>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</si>
  <si>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</si>
  <si>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</si>
  <si>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</si>
  <si>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</si>
  <si>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</si>
  <si>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</si>
  <si>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</si>
  <si>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</si>
  <si>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</si>
  <si>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</si>
  <si>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</si>
  <si>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</si>
  <si>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</si>
  <si>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</si>
  <si>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</si>
  <si>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</si>
  <si>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</si>
  <si>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</si>
  <si>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</si>
  <si>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</si>
  <si>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</si>
  <si>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</si>
  <si>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</si>
  <si>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</si>
  <si>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</si>
  <si>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</si>
  <si>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</si>
  <si>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</si>
  <si>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</si>
  <si>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</si>
  <si>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</si>
  <si>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</si>
  <si>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</si>
  <si>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</si>
  <si>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</si>
  <si>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</si>
  <si>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</si>
  <si>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</si>
  <si>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</si>
  <si>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</si>
  <si>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</si>
  <si>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</si>
  <si>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</si>
  <si>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</si>
  <si>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</si>
  <si>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</si>
  <si>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</si>
  <si>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</si>
  <si>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</si>
  <si>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</si>
  <si>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</si>
  <si>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</si>
  <si>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</si>
  <si>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</si>
  <si>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</si>
  <si>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</si>
  <si>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</si>
  <si>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</si>
  <si>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</si>
  <si>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</si>
  <si>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</si>
  <si>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</si>
  <si>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</si>
  <si>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</si>
  <si>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</si>
  <si>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</si>
  <si>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</si>
  <si>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</si>
  <si>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</si>
  <si>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</si>
  <si>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</si>
  <si>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</si>
  <si>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</si>
  <si>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</si>
  <si>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</si>
  <si>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</si>
  <si>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</si>
  <si>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</si>
  <si>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</si>
  <si>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</si>
  <si>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</si>
  <si>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</si>
  <si>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</si>
  <si>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</si>
  <si>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</si>
  <si>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</si>
  <si>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</si>
  <si>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</si>
  <si>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</si>
  <si>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</si>
  <si>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</si>
  <si>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</si>
  <si>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</si>
  <si>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</si>
  <si>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</si>
  <si>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</si>
  <si>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</si>
  <si>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</si>
  <si>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</si>
  <si>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</si>
  <si>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</si>
  <si>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</si>
  <si>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</si>
  <si>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</si>
  <si>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</si>
  <si>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</si>
  <si>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</si>
  <si>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</si>
  <si>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</si>
  <si>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</si>
  <si>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</si>
  <si>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</si>
  <si>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</si>
  <si>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</si>
  <si>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</si>
  <si>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</si>
  <si>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</si>
  <si>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</si>
  <si>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</si>
  <si>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</si>
  <si>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</si>
  <si>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</si>
  <si>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</si>
  <si>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</si>
  <si>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</si>
  <si>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</si>
  <si>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</si>
  <si>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</si>
  <si>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</si>
  <si>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</si>
  <si>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</si>
  <si>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</si>
  <si>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</si>
  <si>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</si>
  <si>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</si>
  <si>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</si>
  <si>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</si>
  <si>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</si>
  <si>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</si>
  <si>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</si>
  <si>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</si>
  <si>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</si>
  <si>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</si>
  <si>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</si>
  <si>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</si>
  <si>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</si>
  <si>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</si>
  <si>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</si>
  <si>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</si>
  <si>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</si>
  <si>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</si>
  <si>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</si>
  <si>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</si>
  <si>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</si>
  <si>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</si>
  <si>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</si>
  <si>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</si>
  <si>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</si>
  <si>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</si>
  <si>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</si>
  <si>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</si>
  <si>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</si>
  <si>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</si>
  <si>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</si>
  <si>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</si>
  <si>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</si>
  <si>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</si>
  <si>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</si>
  <si>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</si>
  <si>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</si>
  <si>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</si>
  <si>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</si>
  <si>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</si>
  <si>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</si>
  <si>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</si>
  <si>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</si>
  <si>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</si>
  <si>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</si>
  <si>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</si>
  <si>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</si>
  <si>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</si>
  <si>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</si>
  <si>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</si>
  <si>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</si>
  <si>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</si>
  <si>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</si>
  <si>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</si>
  <si>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</si>
  <si>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</si>
  <si>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</si>
  <si>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</si>
  <si>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</si>
  <si>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</si>
  <si>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</si>
  <si>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</si>
  <si>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</si>
  <si>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</si>
  <si>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</si>
  <si>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</si>
  <si>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</si>
  <si>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</si>
  <si>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</si>
  <si>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</si>
  <si>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</si>
  <si>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</si>
  <si>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</si>
  <si>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</si>
  <si>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</si>
  <si>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</si>
  <si>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</si>
  <si>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</si>
  <si>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</si>
  <si>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</si>
  <si>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</si>
  <si>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</si>
  <si>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</si>
  <si>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</si>
  <si>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</si>
  <si>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</si>
  <si>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</si>
  <si>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</si>
  <si>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</si>
  <si>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</si>
  <si>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</si>
  <si>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</si>
  <si>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</si>
  <si>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</si>
  <si>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</si>
  <si>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</si>
  <si>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</si>
  <si>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</si>
  <si>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</si>
  <si>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</si>
  <si>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</si>
  <si>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</si>
  <si>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</si>
  <si>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</si>
  <si>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</si>
  <si>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</si>
  <si>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</si>
  <si>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</si>
  <si>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</si>
  <si>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</si>
  <si>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</si>
  <si>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</si>
  <si>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</si>
  <si>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</si>
  <si>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</si>
  <si>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</si>
  <si>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</si>
  <si>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</si>
  <si>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</si>
  <si>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</si>
  <si>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</si>
  <si>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</si>
  <si>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</si>
  <si>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</si>
  <si>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</si>
  <si>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</si>
  <si>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</si>
  <si>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</si>
  <si>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</si>
  <si>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</si>
  <si>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</si>
  <si>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</si>
  <si>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</si>
  <si>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</si>
  <si>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</si>
  <si>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</si>
  <si>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</si>
  <si>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</si>
  <si>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</si>
  <si>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</si>
  <si>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</si>
  <si>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</si>
  <si>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</si>
  <si>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</si>
  <si>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</si>
  <si>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</si>
  <si>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</si>
  <si>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</si>
  <si>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</si>
  <si>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</si>
  <si>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</si>
  <si>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</si>
  <si>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</si>
  <si>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</si>
  <si>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</si>
  <si>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</si>
  <si>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</si>
  <si>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</si>
  <si>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</si>
  <si>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</si>
  <si>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</si>
  <si>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</si>
  <si>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</si>
  <si>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</si>
  <si>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</si>
  <si>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</si>
  <si>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</si>
  <si>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</si>
  <si>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</si>
  <si>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</si>
  <si>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</si>
  <si>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</si>
  <si>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</si>
  <si>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</si>
  <si>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</si>
  <si>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</si>
  <si>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</si>
  <si>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</si>
  <si>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</si>
  <si>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</si>
  <si>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</si>
  <si>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</si>
  <si>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</si>
  <si>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</si>
  <si>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</si>
  <si>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</si>
  <si>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</si>
  <si>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</si>
  <si>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</si>
  <si>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</si>
  <si>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</si>
  <si>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</si>
  <si>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</si>
  <si>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</si>
  <si>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</si>
  <si>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</si>
  <si>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</si>
  <si>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</si>
  <si>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</si>
  <si>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</si>
  <si>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</si>
  <si>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</si>
  <si>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</si>
  <si>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</si>
  <si>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</si>
  <si>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</si>
  <si>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</si>
  <si>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</si>
  <si>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</si>
  <si>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</si>
  <si>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</si>
  <si>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</si>
  <si>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</si>
  <si>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</si>
  <si>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</si>
  <si>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</si>
  <si>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</si>
  <si>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</si>
  <si>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</si>
  <si>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</si>
  <si>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</si>
  <si>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</si>
  <si>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</si>
  <si>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</si>
  <si>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</si>
  <si>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</si>
  <si>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</si>
  <si>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</si>
  <si>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</si>
  <si>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</si>
  <si>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</si>
  <si>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</si>
  <si>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</si>
  <si>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</si>
  <si>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</si>
  <si>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</si>
  <si>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</si>
  <si>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</si>
  <si>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</si>
  <si>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</si>
  <si>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</si>
  <si>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</si>
  <si>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</si>
  <si>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</si>
  <si>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</si>
  <si>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</si>
  <si>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</si>
  <si>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</si>
  <si>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</si>
  <si>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</si>
  <si>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</si>
  <si>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</si>
  <si>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</si>
  <si>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</si>
  <si>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</si>
  <si>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</si>
  <si>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</si>
  <si>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</si>
  <si>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</si>
  <si>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</si>
  <si>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</si>
  <si>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</si>
  <si>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</si>
  <si>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</si>
  <si>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</si>
  <si>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</si>
  <si>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</si>
  <si>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</si>
  <si>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</si>
  <si>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</si>
  <si>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</si>
  <si>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</si>
  <si>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</si>
  <si>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</si>
  <si>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</si>
  <si>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</si>
  <si>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</si>
  <si>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</si>
  <si>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</si>
  <si>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</si>
  <si>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</si>
  <si>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</si>
  <si>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</si>
  <si>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</si>
  <si>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</si>
  <si>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</si>
  <si>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</si>
  <si>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</si>
  <si>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</si>
  <si>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</si>
  <si>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</si>
  <si>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</si>
  <si>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</si>
  <si>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</si>
  <si>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</si>
  <si>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</si>
  <si>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</si>
  <si>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</si>
  <si>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</si>
  <si>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</si>
  <si>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</si>
  <si>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</si>
  <si>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</si>
  <si>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</si>
  <si>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</si>
  <si>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</si>
  <si>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</si>
  <si>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</si>
  <si>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</si>
  <si>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</si>
  <si>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</si>
  <si>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</si>
  <si>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</si>
  <si>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</si>
  <si>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</si>
  <si>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</si>
  <si>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</si>
  <si>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</si>
  <si>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</si>
  <si>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</si>
  <si>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</si>
  <si>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</si>
  <si>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</si>
  <si>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</si>
  <si>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</si>
  <si>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</si>
  <si>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</si>
  <si>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</si>
  <si>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</si>
  <si>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</si>
  <si>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</si>
  <si>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</si>
  <si>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</si>
  <si>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</si>
  <si>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</si>
  <si>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</si>
  <si>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</si>
  <si>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</si>
  <si>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</si>
  <si>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</si>
  <si>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</si>
  <si>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</si>
  <si>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</si>
  <si>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</si>
  <si>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</si>
  <si>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</si>
  <si>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</si>
  <si>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</si>
  <si>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</si>
  <si>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</si>
  <si>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</si>
  <si>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</si>
  <si>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</si>
  <si>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</si>
  <si>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</si>
  <si>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</si>
  <si>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</si>
  <si>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</si>
  <si>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</si>
  <si>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</si>
  <si>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</si>
  <si>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</si>
  <si>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</si>
  <si>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</si>
  <si>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</si>
  <si>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</si>
  <si>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</si>
  <si>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</si>
  <si>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</si>
  <si>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</si>
  <si>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</si>
  <si>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</si>
  <si>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</si>
  <si>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</si>
  <si>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</si>
  <si>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</si>
  <si>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</si>
  <si>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</si>
  <si>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</si>
  <si>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</si>
  <si>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</si>
  <si>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</si>
  <si>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</si>
  <si>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</si>
  <si>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</si>
  <si>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</si>
  <si>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</si>
  <si>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</si>
  <si>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</si>
  <si>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</si>
  <si>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</si>
  <si>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</si>
  <si>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</si>
  <si>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</si>
  <si>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</si>
  <si>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</si>
  <si>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</si>
  <si>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</si>
  <si>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</si>
  <si>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</si>
  <si>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</si>
  <si>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</si>
  <si>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</si>
  <si>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</si>
  <si>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</si>
  <si>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</si>
  <si>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</si>
  <si>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</si>
  <si>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</si>
  <si>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</si>
  <si>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</si>
  <si>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</si>
  <si>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</si>
  <si>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</si>
  <si>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</si>
  <si>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</si>
  <si>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</si>
  <si>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</si>
  <si>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</si>
  <si>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</si>
  <si>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</si>
  <si>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</si>
  <si>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</si>
  <si>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</si>
  <si>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</si>
  <si>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</si>
  <si>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</si>
  <si>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</si>
  <si>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</si>
  <si>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</si>
  <si>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</si>
  <si>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</si>
  <si>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</si>
  <si>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</si>
  <si>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</si>
  <si>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</si>
  <si>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</si>
  <si>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</si>
  <si>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</si>
  <si>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</si>
  <si>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</si>
  <si>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</si>
  <si>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</si>
  <si>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</si>
  <si>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</si>
  <si>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</si>
  <si>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</si>
  <si>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</si>
  <si>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</si>
  <si>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</si>
  <si>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</si>
  <si>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</si>
  <si>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</si>
  <si>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</si>
  <si>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</si>
  <si>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</si>
  <si>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</si>
  <si>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</si>
  <si>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</si>
  <si>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</si>
  <si>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</si>
  <si>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</si>
  <si>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</si>
  <si>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</si>
  <si>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</si>
  <si>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</si>
  <si>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</si>
  <si>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</si>
  <si>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</si>
  <si>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</si>
  <si>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</si>
  <si>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</si>
  <si>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</si>
  <si>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</si>
  <si>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</si>
  <si>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</si>
  <si>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</si>
  <si>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</si>
  <si>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</si>
  <si>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</si>
  <si>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</si>
  <si>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</si>
  <si>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</si>
  <si>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</si>
  <si>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</si>
  <si>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</si>
  <si>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</si>
  <si>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</si>
  <si>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</si>
  <si>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</si>
  <si>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</si>
  <si>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</si>
  <si>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</si>
  <si>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</si>
  <si>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</si>
  <si>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</si>
  <si>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</si>
  <si>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</si>
  <si>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</si>
  <si>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</si>
  <si>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</si>
  <si>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</si>
  <si>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</si>
  <si>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</si>
  <si>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</si>
  <si>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</si>
  <si>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</si>
  <si>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</si>
  <si>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</si>
  <si>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</si>
  <si>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</si>
  <si>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</si>
  <si>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</si>
  <si>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</si>
  <si>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</si>
  <si>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</si>
  <si>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</si>
  <si>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</si>
  <si>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</si>
  <si>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</si>
  <si>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</si>
  <si>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</si>
  <si>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</si>
  <si>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</si>
  <si>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</si>
  <si>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</si>
  <si>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</si>
  <si>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</si>
  <si>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</si>
  <si>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</si>
  <si>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</si>
  <si>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</si>
  <si>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</si>
  <si>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</si>
  <si>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</si>
  <si>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</si>
  <si>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</si>
  <si>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</si>
  <si>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</si>
  <si>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</si>
  <si>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</si>
  <si>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</si>
  <si>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</si>
  <si>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</si>
  <si>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</si>
  <si>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</si>
  <si>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</si>
  <si>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</si>
  <si>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</si>
  <si>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</si>
  <si>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</si>
  <si>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</si>
  <si>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</si>
  <si>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</si>
  <si>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</si>
  <si>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</si>
  <si>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</si>
  <si>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</si>
  <si>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</si>
  <si>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</si>
  <si>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</si>
  <si>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</si>
  <si>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</si>
  <si>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</si>
  <si>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</si>
  <si>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</si>
  <si>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</si>
  <si>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</si>
  <si>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</si>
  <si>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</si>
  <si>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</si>
  <si>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</si>
  <si>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</si>
  <si>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</si>
  <si>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</si>
  <si>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</si>
  <si>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</si>
  <si>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</si>
  <si>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</si>
  <si>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</si>
  <si>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</si>
  <si>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</si>
  <si>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</si>
  <si>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</si>
  <si>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</si>
  <si>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</si>
  <si>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</si>
  <si>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</si>
  <si>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</si>
  <si>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</si>
  <si>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</si>
  <si>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</si>
  <si>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</si>
  <si>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</si>
  <si>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</si>
  <si>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</si>
  <si>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</si>
  <si>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</si>
  <si>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</si>
  <si>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</si>
  <si>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</si>
  <si>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</si>
  <si>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</si>
  <si>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</si>
  <si>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</si>
  <si>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</si>
  <si>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</si>
  <si>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</si>
  <si>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</si>
  <si>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</si>
  <si>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</si>
  <si>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</si>
  <si>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</si>
  <si>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</si>
  <si>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</si>
  <si>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</si>
  <si>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</si>
  <si>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</si>
  <si>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</si>
  <si>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</si>
  <si>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</si>
  <si>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</si>
  <si>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</si>
  <si>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</si>
  <si>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</si>
  <si>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</si>
  <si>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</si>
  <si>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</si>
  <si>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</si>
  <si>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</si>
  <si>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</si>
  <si>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</si>
  <si>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</si>
  <si>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</si>
  <si>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</si>
  <si>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</si>
  <si>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</si>
  <si>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</si>
  <si>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</si>
  <si>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</si>
  <si>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</si>
  <si>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</si>
  <si>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</si>
  <si>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</si>
  <si>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</si>
  <si>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</si>
  <si>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</si>
  <si>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</si>
  <si>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</si>
  <si>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</si>
  <si>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</si>
  <si>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</si>
  <si>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</si>
  <si>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</si>
  <si>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</si>
  <si>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</si>
  <si>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</si>
  <si>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</si>
  <si>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</si>
  <si>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</si>
  <si>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</si>
  <si>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</si>
  <si>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</si>
  <si>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</si>
  <si>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</si>
  <si>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</si>
  <si>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</si>
  <si>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</si>
  <si>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</si>
  <si>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</si>
  <si>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</si>
  <si>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</si>
  <si>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</si>
  <si>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</si>
  <si>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</si>
  <si>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</si>
  <si>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</si>
  <si>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</si>
  <si>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</si>
  <si>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</si>
  <si>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</si>
  <si>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</si>
  <si>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</si>
  <si>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</si>
  <si>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</si>
  <si>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</si>
  <si>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</si>
  <si>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</si>
  <si>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</si>
  <si>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</si>
  <si>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</si>
  <si>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</si>
  <si>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</si>
  <si>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</si>
  <si>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</si>
  <si>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</si>
  <si>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</si>
  <si>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</si>
  <si>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</si>
  <si>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</si>
  <si>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</si>
  <si>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</si>
  <si>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</si>
  <si>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</si>
  <si>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</si>
  <si>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</si>
  <si>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</si>
  <si>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</si>
  <si>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</si>
  <si>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</si>
  <si>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</si>
  <si>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</si>
  <si>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</si>
  <si>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</si>
  <si>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</si>
  <si>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</si>
  <si>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</si>
  <si>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</si>
  <si>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</si>
  <si>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</si>
  <si>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</si>
  <si>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</si>
  <si>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</si>
  <si>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</si>
  <si>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</si>
  <si>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</si>
  <si>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</si>
  <si>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</si>
  <si>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</si>
  <si>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</si>
  <si>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</si>
  <si>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</si>
  <si>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</si>
  <si>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</si>
  <si>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</si>
  <si>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</si>
  <si>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</si>
  <si>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</si>
  <si>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</si>
  <si>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</si>
  <si>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</si>
  <si>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</si>
  <si>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</si>
  <si>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</si>
  <si>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</si>
  <si>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</si>
  <si>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</si>
  <si>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</si>
  <si>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</si>
  <si>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</si>
  <si>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</si>
  <si>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</si>
  <si>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</si>
  <si>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</si>
  <si>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</si>
  <si>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</si>
  <si>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</si>
  <si>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</si>
  <si>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</si>
  <si>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</si>
  <si>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</si>
  <si>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</si>
  <si>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</si>
  <si>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</si>
  <si>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</si>
  <si>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</si>
  <si>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</si>
  <si>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</si>
  <si>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</si>
  <si>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</si>
  <si>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</si>
  <si>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</si>
  <si>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</si>
  <si>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</si>
  <si>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</si>
  <si>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</si>
  <si>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</si>
  <si>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</si>
  <si>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</si>
  <si>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</si>
  <si>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</si>
  <si>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</si>
  <si>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</si>
  <si>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</si>
  <si>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</si>
  <si>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</si>
  <si>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</si>
  <si>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</si>
  <si>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</si>
  <si>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</si>
  <si>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</si>
  <si>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</si>
  <si>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</si>
  <si>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</si>
  <si>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</si>
  <si>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</si>
  <si>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</si>
  <si>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</si>
  <si>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</si>
  <si>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</si>
  <si>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</si>
  <si>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</si>
  <si>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</si>
  <si>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</si>
  <si>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</si>
  <si>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</si>
  <si>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</si>
  <si>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</si>
  <si>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</si>
  <si>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</si>
  <si>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</si>
  <si>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</si>
  <si>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</si>
  <si>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</si>
  <si>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</si>
  <si>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</si>
  <si>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</si>
  <si>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</si>
  <si>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</si>
  <si>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</si>
  <si>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</si>
  <si>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</si>
  <si>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</si>
  <si>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</si>
  <si>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</si>
  <si>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</si>
  <si>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</si>
  <si>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</si>
  <si>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</si>
  <si>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</si>
  <si>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</si>
  <si>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</si>
  <si>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</si>
  <si>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</si>
  <si>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</si>
  <si>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</si>
  <si>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</si>
  <si>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</si>
  <si>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</si>
  <si>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</si>
  <si>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</si>
  <si>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</si>
  <si>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</si>
  <si>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</si>
  <si>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</si>
  <si>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</si>
  <si>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</si>
  <si>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</si>
  <si>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</si>
  <si>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</si>
  <si>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</si>
  <si>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</si>
  <si>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</si>
  <si>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</si>
  <si>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</si>
  <si>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</si>
  <si>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</si>
  <si>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</si>
  <si>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</si>
  <si>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</si>
  <si>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</si>
  <si>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</si>
  <si>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</si>
  <si>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</si>
  <si>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</si>
  <si>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</si>
  <si>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</si>
  <si>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</si>
  <si>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</si>
  <si>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</si>
  <si>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</si>
  <si>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</si>
  <si>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</si>
  <si>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</si>
  <si>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</si>
  <si>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</si>
  <si>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</si>
  <si>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</si>
  <si>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</si>
  <si>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</si>
  <si>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</si>
  <si>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</si>
  <si>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</si>
  <si>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</si>
  <si>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</si>
  <si>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</si>
  <si>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</si>
  <si>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</si>
  <si>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</si>
  <si>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</si>
  <si>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</si>
  <si>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</si>
  <si>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</si>
  <si>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</si>
  <si>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</si>
  <si>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</si>
  <si>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</si>
  <si>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</si>
  <si>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</si>
  <si>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</si>
  <si>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</si>
  <si>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</si>
  <si>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</si>
  <si>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</si>
  <si>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</si>
  <si>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</si>
  <si>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</si>
  <si>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</si>
  <si>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</si>
  <si>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</si>
  <si>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</si>
  <si>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</si>
  <si>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</si>
  <si>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</si>
  <si>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</si>
  <si>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</si>
  <si>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</si>
  <si>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</si>
  <si>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</si>
  <si>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</si>
  <si>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</si>
  <si>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</si>
  <si>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</si>
  <si>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</si>
  <si>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</si>
  <si>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</si>
  <si>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</si>
  <si>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</si>
  <si>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</si>
  <si>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</si>
  <si>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</si>
  <si>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</si>
  <si>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</si>
  <si>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</si>
  <si>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</si>
  <si>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</si>
  <si>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</si>
  <si>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</si>
  <si>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</si>
  <si>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</si>
  <si>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</si>
  <si>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</si>
  <si>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</si>
  <si>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</si>
  <si>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</si>
  <si>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</si>
  <si>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</si>
  <si>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</si>
  <si>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</si>
  <si>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</si>
  <si>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</si>
  <si>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</si>
  <si>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</si>
  <si>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</si>
  <si>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</si>
  <si>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</si>
  <si>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</si>
  <si>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</si>
  <si>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</si>
  <si>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</si>
  <si>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</si>
  <si>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</si>
  <si>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</si>
  <si>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</si>
  <si>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</si>
  <si>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</si>
  <si>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</si>
  <si>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</si>
  <si>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</si>
  <si>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</si>
  <si>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</si>
  <si>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</si>
  <si>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</si>
  <si>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</si>
  <si>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</si>
  <si>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</si>
  <si>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</si>
  <si>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</si>
  <si>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</si>
  <si>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</si>
  <si>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</si>
  <si>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</si>
  <si>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</si>
  <si>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</si>
  <si>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</si>
  <si>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</si>
  <si>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</si>
  <si>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</si>
  <si>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</si>
  <si>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</si>
  <si>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</si>
  <si>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</si>
  <si>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</si>
  <si>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</si>
  <si>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</si>
  <si>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</si>
  <si>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</si>
  <si>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</si>
  <si>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</si>
  <si>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</si>
  <si>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</si>
  <si>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</si>
  <si>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</si>
  <si>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</si>
  <si>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</si>
  <si>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</si>
  <si>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</si>
  <si>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</si>
  <si>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</si>
  <si>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</si>
  <si>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</si>
  <si>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</si>
  <si>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</si>
  <si>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</si>
  <si>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</si>
  <si>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</si>
  <si>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</si>
  <si>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</si>
  <si>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</si>
  <si>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</si>
  <si>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</si>
  <si>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</si>
  <si>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</si>
  <si>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</si>
  <si>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</si>
  <si>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</si>
  <si>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</si>
  <si>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</si>
  <si>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</si>
  <si>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</si>
  <si>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</si>
  <si>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</si>
  <si>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</si>
  <si>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</si>
  <si>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</si>
  <si>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</si>
  <si>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</si>
  <si>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</si>
  <si>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</si>
  <si>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</si>
  <si>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</si>
  <si>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</si>
  <si>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</si>
  <si>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</si>
  <si>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</si>
  <si>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</si>
  <si>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</si>
  <si>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</si>
  <si>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</si>
  <si>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</si>
  <si>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</si>
  <si>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</si>
  <si>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</si>
  <si>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</si>
  <si>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</si>
  <si>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</si>
  <si>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</si>
  <si>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</si>
  <si>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</si>
  <si>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</si>
  <si>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</si>
  <si>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</si>
  <si>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</si>
  <si>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</si>
  <si>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</si>
  <si>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</si>
  <si>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</si>
  <si>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</si>
  <si>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</si>
  <si>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</si>
  <si>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</si>
  <si>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</si>
  <si>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</si>
  <si>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</si>
  <si>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</si>
  <si>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</si>
  <si>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</si>
  <si>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</si>
  <si>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</si>
  <si>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</si>
  <si>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</si>
  <si>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</si>
  <si>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</si>
  <si>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</si>
  <si>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</si>
  <si>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</si>
  <si>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</si>
  <si>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</si>
  <si>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</si>
  <si>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</si>
  <si>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</si>
  <si>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</si>
  <si>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</si>
  <si>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</si>
  <si>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</si>
  <si>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</si>
  <si>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</si>
  <si>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</si>
  <si>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</si>
  <si>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</si>
  <si>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</si>
  <si>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</si>
  <si>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</si>
  <si>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</si>
  <si>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</si>
  <si>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</si>
  <si>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</si>
  <si>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</si>
  <si>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</si>
  <si>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</si>
  <si>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</si>
  <si>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</si>
  <si>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</si>
  <si>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</si>
  <si>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</si>
  <si>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</si>
  <si>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</si>
  <si>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</si>
  <si>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</si>
  <si>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</si>
  <si>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</si>
  <si>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</si>
  <si>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</si>
  <si>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</si>
  <si>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</si>
  <si>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</si>
  <si>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</si>
  <si>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</si>
  <si>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</si>
  <si>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</si>
  <si>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</si>
  <si>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</si>
  <si>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</si>
  <si>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</si>
  <si>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</si>
  <si>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</si>
  <si>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</si>
  <si>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</si>
  <si>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</si>
  <si>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</si>
  <si>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</si>
  <si>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</si>
  <si>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</si>
  <si>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</si>
  <si>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</si>
  <si>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</si>
  <si>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</si>
  <si>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</si>
  <si>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</si>
  <si>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</si>
  <si>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</si>
  <si>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</si>
  <si>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</si>
  <si>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</si>
  <si>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</si>
  <si>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</si>
  <si>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</si>
  <si>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</si>
  <si>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</si>
  <si>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</si>
  <si>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</si>
  <si>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</si>
  <si>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</si>
  <si>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</si>
  <si>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</si>
  <si>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</si>
  <si>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</si>
  <si>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</si>
  <si>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</si>
  <si>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</si>
  <si>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</si>
  <si>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</si>
  <si>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</si>
  <si>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</si>
  <si>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</si>
  <si>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</si>
  <si>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</si>
  <si>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</si>
  <si>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</si>
  <si>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</si>
  <si>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</si>
  <si>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</si>
  <si>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</si>
  <si>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</si>
  <si>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</si>
  <si>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</si>
  <si>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</si>
  <si>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</si>
  <si>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</si>
  <si>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</si>
  <si>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</si>
  <si>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</si>
  <si>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</si>
  <si>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</si>
  <si>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</si>
  <si>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</si>
  <si>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</si>
  <si>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</si>
  <si>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</si>
  <si>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</si>
  <si>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</si>
  <si>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</si>
  <si>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</si>
  <si>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</si>
  <si>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</si>
  <si>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</si>
  <si>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</si>
  <si>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</si>
  <si>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</si>
  <si>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</si>
  <si>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</si>
  <si>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</si>
  <si>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</si>
  <si>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</si>
  <si>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</si>
  <si>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</si>
  <si>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</si>
  <si>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</si>
  <si>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</si>
  <si>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</si>
  <si>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</si>
  <si>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</si>
  <si>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</si>
  <si>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</si>
  <si>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</si>
  <si>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</si>
  <si>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</si>
  <si>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</si>
  <si>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</si>
  <si>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</si>
  <si>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</si>
  <si>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2019-001</t>
  </si>
  <si>
    <t>Budget Violations</t>
  </si>
  <si>
    <t>Unresolved - See Finding 2020-001</t>
  </si>
  <si>
    <t>Princeville Community Unit School District No. 326</t>
  </si>
  <si>
    <t>909 N. Town Avenue</t>
  </si>
  <si>
    <t>Princeville</t>
  </si>
  <si>
    <t>sduling@princeville326.org</t>
  </si>
  <si>
    <t>The approved budget sets the authorized expenditure limitation for each fund.</t>
  </si>
  <si>
    <t>In the future, when budget constraints cannot be met, an amended budget should be filed to provide enough budgeted funds to cover expenses in each fund.</t>
  </si>
  <si>
    <t>The District will monitor actual expenditures compared to budget and file budget amendments when warranted to ensure actual expenditures do not surpass budgeted amounts.</t>
  </si>
  <si>
    <t>Princeville Community Unit School District No, 326</t>
  </si>
  <si>
    <t>48-072-3260-26</t>
  </si>
  <si>
    <r>
      <t>CORRECTIVE ACTION PLAN FOR CURRENT YEAR AUDIT FINDINGS</t>
    </r>
    <r>
      <rPr>
        <b/>
        <vertAlign val="superscript"/>
        <sz val="9"/>
        <rFont val="Arial"/>
        <family val="2"/>
      </rPr>
      <t>21</t>
    </r>
  </si>
  <si>
    <t>Corrective Action Plan</t>
  </si>
  <si>
    <t>Finding No.:</t>
  </si>
  <si>
    <t>Condition:</t>
  </si>
  <si>
    <t>Plan:</t>
  </si>
  <si>
    <t>Anticipated Date of Completion:</t>
  </si>
  <si>
    <t>July, 2020</t>
  </si>
  <si>
    <t>Name of Contact Person:</t>
  </si>
  <si>
    <t>Shannon Duling, Superintendent</t>
  </si>
  <si>
    <t>Management Response:</t>
  </si>
  <si>
    <t>None required.</t>
  </si>
  <si>
    <r>
      <t>21</t>
    </r>
    <r>
      <rPr>
        <sz val="8"/>
        <rFont val="Arial"/>
        <family val="2"/>
      </rPr>
      <t xml:space="preserve">  Must address </t>
    </r>
    <r>
      <rPr>
        <b/>
        <sz val="8"/>
        <rFont val="Arial"/>
        <family val="2"/>
      </rPr>
      <t>each</t>
    </r>
    <r>
      <rPr>
        <sz val="8"/>
        <rFont val="Arial"/>
        <family val="2"/>
      </rPr>
      <t xml:space="preserve"> audit finding  - §200.511 ( c)</t>
    </r>
  </si>
  <si>
    <t>2020-</t>
  </si>
  <si>
    <t>Year Ending June 30, 2020</t>
  </si>
  <si>
    <t>G.O. School Bonds, 2014</t>
  </si>
  <si>
    <t>G.O. School Bonds, 2016</t>
  </si>
  <si>
    <t>Alt. Rev. School Bonds, 2019</t>
  </si>
  <si>
    <t>Working Cash Bonds, 2019A</t>
  </si>
  <si>
    <t>Working Cash Bonds, 2020</t>
  </si>
  <si>
    <t>x</t>
  </si>
  <si>
    <t>Tim Custis</t>
  </si>
  <si>
    <t>tcustis@gorenzcpa.com</t>
  </si>
  <si>
    <t>IDEA - Cluster 2020</t>
  </si>
  <si>
    <t>Illinois State Board of Education</t>
  </si>
  <si>
    <t>U.S. Dept. of Education</t>
  </si>
  <si>
    <t>The Code of Federal Regulations (CFR) Title 2, part 180.220 states that non-Federal entities are prohibited from contracting with or making sub-awards under covered transactions to parties that are suspended or disbarred.</t>
  </si>
  <si>
    <t xml:space="preserve">The district did not obtain debarment certification or check the System for Award Management website for vendors contracted in excess of $25,000 related to the grant program. Upon further review, it was determined that the vendors were not suspended or debarred. </t>
  </si>
  <si>
    <t>None</t>
  </si>
  <si>
    <t>The district did not verify that selected vendors were not suspended or debarred.</t>
  </si>
  <si>
    <t>Noncompliance with the federal award program's suspension and debarment compliance requirements could occur and not be detected and corrected timely.</t>
  </si>
  <si>
    <t>Procedures are not in place to verify if vendors contracted with in excess of $25,000 related to the IDEA Cluster program are not suspended, debarred, or otherwise excluded from doing business.</t>
  </si>
  <si>
    <t>Procedures need to be implemented to ensure that all vendors contracted with have not been suspended or debarred or otherwise excluded from doing business, prior to procuring their services.</t>
  </si>
  <si>
    <t>Procedures will be implemented to ensure all vendors contracted with have not been suspended or debarred or otherwise excluded from doing business, prior to procuring their services.</t>
  </si>
  <si>
    <t>2020-4620-00</t>
  </si>
  <si>
    <t>The District contracted with several different entities throughout the year who provided goods and services for the IDEA Program without checking whether or not the vendors were debarred.</t>
  </si>
  <si>
    <t>Adopt a policy to check for debarred vendors before entering into a contract.</t>
  </si>
  <si>
    <t xml:space="preserve">IDEA Cluster </t>
  </si>
  <si>
    <t>Unmodified</t>
  </si>
  <si>
    <t>The Illinois Compiled Statutes, Chapter 105, Section 5, Paragraph 17-1, requires that total expenditures and transfers not exceed the budgeted expenditures and transfers for any fund.</t>
  </si>
  <si>
    <t>Actual expenditures exceeded the budget in the above referenced funds.</t>
  </si>
  <si>
    <t>The Board of Education is approving expenditures without adequately monitoring budget to actaul comparisons.</t>
  </si>
  <si>
    <t>Management has allowed expenditures and/or transfers to exceed amounts budgeted for the following funds: Operations and Maintenance Fund - Actual: $481,608 and budgeted: $479,644; Debt Service Fund - Actual: $928,247 and budgeted: $901,761; IMRF Fund - Actual:  $267,652 and budgeted: $259,168; Working Cash Fund - Actual: $1,500,000 and budgeted: $0; Fire Safety Fund - Actual $313,375 and budgeted: $288,328</t>
  </si>
  <si>
    <t>Management has allowed expenditures and/or transfers to exceed amounts budgeted for the following funds:
     Operations and Maintenance Fund - Actual expenditures of $481,608 while the budgeted amount was only $479,644; Debt Service Fund - Actual expenditures of $928,247 and budgeted: $901,761; IMRF Fund - Actual expenditures of $267,652 and budgeted: $259,168; Working Cash Fund - Actual expenditures of $1,500,000 and budgeted: $0; Fire Safety Fund - Actual expenditures of $313,375 and budgeted: $288,328</t>
  </si>
  <si>
    <r>
      <t>The accompanying Schedule of Expenditures of Federal Awards includes the federal grant activity of Princeville Community Unit School District No. 326 and is presented on the Cash Basis</t>
    </r>
    <r>
      <rPr>
        <b/>
        <sz val="9"/>
        <rFont val="Calibri"/>
        <family val="2"/>
        <scheme val="minor"/>
      </rPr>
      <t xml:space="preserve"> </t>
    </r>
    <r>
      <rPr>
        <sz val="9"/>
        <rFont val="Calibri"/>
        <family val="2"/>
        <scheme val="minor"/>
      </rPr>
      <t>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</si>
  <si>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 subrecipients for the year ended June 30, 2020</t>
  </si>
  <si>
    <t>The following amounts were expended in the form of non-cash assistance by Princeville Community Unit School District No. 326 and should be included in the Schedule of Expenditures of Federal Awards:</t>
  </si>
  <si>
    <t>Note 6:  Other Information</t>
  </si>
  <si>
    <t>Note 5: Relationship to Basic Financial Statements and Program Financial Reports</t>
  </si>
  <si>
    <t>Migrant Head Start</t>
  </si>
  <si>
    <t>Shannon Duling</t>
  </si>
  <si>
    <t>Part C - 20 - See Findings 2020-001 and 2020-002</t>
  </si>
  <si>
    <t>Tort-Workers Comp Ins-Purch. Serv.</t>
  </si>
  <si>
    <t>Accident Fund Ins.</t>
  </si>
  <si>
    <t>Trans-Lease-Purch. Serv.</t>
  </si>
  <si>
    <t>Midwest Transit Equipment</t>
  </si>
  <si>
    <t>Santander Leasing</t>
  </si>
  <si>
    <t>Tort-Board of Ed. Insurance-Purch. Serv.</t>
  </si>
  <si>
    <t>James Unland &amp; Co.</t>
  </si>
  <si>
    <t>SEAPCO</t>
  </si>
  <si>
    <t>LAA (Limestone Area Administrators)</t>
  </si>
  <si>
    <t>Page 10, Line 81 - Parking and Locker Fees</t>
  </si>
  <si>
    <t>Page 10, Line 106 - Child Care Revenues</t>
  </si>
  <si>
    <t>Page 10, Cell C107 - Refunds and Reimbursements</t>
  </si>
  <si>
    <t>Page 10, Cell D107 - Refunds and Reimbursements</t>
  </si>
  <si>
    <t>Page 12, Line 168 - State Share of Head Start</t>
  </si>
  <si>
    <t>Page 12, Line 180 - REAP Grant</t>
  </si>
  <si>
    <t>Of the federal expenditures presented in the schedule, Princeville Community Unit School District No. 326 provided federal awards to subrecipients as follows:</t>
  </si>
  <si>
    <t>Page 16, Line 73 - Daycare &amp; Head Start Expenses</t>
  </si>
  <si>
    <t>Page 20, Line 278 - Daycare &amp; Head Start Expenses</t>
  </si>
  <si>
    <t>Page 18, Line 171 - Bond Issuance Costs</t>
  </si>
  <si>
    <t xml:space="preserve">                             For the Year Ended June 30, 2020                             </t>
  </si>
  <si>
    <t>ISBE</t>
  </si>
  <si>
    <t>Expenditures/Disbursements</t>
  </si>
  <si>
    <t>Project</t>
  </si>
  <si>
    <t xml:space="preserve">Prior to </t>
  </si>
  <si>
    <t>7/01/2019</t>
  </si>
  <si>
    <t>Prior to</t>
  </si>
  <si>
    <t>Final</t>
  </si>
  <si>
    <t>Federal Grantor/Pass-Through Grantor,</t>
  </si>
  <si>
    <t>Number</t>
  </si>
  <si>
    <t>Encumbrances</t>
  </si>
  <si>
    <t>Program Title &amp; Major Program Designation</t>
  </si>
  <si>
    <t xml:space="preserve">U.S. Department of Agriculture - </t>
  </si>
  <si>
    <t>Pass-through program from</t>
  </si>
  <si>
    <t>School Lunch - Regular, Free &amp; Reduced</t>
  </si>
  <si>
    <t>19-4210-00</t>
  </si>
  <si>
    <t>N/A</t>
  </si>
  <si>
    <t>20-4210-00</t>
  </si>
  <si>
    <t>Department of Defense</t>
  </si>
  <si>
    <t>Fruits and Vegetables (2)</t>
  </si>
  <si>
    <t>FY 2019</t>
  </si>
  <si>
    <t>FY 2020</t>
  </si>
  <si>
    <t>Food Donation (2)</t>
  </si>
  <si>
    <t>Total for CFDA 10.555</t>
  </si>
  <si>
    <t>19-4220-00</t>
  </si>
  <si>
    <t>19-4220-18</t>
  </si>
  <si>
    <t>20-4220-00</t>
  </si>
  <si>
    <t>Total for CFDA 10.553</t>
  </si>
  <si>
    <t>Summer Food Program</t>
  </si>
  <si>
    <t>20-4225-00</t>
  </si>
  <si>
    <t>Total Child Nutrition Cluster</t>
  </si>
  <si>
    <t>Child and Adult Food Program</t>
  </si>
  <si>
    <t>19-4226-00</t>
  </si>
  <si>
    <t>20-4226-00</t>
  </si>
  <si>
    <t>Total for CFDA 10.558</t>
  </si>
  <si>
    <t>Total U.S. Department of Agriculture - Pass-through program</t>
  </si>
  <si>
    <t xml:space="preserve">U.S. Department of Education - </t>
  </si>
  <si>
    <t>84.010</t>
  </si>
  <si>
    <t>19-4300-00</t>
  </si>
  <si>
    <t>20-4300-00</t>
  </si>
  <si>
    <t>19-4340-00</t>
  </si>
  <si>
    <t>20-4340-00</t>
  </si>
  <si>
    <t>Title I - Migrant Education - Summer</t>
  </si>
  <si>
    <t>19-4340-01</t>
  </si>
  <si>
    <t>20-4340-01</t>
  </si>
  <si>
    <t xml:space="preserve">IDEA - Room &amp; Board </t>
  </si>
  <si>
    <t>14-4625-00</t>
  </si>
  <si>
    <t>15-4625-00</t>
  </si>
  <si>
    <t>IDEA - Room &amp; Board - Excess Cost</t>
  </si>
  <si>
    <t>11-4625-XC</t>
  </si>
  <si>
    <t>(M) IDEA - Room &amp; Board - Excess Cost</t>
  </si>
  <si>
    <t>20-4625-XC</t>
  </si>
  <si>
    <t>19-4932-00</t>
  </si>
  <si>
    <t>Title II - Supporting Effective Instruction</t>
  </si>
  <si>
    <t>20-4932-00</t>
  </si>
  <si>
    <t>Covid-19 Education Stabiliization</t>
  </si>
  <si>
    <t>84.425D</t>
  </si>
  <si>
    <t>20-4998-ER</t>
  </si>
  <si>
    <t>Total U.S. Department of Education - Pass-through from ISBE</t>
  </si>
  <si>
    <t>Special Education Association of Peoria County</t>
  </si>
  <si>
    <t>(M) IDEA Flow Thru</t>
  </si>
  <si>
    <t>19-4620-00</t>
  </si>
  <si>
    <t>IDEA Flow Thru</t>
  </si>
  <si>
    <t>20-4620-00</t>
  </si>
  <si>
    <t>Total U.S. Department of Education - Pass-through from SEAPCO</t>
  </si>
  <si>
    <t>Received Directly from USDE</t>
  </si>
  <si>
    <t>Rural Education Achievement Program</t>
  </si>
  <si>
    <t>84.358A</t>
  </si>
  <si>
    <t>S358A192828</t>
  </si>
  <si>
    <t>Total U.S. Department of Education</t>
  </si>
  <si>
    <t xml:space="preserve">U.S. Department of Health &amp; Human Services - </t>
  </si>
  <si>
    <t>IL Dept of Human Services</t>
  </si>
  <si>
    <t>(M) Migrant Head Start</t>
  </si>
  <si>
    <t>9FCSXI03218</t>
  </si>
  <si>
    <t>0FCSYI03218</t>
  </si>
  <si>
    <t>Illinois Department of Healthcare and Family Services</t>
  </si>
  <si>
    <t>Medicaid Administrative Outreach</t>
  </si>
  <si>
    <t>19-4991-00</t>
  </si>
  <si>
    <t>20-4991-00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</si>
  <si>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</si>
  <si>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</si>
  <si>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</si>
  <si>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</si>
  <si>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</si>
  <si>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</si>
  <si>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</si>
  <si>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2020</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</si>
  <si>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</si>
  <si>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</si>
  <si>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</si>
  <si>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</si>
  <si>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</si>
  <si>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</si>
  <si>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</si>
  <si>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</si>
  <si>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</si>
  <si>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Federal awards received are reflected in the District's financial statements within the Educational Fund as receipts from federal sources. Amounts reported in the accompanying Schedule of Federal Awards agree with the amounts filed with ISBE in the Program Expenditures reports for projects which have filed final reports as of June 30, 2020.</t>
  </si>
  <si>
    <t>Value of Commodities Received</t>
  </si>
  <si>
    <t>See PDF version</t>
  </si>
  <si>
    <t xml:space="preserve">  Princeville CUSD 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</si>
</sst>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0.000_);\(#,##0.000\)"/>
    <numFmt numFmtId="188" formatCode="#,##0.00000_);\(#,##0.00000\)"/>
  </numFmts>
  <fonts count="1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amily val="3"/>
    </font>
    <font>
      <sz val="10"/>
      <name val="Courier"/>
    </font>
    <font>
      <b/>
      <sz val="12"/>
      <name val="Times New Roman"/>
      <family val="1"/>
    </font>
    <font>
      <sz val="11"/>
      <name val="Times New Roman"/>
      <family val="1"/>
    </font>
    <font>
      <b/>
      <u/>
      <sz val="11"/>
      <name val="Times New Roman"/>
      <family val="1"/>
    </font>
    <font>
      <u val="singleAccounting"/>
      <sz val="11"/>
      <name val="Times New Roman"/>
      <family val="1"/>
    </font>
    <font>
      <sz val="11"/>
      <name val="Courier"/>
      <family val="3"/>
    </font>
    <font>
      <u/>
      <sz val="11"/>
      <name val="Times New Roman"/>
      <family val="1"/>
    </font>
    <font>
      <b/>
      <sz val="11"/>
      <name val="Times New Roman"/>
      <family val="1"/>
    </font>
    <font>
      <u val="doubleAccounting"/>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8" fillId="0" borderId="0"/>
    <xf numFmtId="43" fontId="45" fillId="0" borderId="0" applyFont="0" applyFill="0" applyBorder="0" applyAlignment="0" applyProtection="0"/>
    <xf numFmtId="9" fontId="45" fillId="0" borderId="0" applyFont="0" applyFill="0" applyBorder="0" applyAlignment="0" applyProtection="0"/>
    <xf numFmtId="37" fontId="147" fillId="0" borderId="0"/>
  </cellStyleXfs>
  <cellXfs count="273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5" fontId="55" fillId="0" borderId="0" xfId="3" applyNumberFormat="1" applyFont="1" applyBorder="1" applyAlignment="1" applyProtection="1">
      <protection locked="0"/>
    </xf>
    <xf numFmtId="5" fontId="65" fillId="0" borderId="0" xfId="3" applyNumberFormat="1" applyFont="1" applyBorder="1" applyAlignment="1" applyProtection="1">
      <protection locked="0"/>
    </xf>
    <xf numFmtId="0" fontId="65" fillId="0" borderId="0" xfId="3" applyFont="1" applyBorder="1" applyAlignment="1" applyProtection="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7" fontId="150" fillId="0" borderId="0" xfId="21" applyFont="1" applyAlignment="1">
      <alignment vertical="center"/>
    </xf>
    <xf numFmtId="37" fontId="148" fillId="0" borderId="0" xfId="21" applyAlignment="1">
      <alignment vertical="center"/>
    </xf>
    <xf numFmtId="37" fontId="45" fillId="0" borderId="0" xfId="21" applyFont="1" applyAlignment="1">
      <alignment vertical="center"/>
    </xf>
    <xf numFmtId="37" fontId="45" fillId="0" borderId="0" xfId="21" applyFont="1" applyAlignment="1">
      <alignment horizontal="centerContinuous" vertical="center"/>
    </xf>
    <xf numFmtId="37" fontId="45" fillId="0" borderId="0" xfId="21" applyFont="1" applyAlignment="1">
      <alignment horizontal="left" vertical="center"/>
    </xf>
    <xf numFmtId="37" fontId="45" fillId="0" borderId="0" xfId="21" applyFont="1" applyAlignment="1">
      <alignment horizontal="center" vertical="center"/>
    </xf>
    <xf numFmtId="37" fontId="45" fillId="0" borderId="0" xfId="21" applyFont="1" applyAlignment="1">
      <alignment horizontal="centerContinuous"/>
    </xf>
    <xf numFmtId="37" fontId="45" fillId="0" borderId="0" xfId="21" applyFont="1" applyAlignment="1">
      <alignment horizontal="left"/>
    </xf>
    <xf numFmtId="37" fontId="45" fillId="0" borderId="0" xfId="21" applyFont="1"/>
    <xf numFmtId="37" fontId="45" fillId="0" borderId="0" xfId="21" applyFont="1" applyAlignment="1">
      <alignment horizontal="center"/>
    </xf>
    <xf numFmtId="37" fontId="150" fillId="0" borderId="0" xfId="21" applyFont="1" applyAlignment="1">
      <alignment horizontal="left" vertical="center"/>
    </xf>
    <xf numFmtId="37" fontId="150" fillId="0" borderId="0" xfId="21" applyFont="1" applyAlignment="1">
      <alignment horizontal="center" vertical="center"/>
    </xf>
    <xf numFmtId="37" fontId="152" fillId="0" borderId="0" xfId="21" applyFont="1" applyAlignment="1">
      <alignment horizontal="center" vertical="center"/>
    </xf>
    <xf numFmtId="37" fontId="153" fillId="0" borderId="0" xfId="21" applyFont="1" applyAlignment="1">
      <alignment vertical="center"/>
    </xf>
    <xf numFmtId="37" fontId="150" fillId="0" borderId="0" xfId="21" quotePrefix="1" applyFont="1" applyAlignment="1">
      <alignment horizontal="center" vertical="center"/>
    </xf>
    <xf numFmtId="14" fontId="150" fillId="0" borderId="0" xfId="21" applyNumberFormat="1" applyFont="1" applyAlignment="1">
      <alignment horizontal="center" vertical="center"/>
    </xf>
    <xf numFmtId="37" fontId="154" fillId="0" borderId="0" xfId="21" quotePrefix="1" applyFont="1" applyAlignment="1">
      <alignment horizontal="left" vertical="center"/>
    </xf>
    <xf numFmtId="37" fontId="150" fillId="0" borderId="0" xfId="21" applyFont="1"/>
    <xf numFmtId="37" fontId="154" fillId="0" borderId="0" xfId="21" applyFont="1" applyAlignment="1">
      <alignment horizontal="center"/>
    </xf>
    <xf numFmtId="37" fontId="150" fillId="0" borderId="0" xfId="21" applyFont="1" applyAlignment="1">
      <alignment horizontal="center"/>
    </xf>
    <xf numFmtId="37" fontId="155" fillId="0" borderId="0" xfId="21" applyFont="1" applyAlignment="1">
      <alignment horizontal="left"/>
    </xf>
    <xf numFmtId="37" fontId="155" fillId="0" borderId="0" xfId="21" applyFont="1" applyAlignment="1">
      <alignment horizontal="left" indent="1"/>
    </xf>
    <xf numFmtId="37" fontId="150" fillId="0" borderId="0" xfId="21" applyFont="1" applyAlignment="1">
      <alignment horizontal="right"/>
    </xf>
    <xf numFmtId="37" fontId="150" fillId="0" borderId="0" xfId="21" applyFont="1" applyAlignment="1">
      <alignment horizontal="left" indent="1"/>
    </xf>
    <xf numFmtId="185" fontId="150" fillId="0" borderId="0" xfId="21" applyNumberFormat="1" applyFont="1" applyAlignment="1">
      <alignment horizontal="center"/>
    </xf>
    <xf numFmtId="186" fontId="150" fillId="0" borderId="0" xfId="21" applyNumberFormat="1" applyFont="1"/>
    <xf numFmtId="186" fontId="150" fillId="0" borderId="0" xfId="21" applyNumberFormat="1" applyFont="1" applyAlignment="1">
      <alignment horizontal="center"/>
    </xf>
    <xf numFmtId="186" fontId="150" fillId="0" borderId="0" xfId="21" applyNumberFormat="1" applyFont="1" applyAlignment="1">
      <alignment horizontal="right"/>
    </xf>
    <xf numFmtId="37" fontId="150" fillId="0" borderId="0" xfId="21" applyFont="1" applyAlignment="1">
      <alignment horizontal="left" indent="2"/>
    </xf>
    <xf numFmtId="37" fontId="150" fillId="0" borderId="0" xfId="21" applyFont="1" applyAlignment="1">
      <alignment horizontal="left" vertical="center" indent="1"/>
    </xf>
    <xf numFmtId="185" fontId="150" fillId="0" borderId="0" xfId="21" applyNumberFormat="1" applyFont="1" applyAlignment="1">
      <alignment horizontal="center" vertical="center"/>
    </xf>
    <xf numFmtId="186" fontId="150" fillId="0" borderId="0" xfId="21" applyNumberFormat="1" applyFont="1" applyAlignment="1">
      <alignment vertical="center"/>
    </xf>
    <xf numFmtId="186" fontId="152" fillId="0" borderId="0" xfId="21" applyNumberFormat="1" applyFont="1" applyAlignment="1">
      <alignment vertical="center"/>
    </xf>
    <xf numFmtId="186" fontId="150" fillId="0" borderId="0" xfId="21" applyNumberFormat="1" applyFont="1" applyAlignment="1">
      <alignment horizontal="center" vertical="center"/>
    </xf>
    <xf numFmtId="185" fontId="150" fillId="0" borderId="0" xfId="21" applyNumberFormat="1" applyFont="1" applyAlignment="1">
      <alignment horizontal="right" vertical="center"/>
    </xf>
    <xf numFmtId="186" fontId="152" fillId="0" borderId="0" xfId="21" applyNumberFormat="1" applyFont="1"/>
    <xf numFmtId="37" fontId="155" fillId="0" borderId="0" xfId="21" applyFont="1" applyAlignment="1">
      <alignment horizontal="left" vertical="center"/>
    </xf>
    <xf numFmtId="186" fontId="150" fillId="0" borderId="0" xfId="21" applyNumberFormat="1" applyFont="1" applyAlignment="1">
      <alignment horizontal="right" vertical="center"/>
    </xf>
    <xf numFmtId="37" fontId="150" fillId="0" borderId="0" xfId="21" applyFont="1" applyAlignment="1">
      <alignment horizontal="left"/>
    </xf>
    <xf numFmtId="37" fontId="150" fillId="0" borderId="0" xfId="21" quotePrefix="1" applyFont="1" applyAlignment="1">
      <alignment horizontal="left" indent="1"/>
    </xf>
    <xf numFmtId="37" fontId="153" fillId="0" borderId="0" xfId="21" quotePrefix="1" applyFont="1" applyAlignment="1">
      <alignment horizontal="right" vertical="center"/>
    </xf>
    <xf numFmtId="37" fontId="150" fillId="0" borderId="0" xfId="21" quotePrefix="1" applyFont="1" applyAlignment="1">
      <alignment horizontal="left" indent="2"/>
    </xf>
    <xf numFmtId="37" fontId="153" fillId="0" borderId="0" xfId="21" applyFont="1" applyAlignment="1">
      <alignment horizontal="center" vertical="center"/>
    </xf>
    <xf numFmtId="186" fontId="154" fillId="0" borderId="0" xfId="21" applyNumberFormat="1" applyFont="1"/>
    <xf numFmtId="37" fontId="150" fillId="0" borderId="0" xfId="21" quotePrefix="1" applyFont="1" applyAlignment="1">
      <alignment horizontal="left"/>
    </xf>
    <xf numFmtId="37" fontId="155" fillId="0" borderId="0" xfId="21" applyFont="1" applyAlignment="1">
      <alignment vertical="center"/>
    </xf>
    <xf numFmtId="187" fontId="150" fillId="0" borderId="0" xfId="21" applyNumberFormat="1" applyFont="1" applyAlignment="1">
      <alignment vertical="center"/>
    </xf>
    <xf numFmtId="186" fontId="150" fillId="0" borderId="0" xfId="21" applyNumberFormat="1" applyFont="1" applyAlignment="1">
      <alignment horizontal="left" vertical="center"/>
    </xf>
    <xf numFmtId="37" fontId="155" fillId="0" borderId="0" xfId="21" applyFont="1" applyAlignment="1">
      <alignment horizontal="left" vertical="center" indent="1"/>
    </xf>
    <xf numFmtId="186" fontId="150" fillId="20" borderId="0" xfId="21" applyNumberFormat="1" applyFont="1" applyFill="1"/>
    <xf numFmtId="37" fontId="155" fillId="0" borderId="0" xfId="21" applyFont="1"/>
    <xf numFmtId="186" fontId="150" fillId="0" borderId="0" xfId="21" quotePrefix="1" applyNumberFormat="1" applyFont="1" applyAlignment="1">
      <alignment vertical="center"/>
    </xf>
    <xf numFmtId="186" fontId="150" fillId="0" borderId="0" xfId="21" applyNumberFormat="1" applyFont="1" applyAlignment="1">
      <alignment horizontal="left"/>
    </xf>
    <xf numFmtId="186" fontId="156" fillId="0" borderId="0" xfId="21" applyNumberFormat="1" applyFont="1" applyAlignment="1">
      <alignment vertical="center"/>
    </xf>
    <xf numFmtId="186" fontId="156" fillId="0" borderId="0" xfId="21" applyNumberFormat="1" applyFont="1"/>
    <xf numFmtId="185" fontId="150" fillId="0" borderId="0" xfId="21" applyNumberFormat="1" applyFont="1" applyAlignment="1">
      <alignment vertical="center"/>
    </xf>
    <xf numFmtId="186" fontId="153" fillId="0" borderId="0" xfId="21" applyNumberFormat="1" applyFont="1" applyAlignment="1">
      <alignment horizontal="left" vertical="center"/>
    </xf>
    <xf numFmtId="186" fontId="153" fillId="0" borderId="0" xfId="21" applyNumberFormat="1" applyFont="1" applyAlignment="1">
      <alignment vertical="center"/>
    </xf>
    <xf numFmtId="186" fontId="153" fillId="0" borderId="0" xfId="21" applyNumberFormat="1" applyFont="1" applyAlignment="1">
      <alignment horizontal="center" vertical="center"/>
    </xf>
    <xf numFmtId="185" fontId="153" fillId="0" borderId="0" xfId="21" applyNumberFormat="1" applyFont="1" applyAlignment="1">
      <alignment vertical="center"/>
    </xf>
    <xf numFmtId="185" fontId="148" fillId="0" borderId="0" xfId="21" applyNumberFormat="1" applyAlignment="1">
      <alignment vertical="center"/>
    </xf>
    <xf numFmtId="37" fontId="148" fillId="0" borderId="0" xfId="21" applyAlignment="1">
      <alignment horizontal="center" vertical="center"/>
    </xf>
    <xf numFmtId="186" fontId="148" fillId="0" borderId="0" xfId="21" applyNumberFormat="1" applyAlignment="1">
      <alignment vertical="center"/>
    </xf>
    <xf numFmtId="186" fontId="148" fillId="0" borderId="0" xfId="21" applyNumberFormat="1" applyAlignment="1">
      <alignment horizontal="center" vertical="center"/>
    </xf>
    <xf numFmtId="37" fontId="146" fillId="0" borderId="0" xfId="21" applyFont="1" applyAlignment="1">
      <alignment horizontal="left"/>
    </xf>
    <xf numFmtId="37" fontId="146" fillId="0" borderId="0" xfId="21" applyFont="1" applyAlignment="1">
      <alignment wrapText="1"/>
    </xf>
    <xf numFmtId="37" fontId="148" fillId="0" borderId="0" xfId="21" applyAlignment="1">
      <alignment horizontal="left"/>
    </xf>
    <xf numFmtId="37" fontId="11" fillId="0" borderId="0" xfId="21" applyFont="1" applyAlignment="1">
      <alignment horizontal="left" indent="1"/>
    </xf>
    <xf numFmtId="37" fontId="11" fillId="0" borderId="0" xfId="21" applyFont="1" applyAlignment="1">
      <alignment wrapText="1"/>
    </xf>
    <xf numFmtId="37" fontId="11" fillId="0" borderId="0" xfId="21" applyFont="1"/>
    <xf numFmtId="1" fontId="11" fillId="0" borderId="0" xfId="21" applyNumberFormat="1" applyFont="1" applyAlignment="1">
      <alignment horizontal="left"/>
    </xf>
    <xf numFmtId="37" fontId="11" fillId="0" borderId="0" xfId="21" applyFont="1" applyAlignment="1">
      <alignment horizontal="left"/>
    </xf>
    <xf numFmtId="1" fontId="148" fillId="0" borderId="0" xfId="21" applyNumberFormat="1" applyAlignment="1">
      <alignment horizontal="left"/>
    </xf>
    <xf numFmtId="188" fontId="148" fillId="0" borderId="0" xfId="21" applyNumberFormat="1" applyAlignment="1">
      <alignment horizontal="left"/>
    </xf>
    <xf numFmtId="169" fontId="148" fillId="0" borderId="0" xfId="21" applyNumberFormat="1" applyProtection="1">
      <protection locked="0"/>
    </xf>
    <xf numFmtId="1" fontId="148" fillId="0" borderId="0" xfId="21" applyNumberFormat="1" applyProtection="1">
      <protection locked="0"/>
    </xf>
    <xf numFmtId="37" fontId="148" fillId="0" borderId="0" xfId="21" applyProtection="1">
      <protection locked="0"/>
    </xf>
    <xf numFmtId="37" fontId="148" fillId="0" borderId="0" xfId="2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151" fillId="0" borderId="0" xfId="21" applyNumberFormat="1" applyFont="1" applyAlignment="1">
      <alignment horizontal="center" vertical="center"/>
    </xf>
    <xf numFmtId="37" fontId="152" fillId="0" borderId="0" xfId="21" applyFont="1" applyAlignment="1">
      <alignment horizontal="center" vertical="center"/>
    </xf>
    <xf numFmtId="37" fontId="149" fillId="0" borderId="0" xfId="24" applyFont="1" applyAlignment="1">
      <alignment horizontal="center" vertical="center"/>
    </xf>
    <xf numFmtId="37" fontId="149" fillId="0" borderId="0" xfId="2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5">
    <cellStyle name="Comma" xfId="1" builtinId="3"/>
    <cellStyle name="Comma 2" xfId="22" xr:uid="{FE06AD63-B26F-4E57-A0BD-61C5ACA224A8}"/>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1029A289-2856-4B14-9967-B417131C805B}"/>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SEFA 08 PVS" xfId="24" xr:uid="{0321850D-AF6A-4326-851D-803F56D2BDB5}"/>
    <cellStyle name="Normal_THRESHOLD CALCULATOR v3" xfId="13" xr:uid="{00000000-0005-0000-0000-000014000000}"/>
    <cellStyle name="Percent 2" xfId="23" xr:uid="{883FB407-D3AC-4E2D-A4AD-DBC4755499A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xdr:row>
          <xdr:rowOff>85725</xdr:rowOff>
        </xdr:from>
        <xdr:to>
          <xdr:col>1</xdr:col>
          <xdr:colOff>2266950</xdr:colOff>
          <xdr:row>5</xdr:row>
          <xdr:rowOff>123825</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4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813955</xdr:colOff>
          <xdr:row>6</xdr:row>
          <xdr:rowOff>43295</xdr:rowOff>
        </xdr:from>
        <xdr:to>
          <xdr:col>1</xdr:col>
          <xdr:colOff>1725757</xdr:colOff>
          <xdr:row>11</xdr:row>
          <xdr:rowOff>2597</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F77D0CC3-D402-480A-9932-E565B716353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23">
        <f>+'AFR20'!E4</f>
        <v>44119</v>
      </c>
      <c r="C1" s="2223"/>
      <c r="D1" s="2224"/>
      <c r="I1" s="2182" t="s">
        <v>402</v>
      </c>
      <c r="J1" s="2183"/>
      <c r="K1" s="2183"/>
      <c r="L1" s="2183"/>
      <c r="M1" s="2183"/>
      <c r="N1" s="2183"/>
      <c r="O1" s="2183"/>
      <c r="P1" s="2183"/>
      <c r="Q1" s="2183"/>
      <c r="R1" s="2183"/>
      <c r="S1" s="2183"/>
    </row>
    <row r="2" spans="1:32" ht="12" customHeight="1" x14ac:dyDescent="0.2">
      <c r="A2" s="1831" t="str">
        <f>"Due to ISBE on "</f>
        <v xml:space="preserve">Due to ISBE on </v>
      </c>
      <c r="B2" s="2225">
        <f>+'AFR20'!F4</f>
        <v>44151</v>
      </c>
      <c r="C2" s="2225"/>
      <c r="D2" s="2226"/>
      <c r="I2" s="2184" t="s">
        <v>1999</v>
      </c>
      <c r="J2" s="2183"/>
      <c r="K2" s="2183"/>
      <c r="L2" s="2183"/>
      <c r="M2" s="2183"/>
      <c r="N2" s="2183"/>
      <c r="O2" s="2183"/>
      <c r="P2" s="2183"/>
      <c r="Q2" s="2183"/>
      <c r="R2" s="2183"/>
      <c r="S2" s="2183"/>
    </row>
    <row r="3" spans="1:32" ht="12" customHeight="1" x14ac:dyDescent="0.2">
      <c r="A3" s="1834" t="str">
        <f>"SD/JA"&amp;MID('AFR20'!E2,3,2)</f>
        <v>SD/JA20</v>
      </c>
      <c r="B3" s="151"/>
      <c r="C3" s="151"/>
      <c r="D3" s="152"/>
      <c r="I3" s="2184" t="s">
        <v>52</v>
      </c>
      <c r="J3" s="2183"/>
      <c r="K3" s="2183"/>
      <c r="L3" s="2183"/>
      <c r="M3" s="2183"/>
      <c r="N3" s="2183"/>
      <c r="O3" s="2183"/>
      <c r="P3" s="2183"/>
      <c r="Q3" s="2183"/>
      <c r="R3" s="2183"/>
      <c r="S3" s="2183"/>
    </row>
    <row r="4" spans="1:32" ht="12" customHeight="1" x14ac:dyDescent="0.2">
      <c r="A4" s="37"/>
      <c r="I4" s="2184" t="s">
        <v>521</v>
      </c>
      <c r="J4" s="2183"/>
      <c r="K4" s="2183"/>
      <c r="L4" s="2183"/>
      <c r="M4" s="2183"/>
      <c r="N4" s="2183"/>
      <c r="O4" s="2183"/>
      <c r="P4" s="2183"/>
      <c r="Q4" s="2183"/>
      <c r="R4" s="2183"/>
      <c r="S4" s="2183"/>
    </row>
    <row r="5" spans="1:32" ht="14.1" customHeight="1" x14ac:dyDescent="0.2">
      <c r="B5" s="101" t="s">
        <v>2047</v>
      </c>
      <c r="C5" s="26" t="s">
        <v>904</v>
      </c>
      <c r="D5" s="81"/>
      <c r="E5" s="81"/>
      <c r="H5" s="38"/>
      <c r="I5" s="2192" t="s">
        <v>675</v>
      </c>
      <c r="J5" s="2191"/>
      <c r="K5" s="2191"/>
      <c r="L5" s="2191"/>
      <c r="M5" s="2191"/>
      <c r="N5" s="2191"/>
      <c r="O5" s="2191"/>
      <c r="P5" s="2191"/>
      <c r="Q5" s="2191"/>
      <c r="R5" s="2191"/>
      <c r="S5" s="2191"/>
      <c r="AF5" s="1827"/>
    </row>
    <row r="6" spans="1:32" ht="14.1" customHeight="1" x14ac:dyDescent="0.2">
      <c r="B6" s="101"/>
      <c r="C6" s="26" t="s">
        <v>905</v>
      </c>
      <c r="D6" s="81"/>
      <c r="E6" s="81"/>
      <c r="I6" s="2190" t="s">
        <v>877</v>
      </c>
      <c r="J6" s="2191"/>
      <c r="K6" s="2191"/>
      <c r="L6" s="2191"/>
      <c r="M6" s="2191"/>
      <c r="N6" s="2191"/>
      <c r="O6" s="2191"/>
      <c r="P6" s="2191"/>
      <c r="Q6" s="2191"/>
      <c r="R6" s="2191"/>
      <c r="S6" s="2191"/>
    </row>
    <row r="7" spans="1:32" ht="12.2" customHeight="1" x14ac:dyDescent="0.2">
      <c r="I7" s="2185" t="str">
        <f>"June 30, "&amp;'AFR20'!E2</f>
        <v>June 30, 2020</v>
      </c>
      <c r="J7" s="2186"/>
      <c r="K7" s="2186"/>
      <c r="L7" s="2186"/>
      <c r="M7" s="2186"/>
      <c r="N7" s="2186"/>
      <c r="O7" s="2186"/>
      <c r="P7" s="2186"/>
      <c r="Q7" s="2186"/>
      <c r="R7" s="2186"/>
      <c r="S7" s="218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87" t="s">
        <v>669</v>
      </c>
      <c r="J9" s="2188"/>
      <c r="K9" s="2188"/>
      <c r="L9" s="2188"/>
      <c r="M9" s="2188"/>
      <c r="N9" s="2188"/>
      <c r="O9" s="2188"/>
      <c r="P9" s="2188"/>
      <c r="Q9" s="2188"/>
      <c r="R9" s="2188"/>
      <c r="S9" s="2189"/>
      <c r="T9" s="2240" t="s">
        <v>530</v>
      </c>
      <c r="U9" s="2241"/>
      <c r="V9" s="2241"/>
      <c r="W9" s="2241"/>
      <c r="X9" s="2241"/>
      <c r="Y9" s="2241"/>
      <c r="Z9" s="2241"/>
      <c r="AA9" s="2242"/>
    </row>
    <row r="10" spans="1:32" ht="13.5" customHeight="1" x14ac:dyDescent="0.2">
      <c r="A10" s="2247" t="s">
        <v>670</v>
      </c>
      <c r="B10" s="2248"/>
      <c r="C10" s="2248"/>
      <c r="D10" s="2248"/>
      <c r="E10" s="2248"/>
      <c r="F10" s="2248"/>
      <c r="G10" s="2248"/>
      <c r="H10" s="2249"/>
      <c r="I10" s="29"/>
      <c r="J10" s="30"/>
      <c r="K10" s="28"/>
      <c r="R10" s="30"/>
      <c r="S10" s="30"/>
      <c r="T10" s="2243"/>
      <c r="U10" s="2191"/>
      <c r="V10" s="2191"/>
      <c r="W10" s="2191"/>
      <c r="X10" s="2191"/>
      <c r="Y10" s="2191"/>
      <c r="Z10" s="2191"/>
      <c r="AA10" s="2197"/>
    </row>
    <row r="11" spans="1:32" ht="14.25" customHeight="1" x14ac:dyDescent="0.2">
      <c r="A11" s="2250" t="s">
        <v>949</v>
      </c>
      <c r="B11" s="2251"/>
      <c r="C11" s="2251"/>
      <c r="D11" s="2251"/>
      <c r="E11" s="2251"/>
      <c r="F11" s="2251"/>
      <c r="G11" s="2251"/>
      <c r="H11" s="2252"/>
      <c r="I11" s="27"/>
      <c r="J11" s="71"/>
      <c r="K11" s="27"/>
      <c r="O11" s="144" t="s">
        <v>2047</v>
      </c>
      <c r="P11" s="97" t="s">
        <v>199</v>
      </c>
      <c r="Q11" s="30"/>
      <c r="R11" s="28"/>
      <c r="S11" s="27"/>
      <c r="T11" s="2244"/>
      <c r="U11" s="2245"/>
      <c r="V11" s="2245"/>
      <c r="W11" s="2245"/>
      <c r="X11" s="2245"/>
      <c r="Y11" s="2245"/>
      <c r="Z11" s="2245"/>
      <c r="AA11" s="22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03">
        <v>48072326026</v>
      </c>
      <c r="B13" s="2204"/>
      <c r="C13" s="2204"/>
      <c r="D13" s="2204"/>
      <c r="E13" s="2204"/>
      <c r="F13" s="2204"/>
      <c r="G13" s="2204"/>
      <c r="H13" s="2205"/>
      <c r="I13" s="31"/>
      <c r="J13" s="30"/>
      <c r="K13" s="28"/>
      <c r="L13" s="30"/>
      <c r="M13" s="30"/>
      <c r="N13" s="30"/>
      <c r="O13" s="30"/>
      <c r="P13" s="30"/>
      <c r="Q13" s="30"/>
      <c r="R13" s="30"/>
      <c r="S13" s="30"/>
      <c r="T13" s="2209" t="s">
        <v>2048</v>
      </c>
      <c r="U13" s="2210"/>
      <c r="V13" s="2210"/>
      <c r="W13" s="2210"/>
      <c r="X13" s="2210"/>
      <c r="Y13" s="2211"/>
      <c r="Z13" s="2211"/>
      <c r="AA13" s="221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06" t="s">
        <v>2050</v>
      </c>
      <c r="B15" s="2207"/>
      <c r="C15" s="2207"/>
      <c r="D15" s="2207"/>
      <c r="E15" s="2207"/>
      <c r="F15" s="2207"/>
      <c r="G15" s="2207"/>
      <c r="H15" s="2208"/>
      <c r="T15" s="2213" t="s">
        <v>2088</v>
      </c>
      <c r="U15" s="2170"/>
      <c r="V15" s="2170"/>
      <c r="W15" s="2170"/>
      <c r="X15" s="2170"/>
      <c r="Y15" s="2214"/>
      <c r="Z15" s="2214"/>
      <c r="AA15" s="221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76" t="s">
        <v>2237</v>
      </c>
      <c r="B17" s="2177"/>
      <c r="C17" s="2177"/>
      <c r="D17" s="2177"/>
      <c r="E17" s="2177"/>
      <c r="F17" s="2177"/>
      <c r="G17" s="2177"/>
      <c r="H17" s="2202"/>
      <c r="T17" s="2220" t="s">
        <v>2049</v>
      </c>
      <c r="U17" s="2221"/>
      <c r="V17" s="2221"/>
      <c r="W17" s="2221"/>
      <c r="X17" s="2221"/>
      <c r="Y17" s="2221"/>
      <c r="Z17" s="2221"/>
      <c r="AA17" s="2222"/>
    </row>
    <row r="18" spans="1:27" ht="13.5" customHeight="1" x14ac:dyDescent="0.2">
      <c r="A18" s="82" t="s">
        <v>527</v>
      </c>
      <c r="B18" s="73"/>
      <c r="C18" s="69"/>
      <c r="D18" s="73"/>
      <c r="E18" s="73"/>
      <c r="F18" s="73"/>
      <c r="G18" s="73"/>
      <c r="H18" s="53"/>
      <c r="I18" s="2201" t="s">
        <v>671</v>
      </c>
      <c r="J18" s="2152"/>
      <c r="K18" s="2152"/>
      <c r="L18" s="2152"/>
      <c r="M18" s="2152"/>
      <c r="N18" s="2152"/>
      <c r="O18" s="2152"/>
      <c r="P18" s="2152"/>
      <c r="Q18" s="2152"/>
      <c r="R18" s="2152"/>
      <c r="S18" s="2153"/>
      <c r="T18" s="82" t="s">
        <v>706</v>
      </c>
      <c r="U18" s="48"/>
      <c r="V18" s="69"/>
      <c r="W18" s="47"/>
      <c r="X18" s="82" t="s">
        <v>264</v>
      </c>
      <c r="Y18" s="78"/>
      <c r="Z18" s="154" t="s">
        <v>672</v>
      </c>
      <c r="AA18" s="44"/>
    </row>
    <row r="19" spans="1:27" ht="13.5" customHeight="1" x14ac:dyDescent="0.2">
      <c r="A19" s="2206" t="s">
        <v>2060</v>
      </c>
      <c r="B19" s="2162"/>
      <c r="C19" s="2162"/>
      <c r="D19" s="2162"/>
      <c r="E19" s="2162"/>
      <c r="F19" s="2162"/>
      <c r="G19" s="2162"/>
      <c r="H19" s="2142"/>
      <c r="I19" s="30"/>
      <c r="J19" s="96"/>
      <c r="K19" s="40"/>
      <c r="L19" s="38"/>
      <c r="M19" s="109" t="s">
        <v>312</v>
      </c>
      <c r="P19" s="27"/>
      <c r="Q19" s="27"/>
      <c r="R19" s="27"/>
      <c r="S19" s="31"/>
      <c r="T19" s="2206" t="s">
        <v>2050</v>
      </c>
      <c r="U19" s="2141"/>
      <c r="V19" s="2141"/>
      <c r="W19" s="2142"/>
      <c r="X19" s="2218" t="s">
        <v>2051</v>
      </c>
      <c r="Y19" s="2219"/>
      <c r="Z19" s="2216">
        <v>61614</v>
      </c>
      <c r="AA19" s="221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40" t="s">
        <v>2061</v>
      </c>
      <c r="B21" s="2141"/>
      <c r="C21" s="2141"/>
      <c r="D21" s="2141"/>
      <c r="E21" s="2141"/>
      <c r="F21" s="2141"/>
      <c r="G21" s="2141"/>
      <c r="H21" s="2142"/>
      <c r="I21" s="2196" t="s">
        <v>673</v>
      </c>
      <c r="J21" s="2191"/>
      <c r="K21" s="2191"/>
      <c r="L21" s="2191"/>
      <c r="M21" s="2191"/>
      <c r="N21" s="2191"/>
      <c r="O21" s="2191"/>
      <c r="P21" s="2191"/>
      <c r="Q21" s="2191"/>
      <c r="R21" s="2191"/>
      <c r="S21" s="2197"/>
      <c r="T21" s="2231" t="s">
        <v>2052</v>
      </c>
      <c r="U21" s="2232"/>
      <c r="V21" s="2232"/>
      <c r="W21" s="2232"/>
      <c r="X21" s="2237" t="s">
        <v>2053</v>
      </c>
      <c r="Y21" s="2238"/>
      <c r="Z21" s="2238"/>
      <c r="AA21" s="2239"/>
    </row>
    <row r="22" spans="1:27" ht="13.5" customHeight="1" x14ac:dyDescent="0.2">
      <c r="A22" s="84" t="s">
        <v>528</v>
      </c>
      <c r="B22" s="56"/>
      <c r="C22" s="56"/>
      <c r="D22" s="56"/>
      <c r="E22" s="56"/>
      <c r="F22" s="56"/>
      <c r="G22" s="56"/>
      <c r="H22" s="57"/>
      <c r="I22" s="2198" t="s">
        <v>1412</v>
      </c>
      <c r="J22" s="2199"/>
      <c r="K22" s="2199"/>
      <c r="L22" s="2199"/>
      <c r="M22" s="2199"/>
      <c r="N22" s="2199"/>
      <c r="O22" s="2199"/>
      <c r="P22" s="2199"/>
      <c r="Q22" s="2199"/>
      <c r="R22" s="2199"/>
      <c r="S22" s="2200"/>
      <c r="T22" s="82" t="s">
        <v>1499</v>
      </c>
      <c r="U22" s="48"/>
      <c r="V22" s="69"/>
      <c r="W22" s="48"/>
      <c r="X22" s="155" t="s">
        <v>1307</v>
      </c>
      <c r="Z22" s="43"/>
      <c r="AA22" s="44"/>
    </row>
    <row r="23" spans="1:27" ht="13.5" customHeight="1" x14ac:dyDescent="0.2">
      <c r="A23" s="2193" t="s">
        <v>2062</v>
      </c>
      <c r="B23" s="2194"/>
      <c r="C23" s="2194"/>
      <c r="D23" s="2194"/>
      <c r="E23" s="2194"/>
      <c r="F23" s="2194"/>
      <c r="G23" s="2194"/>
      <c r="H23" s="2195"/>
      <c r="T23" s="2176" t="s">
        <v>2054</v>
      </c>
      <c r="U23" s="2230"/>
      <c r="V23" s="2230"/>
      <c r="W23" s="2230"/>
      <c r="X23" s="2234">
        <v>44501</v>
      </c>
      <c r="Y23" s="2235"/>
      <c r="Z23" s="2235"/>
      <c r="AA23" s="2236"/>
    </row>
    <row r="24" spans="1:27" ht="14.1" customHeight="1" x14ac:dyDescent="0.2">
      <c r="A24" s="85" t="s">
        <v>672</v>
      </c>
      <c r="B24" s="46"/>
      <c r="C24" s="46"/>
      <c r="D24" s="46"/>
      <c r="E24" s="46"/>
      <c r="F24" s="46"/>
      <c r="G24" s="46"/>
      <c r="H24" s="58"/>
      <c r="J24" s="2163" t="str">
        <f>IF(B5="x",IF(AUDITCHECK!D29="AFR form Incomplete.","",IF(AUDITCHECK!D29="Deficit reduction plan is required.","School District must complete a deficit reduction plan in the 2020-2021 Budget",)),"")</f>
        <v>School District must complete a deficit reduction plan in the 2020-2021 Budget</v>
      </c>
      <c r="K24" s="2163"/>
      <c r="L24" s="2163"/>
      <c r="M24" s="2163"/>
      <c r="N24" s="2163"/>
      <c r="O24" s="2163"/>
      <c r="P24" s="2163"/>
      <c r="Q24" s="2163"/>
      <c r="R24" s="2163"/>
      <c r="S24" s="2164"/>
      <c r="T24" s="102" t="s">
        <v>528</v>
      </c>
      <c r="U24" s="103"/>
      <c r="V24" s="103"/>
      <c r="W24" s="103"/>
      <c r="X24" s="104"/>
      <c r="Y24" s="104"/>
      <c r="Z24" s="104"/>
      <c r="AA24" s="105"/>
    </row>
    <row r="25" spans="1:27" ht="14.1" customHeight="1" x14ac:dyDescent="0.2">
      <c r="A25" s="2140">
        <v>61559</v>
      </c>
      <c r="B25" s="2141"/>
      <c r="C25" s="2141"/>
      <c r="D25" s="2141"/>
      <c r="E25" s="2141"/>
      <c r="F25" s="2141"/>
      <c r="G25" s="2141"/>
      <c r="H25" s="2142"/>
      <c r="I25" s="110"/>
      <c r="J25" s="2165"/>
      <c r="K25" s="2165"/>
      <c r="L25" s="2165"/>
      <c r="M25" s="2165"/>
      <c r="N25" s="2165"/>
      <c r="O25" s="2165"/>
      <c r="P25" s="2165"/>
      <c r="Q25" s="2165"/>
      <c r="R25" s="2165"/>
      <c r="S25" s="2166"/>
      <c r="T25" s="2227" t="s">
        <v>2089</v>
      </c>
      <c r="U25" s="2228"/>
      <c r="V25" s="2228"/>
      <c r="W25" s="2228"/>
      <c r="X25" s="2228"/>
      <c r="Y25" s="2228"/>
      <c r="Z25" s="2228"/>
      <c r="AA25" s="222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1" t="s">
        <v>1494</v>
      </c>
      <c r="J27" s="2152"/>
      <c r="K27" s="2152"/>
      <c r="L27" s="2152"/>
      <c r="M27" s="2152"/>
      <c r="N27" s="2152"/>
      <c r="O27" s="2152"/>
      <c r="P27" s="2152"/>
      <c r="Q27" s="2152"/>
      <c r="R27" s="2152"/>
      <c r="S27" s="215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2047</v>
      </c>
      <c r="F29" s="137" t="s">
        <v>1305</v>
      </c>
      <c r="G29" s="111"/>
      <c r="I29" s="51"/>
      <c r="J29" s="144" t="s">
        <v>2087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2087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2087</v>
      </c>
      <c r="K31" s="40" t="s">
        <v>879</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62"/>
      <c r="Q35" s="2141"/>
      <c r="R35" s="21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76" t="s">
        <v>2117</v>
      </c>
      <c r="B38" s="2177"/>
      <c r="C38" s="2177"/>
      <c r="D38" s="2177"/>
      <c r="E38" s="2177"/>
      <c r="F38" s="2141"/>
      <c r="G38" s="2141"/>
      <c r="H38" s="2142"/>
      <c r="I38" s="2169"/>
      <c r="J38" s="2170"/>
      <c r="K38" s="2170"/>
      <c r="L38" s="2170"/>
      <c r="M38" s="2170"/>
      <c r="N38" s="2170"/>
      <c r="O38" s="2170"/>
      <c r="P38" s="2171"/>
      <c r="Q38" s="2171"/>
      <c r="R38" s="2171"/>
      <c r="S38" s="2172"/>
      <c r="T38" s="2213"/>
      <c r="U38" s="2170"/>
      <c r="V38" s="2170"/>
      <c r="W38" s="2170"/>
      <c r="X38" s="2171"/>
      <c r="Y38" s="2171"/>
      <c r="Z38" s="2171"/>
      <c r="AA38" s="2172"/>
    </row>
    <row r="39" spans="1:27" ht="12" customHeight="1" x14ac:dyDescent="0.2">
      <c r="A39" s="2146" t="s">
        <v>528</v>
      </c>
      <c r="B39" s="2147"/>
      <c r="C39" s="69"/>
      <c r="D39" s="66"/>
      <c r="E39" s="66"/>
      <c r="F39" s="76"/>
      <c r="G39" s="66"/>
      <c r="H39" s="53"/>
      <c r="I39" s="2146" t="s">
        <v>528</v>
      </c>
      <c r="J39" s="2147"/>
      <c r="K39" s="2147"/>
      <c r="L39" s="2147"/>
      <c r="M39" s="2147"/>
      <c r="N39" s="64"/>
      <c r="O39" s="69"/>
      <c r="P39" s="69"/>
      <c r="Q39" s="75"/>
      <c r="R39" s="69"/>
      <c r="S39" s="53"/>
      <c r="T39" s="69" t="s">
        <v>528</v>
      </c>
      <c r="U39" s="48"/>
      <c r="V39" s="69"/>
      <c r="W39" s="47"/>
      <c r="X39" s="75"/>
      <c r="Y39" s="43"/>
      <c r="Z39" s="43"/>
      <c r="AA39" s="44"/>
    </row>
    <row r="40" spans="1:27" ht="13.5" customHeight="1" x14ac:dyDescent="0.2">
      <c r="A40" s="2154" t="s">
        <v>2062</v>
      </c>
      <c r="B40" s="2155"/>
      <c r="C40" s="2156"/>
      <c r="D40" s="2156"/>
      <c r="E40" s="2156"/>
      <c r="F40" s="2157"/>
      <c r="G40" s="2157"/>
      <c r="H40" s="2158"/>
      <c r="I40" s="2179"/>
      <c r="J40" s="2180"/>
      <c r="K40" s="2180"/>
      <c r="L40" s="2180"/>
      <c r="M40" s="2180"/>
      <c r="N40" s="2180"/>
      <c r="O40" s="2180"/>
      <c r="P40" s="2180"/>
      <c r="Q40" s="2180"/>
      <c r="R40" s="2180"/>
      <c r="S40" s="2181"/>
      <c r="T40" s="2179"/>
      <c r="U40" s="2233"/>
      <c r="V40" s="2180"/>
      <c r="W40" s="2180"/>
      <c r="X40" s="2180"/>
      <c r="Y40" s="2180"/>
      <c r="Z40" s="2180"/>
      <c r="AA40" s="218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68">
        <v>3093852213</v>
      </c>
      <c r="B42" s="2160"/>
      <c r="C42" s="2161"/>
      <c r="D42" s="2159">
        <v>3093851823</v>
      </c>
      <c r="E42" s="2160"/>
      <c r="F42" s="2160"/>
      <c r="G42" s="2160"/>
      <c r="H42" s="2161"/>
      <c r="I42" s="2143"/>
      <c r="J42" s="2144"/>
      <c r="K42" s="2144"/>
      <c r="L42" s="2144"/>
      <c r="M42" s="2144"/>
      <c r="N42" s="2144"/>
      <c r="O42" s="2145"/>
      <c r="P42" s="2178"/>
      <c r="Q42" s="2144"/>
      <c r="R42" s="2144"/>
      <c r="S42" s="2145"/>
      <c r="T42" s="2143"/>
      <c r="U42" s="2144"/>
      <c r="V42" s="2144"/>
      <c r="W42" s="2145"/>
      <c r="X42" s="2178"/>
      <c r="Y42" s="2144"/>
      <c r="Z42" s="2144"/>
      <c r="AA42" s="214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73"/>
      <c r="B44" s="2174"/>
      <c r="C44" s="2174"/>
      <c r="D44" s="2174"/>
      <c r="E44" s="2174"/>
      <c r="F44" s="2174"/>
      <c r="G44" s="2174"/>
      <c r="H44" s="2175"/>
      <c r="I44" s="2148"/>
      <c r="J44" s="2149"/>
      <c r="K44" s="2149"/>
      <c r="L44" s="2149"/>
      <c r="M44" s="2149"/>
      <c r="N44" s="2149"/>
      <c r="O44" s="2149"/>
      <c r="P44" s="2149"/>
      <c r="Q44" s="2149"/>
      <c r="R44" s="2149"/>
      <c r="S44" s="2150"/>
      <c r="T44" s="2148"/>
      <c r="U44" s="2167"/>
      <c r="V44" s="2167"/>
      <c r="W44" s="2167"/>
      <c r="X44" s="2167"/>
      <c r="Y44" s="2167"/>
      <c r="Z44" s="2149"/>
      <c r="AA44" s="215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2" right="0.2" top="0.75" bottom="0.52" header="0.19" footer="0.17"/>
  <pageSetup scale="76"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91"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92"/>
      <c r="B3" s="1294"/>
      <c r="C3" s="1295"/>
      <c r="D3" s="1296" t="s">
        <v>254</v>
      </c>
      <c r="E3" s="1295"/>
      <c r="F3" s="1296" t="s">
        <v>255</v>
      </c>
    </row>
    <row r="4" spans="1:8" ht="13.7" customHeight="1" x14ac:dyDescent="0.2">
      <c r="A4" s="579" t="s">
        <v>1145</v>
      </c>
      <c r="B4" s="1721">
        <f>'Revenues 9-14'!C5</f>
        <v>1758065</v>
      </c>
      <c r="C4" s="1722"/>
      <c r="D4" s="1723">
        <f>B4-C4</f>
        <v>1758065</v>
      </c>
      <c r="E4" s="1722">
        <v>3131052</v>
      </c>
      <c r="F4" s="1723">
        <f>E4-C4</f>
        <v>3131052</v>
      </c>
    </row>
    <row r="5" spans="1:8" ht="13.7" customHeight="1" x14ac:dyDescent="0.2">
      <c r="A5" s="579" t="s">
        <v>865</v>
      </c>
      <c r="B5" s="1724">
        <f>'Revenues 9-14'!D5</f>
        <v>277298</v>
      </c>
      <c r="C5" s="1664"/>
      <c r="D5" s="1725">
        <f t="shared" ref="D5:D18" si="0">B5-C5</f>
        <v>277298</v>
      </c>
      <c r="E5" s="1664">
        <v>493857</v>
      </c>
      <c r="F5" s="1725">
        <f>E5-C5</f>
        <v>493857</v>
      </c>
    </row>
    <row r="6" spans="1:8" ht="13.7" customHeight="1" x14ac:dyDescent="0.2">
      <c r="A6" s="579" t="s">
        <v>408</v>
      </c>
      <c r="B6" s="1724">
        <f>'Revenues 9-14'!E5</f>
        <v>436869</v>
      </c>
      <c r="C6" s="1664"/>
      <c r="D6" s="1725">
        <f t="shared" si="0"/>
        <v>436869</v>
      </c>
      <c r="E6" s="1664">
        <v>786013</v>
      </c>
      <c r="F6" s="1725">
        <f t="shared" ref="F6:F18" si="1">E6-C6</f>
        <v>786013</v>
      </c>
    </row>
    <row r="7" spans="1:8" ht="13.7" customHeight="1" x14ac:dyDescent="0.2">
      <c r="A7" s="579" t="s">
        <v>154</v>
      </c>
      <c r="B7" s="1724">
        <f>'Revenues 9-14'!F5</f>
        <v>110919</v>
      </c>
      <c r="C7" s="1664"/>
      <c r="D7" s="1725">
        <f t="shared" si="0"/>
        <v>110919</v>
      </c>
      <c r="E7" s="1664">
        <v>197543</v>
      </c>
      <c r="F7" s="1725">
        <f t="shared" si="1"/>
        <v>197543</v>
      </c>
    </row>
    <row r="8" spans="1:8" ht="13.7" customHeight="1" x14ac:dyDescent="0.2">
      <c r="A8" s="579" t="s">
        <v>1169</v>
      </c>
      <c r="B8" s="1724">
        <f>'Revenues 9-14'!G5</f>
        <v>66627</v>
      </c>
      <c r="C8" s="1664"/>
      <c r="D8" s="1725">
        <f t="shared" si="0"/>
        <v>66627</v>
      </c>
      <c r="E8" s="1664">
        <v>115039</v>
      </c>
      <c r="F8" s="1725">
        <f t="shared" si="1"/>
        <v>115039</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27730</v>
      </c>
      <c r="C10" s="1664"/>
      <c r="D10" s="1725">
        <f t="shared" si="0"/>
        <v>27730</v>
      </c>
      <c r="E10" s="1664">
        <v>49386</v>
      </c>
      <c r="F10" s="1725">
        <f t="shared" si="1"/>
        <v>49386</v>
      </c>
    </row>
    <row r="11" spans="1:8" x14ac:dyDescent="0.2">
      <c r="A11" s="579" t="s">
        <v>406</v>
      </c>
      <c r="B11" s="1724">
        <f>'Revenues 9-14'!J5</f>
        <v>211452</v>
      </c>
      <c r="C11" s="1664"/>
      <c r="D11" s="1725">
        <f t="shared" si="0"/>
        <v>211452</v>
      </c>
      <c r="E11" s="1664">
        <v>365108</v>
      </c>
      <c r="F11" s="1725">
        <f t="shared" si="1"/>
        <v>365108</v>
      </c>
    </row>
    <row r="12" spans="1:8" ht="13.7" customHeight="1" x14ac:dyDescent="0.2">
      <c r="A12" s="579" t="s">
        <v>156</v>
      </c>
      <c r="B12" s="1724">
        <f>'Revenues 9-14'!K5</f>
        <v>27730</v>
      </c>
      <c r="C12" s="1664"/>
      <c r="D12" s="1725">
        <f t="shared" si="0"/>
        <v>27730</v>
      </c>
      <c r="E12" s="1664">
        <v>49386</v>
      </c>
      <c r="F12" s="1725">
        <f t="shared" si="1"/>
        <v>49386</v>
      </c>
    </row>
    <row r="13" spans="1:8" ht="13.7" customHeight="1" x14ac:dyDescent="0.2">
      <c r="A13" s="579" t="s">
        <v>930</v>
      </c>
      <c r="B13" s="1724">
        <f>SUM('Revenues 9-14'!C6:D6)</f>
        <v>27730</v>
      </c>
      <c r="C13" s="1664"/>
      <c r="D13" s="1725">
        <f t="shared" si="0"/>
        <v>27730</v>
      </c>
      <c r="E13" s="1664">
        <v>49386</v>
      </c>
      <c r="F13" s="1725">
        <f t="shared" si="1"/>
        <v>49386</v>
      </c>
    </row>
    <row r="14" spans="1:8" ht="13.7" customHeight="1" x14ac:dyDescent="0.2">
      <c r="A14" s="579" t="s">
        <v>407</v>
      </c>
      <c r="B14" s="1724">
        <f>SUM('Revenues 9-14'!C7:D7,'Revenues 9-14'!F7:H7)</f>
        <v>22184</v>
      </c>
      <c r="C14" s="1664"/>
      <c r="D14" s="1725">
        <f t="shared" si="0"/>
        <v>22184</v>
      </c>
      <c r="E14" s="1664">
        <v>39509</v>
      </c>
      <c r="F14" s="1725">
        <f t="shared" si="1"/>
        <v>39509</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95592</v>
      </c>
      <c r="C16" s="1664"/>
      <c r="D16" s="1725">
        <f t="shared" si="0"/>
        <v>95592</v>
      </c>
      <c r="E16" s="1664">
        <v>165057</v>
      </c>
      <c r="F16" s="1725">
        <f t="shared" si="1"/>
        <v>165057</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3062196</v>
      </c>
      <c r="C19" s="1726">
        <f>SUM(C4:C18)</f>
        <v>0</v>
      </c>
      <c r="D19" s="1726">
        <f>SUM(D4:D18)</f>
        <v>3062196</v>
      </c>
      <c r="E19" s="1726">
        <f>SUM(E4:E18)</f>
        <v>5441336</v>
      </c>
      <c r="F19" s="1726">
        <f>SUM(F4:F18)</f>
        <v>5441336</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13" t="s">
        <v>625</v>
      </c>
      <c r="B1" s="2411"/>
      <c r="C1" s="585"/>
    </row>
    <row r="2" spans="1:7" ht="33.75" x14ac:dyDescent="0.2">
      <c r="A2" s="2418" t="s">
        <v>1775</v>
      </c>
      <c r="B2" s="24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20" t="s">
        <v>1104</v>
      </c>
      <c r="B3" s="2421"/>
      <c r="C3" s="2414"/>
      <c r="D3" s="2415"/>
      <c r="E3" s="2415"/>
      <c r="F3" s="2416"/>
    </row>
    <row r="4" spans="1:7" ht="12.75" customHeight="1" thickBot="1" x14ac:dyDescent="0.25">
      <c r="A4" s="2408" t="s">
        <v>626</v>
      </c>
      <c r="B4" s="2409"/>
      <c r="C4" s="1656"/>
      <c r="D4" s="1656"/>
      <c r="E4" s="1656"/>
      <c r="F4" s="1732">
        <f>SUM(C4+D4)-E4</f>
        <v>0</v>
      </c>
    </row>
    <row r="5" spans="1:7" ht="15.75" customHeight="1" thickTop="1" x14ac:dyDescent="0.2">
      <c r="A5" s="2412" t="s">
        <v>1101</v>
      </c>
      <c r="B5" s="2407"/>
      <c r="C5" s="2401"/>
      <c r="D5" s="2402"/>
      <c r="E5" s="2402"/>
      <c r="F5" s="24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404" t="s">
        <v>627</v>
      </c>
      <c r="B15" s="2405"/>
      <c r="C15" s="1732">
        <f>SUM(C6:C14)</f>
        <v>0</v>
      </c>
      <c r="D15" s="1732">
        <f>SUM(D6:D14)</f>
        <v>0</v>
      </c>
      <c r="E15" s="1732">
        <f>SUM(E6:E14)</f>
        <v>0</v>
      </c>
      <c r="F15" s="1732">
        <f>SUM(F6:F14)</f>
        <v>0</v>
      </c>
      <c r="G15" s="473"/>
    </row>
    <row r="16" spans="1:7" s="197" customFormat="1" ht="15.75" customHeight="1" thickTop="1" x14ac:dyDescent="0.2">
      <c r="A16" s="2417" t="s">
        <v>1102</v>
      </c>
      <c r="B16" s="2407"/>
      <c r="C16" s="2401"/>
      <c r="D16" s="2402"/>
      <c r="E16" s="2402"/>
      <c r="F16" s="2403"/>
    </row>
    <row r="17" spans="1:11" ht="12.75" customHeight="1" thickBot="1" x14ac:dyDescent="0.25">
      <c r="A17" s="2399" t="s">
        <v>64</v>
      </c>
      <c r="B17" s="2400"/>
      <c r="C17" s="1733"/>
      <c r="D17" s="1664"/>
      <c r="E17" s="1733"/>
      <c r="F17" s="1732">
        <f>SUM(C17+D17)-E17</f>
        <v>0</v>
      </c>
    </row>
    <row r="18" spans="1:11" ht="12.75" customHeight="1" thickTop="1" thickBot="1" x14ac:dyDescent="0.25">
      <c r="A18" s="2399" t="s">
        <v>6</v>
      </c>
      <c r="B18" s="2400"/>
      <c r="C18" s="1733"/>
      <c r="D18" s="1664"/>
      <c r="E18" s="1733"/>
      <c r="F18" s="1732">
        <f>SUM(C18+D18)-E18</f>
        <v>0</v>
      </c>
    </row>
    <row r="19" spans="1:11" ht="12.75" customHeight="1" thickTop="1" thickBot="1" x14ac:dyDescent="0.25">
      <c r="A19" s="2399" t="s">
        <v>385</v>
      </c>
      <c r="B19" s="2400"/>
      <c r="C19" s="1733"/>
      <c r="D19" s="1664"/>
      <c r="E19" s="1733"/>
      <c r="F19" s="1732">
        <f>SUM(C19+D19)-E19</f>
        <v>0</v>
      </c>
    </row>
    <row r="20" spans="1:11" ht="12.75" customHeight="1" thickTop="1" thickBot="1" x14ac:dyDescent="0.25">
      <c r="A20" s="2399" t="s">
        <v>445</v>
      </c>
      <c r="B20" s="2400"/>
      <c r="C20" s="1733"/>
      <c r="D20" s="1664"/>
      <c r="E20" s="1733"/>
      <c r="F20" s="1732">
        <f>SUM(C20+D20)-E20</f>
        <v>0</v>
      </c>
    </row>
    <row r="21" spans="1:11" ht="14.25" thickTop="1" thickBot="1" x14ac:dyDescent="0.25">
      <c r="A21" s="2404" t="s">
        <v>628</v>
      </c>
      <c r="B21" s="2405"/>
      <c r="C21" s="1732">
        <f>SUM(C17:C20)</f>
        <v>0</v>
      </c>
      <c r="D21" s="1732">
        <f>SUM(D17:D20)</f>
        <v>0</v>
      </c>
      <c r="E21" s="1732">
        <f>SUM(E17:E20)</f>
        <v>0</v>
      </c>
      <c r="F21" s="1732">
        <f>SUM(F17:F20)</f>
        <v>0</v>
      </c>
      <c r="G21" s="473"/>
    </row>
    <row r="22" spans="1:11" ht="15.75" customHeight="1" thickTop="1" x14ac:dyDescent="0.2">
      <c r="A22" s="2406" t="s">
        <v>1103</v>
      </c>
      <c r="B22" s="2407"/>
      <c r="C22" s="2401"/>
      <c r="D22" s="2402"/>
      <c r="E22" s="2402"/>
      <c r="F22" s="2403"/>
    </row>
    <row r="23" spans="1:11" ht="13.5" thickBot="1" x14ac:dyDescent="0.25">
      <c r="A23" s="2408" t="s">
        <v>629</v>
      </c>
      <c r="B23" s="2409"/>
      <c r="C23" s="1656"/>
      <c r="D23" s="1656"/>
      <c r="E23" s="1656"/>
      <c r="F23" s="1732">
        <f>SUM(C23+D23)-E23</f>
        <v>0</v>
      </c>
      <c r="G23" s="473"/>
    </row>
    <row r="24" spans="1:11" ht="15.75" customHeight="1" thickTop="1" x14ac:dyDescent="0.2">
      <c r="A24" s="2406" t="s">
        <v>2002</v>
      </c>
      <c r="B24" s="2407"/>
      <c r="C24" s="2401"/>
      <c r="D24" s="2402"/>
      <c r="E24" s="2402"/>
      <c r="F24" s="2403"/>
    </row>
    <row r="25" spans="1:11" ht="13.5" thickBot="1" x14ac:dyDescent="0.25">
      <c r="A25" s="2408" t="s">
        <v>2003</v>
      </c>
      <c r="B25" s="2409"/>
      <c r="C25" s="1656"/>
      <c r="D25" s="1656"/>
      <c r="E25" s="1656"/>
      <c r="F25" s="1732">
        <f>SUM(C25+D25)-E25</f>
        <v>0</v>
      </c>
      <c r="G25" s="473"/>
    </row>
    <row r="26" spans="1:11" ht="15.75" customHeight="1" thickTop="1" x14ac:dyDescent="0.2">
      <c r="A26" s="2412" t="s">
        <v>652</v>
      </c>
      <c r="B26" s="2407"/>
      <c r="C26" s="589"/>
      <c r="D26" s="589"/>
      <c r="E26" s="589"/>
      <c r="F26" s="590"/>
    </row>
    <row r="27" spans="1:11" ht="13.5" thickBot="1" x14ac:dyDescent="0.25">
      <c r="A27" s="2404" t="s">
        <v>1061</v>
      </c>
      <c r="B27" s="2405"/>
      <c r="C27" s="1664"/>
      <c r="D27" s="1664"/>
      <c r="E27" s="1664"/>
      <c r="F27" s="1732">
        <f>SUM(C27+D27)-E27</f>
        <v>0</v>
      </c>
      <c r="G27" s="473"/>
    </row>
    <row r="28" spans="1:11" ht="7.5" customHeight="1" thickTop="1" x14ac:dyDescent="0.2">
      <c r="A28" s="489"/>
    </row>
    <row r="29" spans="1:11" ht="23.25" customHeight="1" x14ac:dyDescent="0.2">
      <c r="A29" s="2410" t="s">
        <v>578</v>
      </c>
      <c r="B29" s="2411"/>
      <c r="C29" s="591"/>
      <c r="D29" s="591"/>
      <c r="E29" s="591"/>
      <c r="F29" s="591"/>
      <c r="G29" s="591"/>
      <c r="H29" s="591"/>
      <c r="I29" s="591"/>
      <c r="J29" s="591"/>
    </row>
    <row r="30" spans="1:11" ht="33.75" x14ac:dyDescent="0.2">
      <c r="A30" s="1297" t="s">
        <v>1062</v>
      </c>
      <c r="B30" s="592" t="s">
        <v>1114</v>
      </c>
      <c r="C30" s="592" t="s">
        <v>579</v>
      </c>
      <c r="D30" s="592" t="s">
        <v>1653</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2082</v>
      </c>
      <c r="B31" s="595">
        <v>41821</v>
      </c>
      <c r="C31" s="1734">
        <v>8560000</v>
      </c>
      <c r="D31" s="1735"/>
      <c r="E31" s="1734">
        <v>8265000</v>
      </c>
      <c r="F31" s="1734"/>
      <c r="G31" s="1734"/>
      <c r="H31" s="1734">
        <v>220000</v>
      </c>
      <c r="I31" s="1736">
        <f>((E31+F31)-H31)+G31</f>
        <v>8045000</v>
      </c>
      <c r="J31" s="1734">
        <f>I31-10733</f>
        <v>8034267</v>
      </c>
      <c r="K31" s="596"/>
    </row>
    <row r="32" spans="1:11" ht="12" customHeight="1" x14ac:dyDescent="0.2">
      <c r="A32" s="594" t="s">
        <v>2083</v>
      </c>
      <c r="B32" s="595">
        <v>42465</v>
      </c>
      <c r="C32" s="1734">
        <v>2730000</v>
      </c>
      <c r="D32" s="1735"/>
      <c r="E32" s="1734">
        <v>1650000</v>
      </c>
      <c r="F32" s="1734"/>
      <c r="G32" s="1734"/>
      <c r="H32" s="1734">
        <v>255000</v>
      </c>
      <c r="I32" s="1736">
        <f>((E32+F32)-H32)+G32</f>
        <v>1395000</v>
      </c>
      <c r="J32" s="1734">
        <f>I32-248</f>
        <v>1394752</v>
      </c>
      <c r="K32" s="596"/>
    </row>
    <row r="33" spans="1:11" ht="12" customHeight="1" x14ac:dyDescent="0.2">
      <c r="A33" s="594" t="s">
        <v>2084</v>
      </c>
      <c r="B33" s="595">
        <v>43619</v>
      </c>
      <c r="C33" s="1734">
        <v>1610000</v>
      </c>
      <c r="D33" s="1735"/>
      <c r="E33" s="1734">
        <v>1610000</v>
      </c>
      <c r="F33" s="1734"/>
      <c r="G33" s="1734"/>
      <c r="H33" s="1734"/>
      <c r="I33" s="1736">
        <f t="shared" ref="I33:I48" si="1">((E33+F33)-H33)+G33</f>
        <v>1610000</v>
      </c>
      <c r="J33" s="1734">
        <f>I33-112120</f>
        <v>1497880</v>
      </c>
      <c r="K33" s="596"/>
    </row>
    <row r="34" spans="1:11" ht="12" customHeight="1" x14ac:dyDescent="0.2">
      <c r="A34" s="594" t="s">
        <v>2085</v>
      </c>
      <c r="B34" s="595">
        <v>43656</v>
      </c>
      <c r="C34" s="1734">
        <v>1300000</v>
      </c>
      <c r="D34" s="1735"/>
      <c r="E34" s="1734"/>
      <c r="F34" s="1734">
        <v>1300000</v>
      </c>
      <c r="G34" s="1734"/>
      <c r="H34" s="1734"/>
      <c r="I34" s="1736">
        <f t="shared" si="1"/>
        <v>1300000</v>
      </c>
      <c r="J34" s="1734">
        <f>I34</f>
        <v>1300000</v>
      </c>
      <c r="K34" s="597"/>
    </row>
    <row r="35" spans="1:11" ht="12" customHeight="1" x14ac:dyDescent="0.2">
      <c r="A35" s="594" t="s">
        <v>2086</v>
      </c>
      <c r="B35" s="595">
        <v>43895</v>
      </c>
      <c r="C35" s="1737">
        <v>485400</v>
      </c>
      <c r="D35" s="1735"/>
      <c r="E35" s="1737"/>
      <c r="F35" s="1737">
        <v>485400</v>
      </c>
      <c r="G35" s="1737"/>
      <c r="H35" s="1737"/>
      <c r="I35" s="1736">
        <f t="shared" si="1"/>
        <v>485400</v>
      </c>
      <c r="J35" s="1737">
        <f>I35-452</f>
        <v>484948</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14685400</v>
      </c>
      <c r="D49" s="1742"/>
      <c r="E49" s="1736">
        <f t="shared" ref="E49:J49" si="2">SUM(E31:E48)</f>
        <v>11525000</v>
      </c>
      <c r="F49" s="1736">
        <f t="shared" si="2"/>
        <v>1785400</v>
      </c>
      <c r="G49" s="1736">
        <f t="shared" si="2"/>
        <v>0</v>
      </c>
      <c r="H49" s="1736">
        <f t="shared" si="2"/>
        <v>475000</v>
      </c>
      <c r="I49" s="1736">
        <f t="shared" si="2"/>
        <v>12835400</v>
      </c>
      <c r="J49" s="1736">
        <f t="shared" si="2"/>
        <v>12711847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393" t="s">
        <v>580</v>
      </c>
      <c r="C52" s="2394"/>
      <c r="D52" s="2394"/>
      <c r="E52" s="603" t="s">
        <v>840</v>
      </c>
      <c r="F52" s="2395"/>
      <c r="G52" s="2396"/>
      <c r="H52" s="596"/>
      <c r="I52" s="596"/>
      <c r="J52" s="600"/>
    </row>
    <row r="53" spans="1:11" ht="11.25" customHeight="1" x14ac:dyDescent="0.2">
      <c r="A53" s="604" t="s">
        <v>907</v>
      </c>
      <c r="B53" s="605" t="s">
        <v>945</v>
      </c>
      <c r="C53" s="600"/>
      <c r="D53" s="597"/>
      <c r="E53" s="603" t="s">
        <v>494</v>
      </c>
      <c r="F53" s="2397"/>
      <c r="G53" s="2398"/>
      <c r="H53" s="596"/>
      <c r="I53" s="596"/>
      <c r="J53" s="600"/>
    </row>
    <row r="54" spans="1:11" ht="11.25" customHeight="1" x14ac:dyDescent="0.2">
      <c r="A54" s="606" t="s">
        <v>908</v>
      </c>
      <c r="B54" s="601" t="s">
        <v>946</v>
      </c>
      <c r="C54" s="600"/>
      <c r="D54" s="597"/>
      <c r="E54" s="603" t="s">
        <v>495</v>
      </c>
      <c r="F54" s="2397"/>
      <c r="G54" s="23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22" t="s">
        <v>851</v>
      </c>
      <c r="B1" s="2423"/>
      <c r="C1" s="2423"/>
      <c r="D1" s="2423"/>
      <c r="E1" s="2423"/>
      <c r="F1" s="2423"/>
      <c r="G1" s="2424"/>
      <c r="H1" s="1298"/>
      <c r="I1" s="614"/>
      <c r="J1" s="400"/>
    </row>
    <row r="2" spans="1:11" ht="26.25" x14ac:dyDescent="0.2">
      <c r="A2" s="2441" t="s">
        <v>1657</v>
      </c>
      <c r="B2" s="2442"/>
      <c r="C2" s="2442"/>
      <c r="D2" s="2442"/>
      <c r="E2" s="2443"/>
      <c r="F2" s="615" t="s">
        <v>898</v>
      </c>
      <c r="G2" s="616" t="s">
        <v>1654</v>
      </c>
      <c r="H2" s="616" t="s">
        <v>407</v>
      </c>
      <c r="I2" s="616" t="s">
        <v>1148</v>
      </c>
      <c r="J2" s="616" t="s">
        <v>1785</v>
      </c>
      <c r="K2" s="616" t="s">
        <v>137</v>
      </c>
    </row>
    <row r="3" spans="1:11" x14ac:dyDescent="0.2">
      <c r="A3" s="2444" t="str">
        <f>"Cash Basis Fund Balance as of July 1, "&amp;'AFR20'!E2-1</f>
        <v>Cash Basis Fund Balance as of July 1, 2019</v>
      </c>
      <c r="B3" s="2445"/>
      <c r="C3" s="2445"/>
      <c r="D3" s="2445"/>
      <c r="E3" s="2446"/>
      <c r="F3" s="617"/>
      <c r="G3" s="1744"/>
      <c r="H3" s="1744"/>
      <c r="I3" s="1744"/>
      <c r="J3" s="1745">
        <v>1651731</v>
      </c>
      <c r="K3" s="1745">
        <v>50114</v>
      </c>
    </row>
    <row r="4" spans="1:11" x14ac:dyDescent="0.2">
      <c r="A4" s="2447" t="s">
        <v>366</v>
      </c>
      <c r="B4" s="2448"/>
      <c r="C4" s="2448"/>
      <c r="D4" s="2448"/>
      <c r="E4" s="2394"/>
      <c r="F4" s="620"/>
      <c r="G4" s="1746"/>
      <c r="H4" s="1747"/>
      <c r="I4" s="1746"/>
      <c r="J4" s="1748"/>
      <c r="K4" s="1748"/>
    </row>
    <row r="5" spans="1:11" x14ac:dyDescent="0.2">
      <c r="A5" s="2425" t="s">
        <v>1060</v>
      </c>
      <c r="B5" s="2426"/>
      <c r="C5" s="2426"/>
      <c r="D5" s="2426"/>
      <c r="E5" s="2427"/>
      <c r="F5" s="622" t="s">
        <v>843</v>
      </c>
      <c r="G5" s="1749"/>
      <c r="H5" s="1744">
        <f>22179+5</f>
        <v>22184</v>
      </c>
      <c r="I5" s="1750"/>
      <c r="J5" s="1751"/>
      <c r="K5" s="1751"/>
    </row>
    <row r="6" spans="1:11" x14ac:dyDescent="0.2">
      <c r="A6" s="625" t="s">
        <v>715</v>
      </c>
      <c r="B6" s="626"/>
      <c r="C6" s="626"/>
      <c r="D6" s="626"/>
      <c r="E6" s="627"/>
      <c r="F6" s="628" t="s">
        <v>844</v>
      </c>
      <c r="G6" s="1744"/>
      <c r="H6" s="1744">
        <v>31</v>
      </c>
      <c r="I6" s="1744"/>
      <c r="J6" s="1745">
        <v>2643</v>
      </c>
      <c r="K6" s="1745">
        <v>126</v>
      </c>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77359</v>
      </c>
      <c r="K8" s="1748"/>
    </row>
    <row r="9" spans="1:11" x14ac:dyDescent="0.2">
      <c r="A9" s="629" t="s">
        <v>137</v>
      </c>
      <c r="B9" s="630"/>
      <c r="C9" s="630"/>
      <c r="D9" s="630"/>
      <c r="E9" s="631"/>
      <c r="F9" s="628" t="s">
        <v>848</v>
      </c>
      <c r="G9" s="1753"/>
      <c r="H9" s="1749"/>
      <c r="I9" s="1749"/>
      <c r="J9" s="1752"/>
      <c r="K9" s="1745">
        <v>8245</v>
      </c>
    </row>
    <row r="10" spans="1:11" x14ac:dyDescent="0.2">
      <c r="A10" s="2425" t="s">
        <v>1786</v>
      </c>
      <c r="B10" s="2426"/>
      <c r="C10" s="2426"/>
      <c r="D10" s="2426"/>
      <c r="E10" s="2428"/>
      <c r="F10" s="633" t="s">
        <v>857</v>
      </c>
      <c r="G10" s="1753"/>
      <c r="H10" s="1754"/>
      <c r="I10" s="1744"/>
      <c r="J10" s="1745"/>
      <c r="K10" s="1745"/>
    </row>
    <row r="11" spans="1:11" x14ac:dyDescent="0.2">
      <c r="A11" s="2425" t="s">
        <v>159</v>
      </c>
      <c r="B11" s="2426"/>
      <c r="C11" s="2426"/>
      <c r="D11" s="2426"/>
      <c r="E11" s="2427"/>
      <c r="F11" s="622" t="s">
        <v>847</v>
      </c>
      <c r="G11" s="1749"/>
      <c r="H11" s="1744"/>
      <c r="I11" s="1744"/>
      <c r="J11" s="1745"/>
      <c r="K11" s="1751"/>
    </row>
    <row r="12" spans="1:11" ht="13.5" thickBot="1" x14ac:dyDescent="0.25">
      <c r="A12" s="2452" t="s">
        <v>899</v>
      </c>
      <c r="B12" s="2453"/>
      <c r="C12" s="2453"/>
      <c r="D12" s="2453"/>
      <c r="E12" s="2454"/>
      <c r="F12" s="1433"/>
      <c r="G12" s="1755">
        <f>SUM(G5:G11)</f>
        <v>0</v>
      </c>
      <c r="H12" s="1755">
        <f>SUM(H5:H11)</f>
        <v>22215</v>
      </c>
      <c r="I12" s="1755">
        <f>SUM(I5:I11)</f>
        <v>0</v>
      </c>
      <c r="J12" s="1755">
        <f>SUM(J5:J11)</f>
        <v>80002</v>
      </c>
      <c r="K12" s="1755">
        <f>SUM(K5:K11)</f>
        <v>8371</v>
      </c>
    </row>
    <row r="13" spans="1:11" ht="13.5" thickTop="1" x14ac:dyDescent="0.2">
      <c r="A13" s="2449" t="s">
        <v>367</v>
      </c>
      <c r="B13" s="2450"/>
      <c r="C13" s="2450"/>
      <c r="D13" s="2450"/>
      <c r="E13" s="2451"/>
      <c r="F13" s="634"/>
      <c r="G13" s="1756"/>
      <c r="H13" s="1757"/>
      <c r="I13" s="1758"/>
      <c r="J13" s="1758"/>
      <c r="K13" s="1758"/>
    </row>
    <row r="14" spans="1:11" x14ac:dyDescent="0.2">
      <c r="A14" s="2432" t="s">
        <v>453</v>
      </c>
      <c r="B14" s="2432"/>
      <c r="C14" s="2432"/>
      <c r="D14" s="2432"/>
      <c r="E14" s="2433"/>
      <c r="F14" s="635" t="s">
        <v>849</v>
      </c>
      <c r="G14" s="1753"/>
      <c r="H14" s="1744">
        <v>22215</v>
      </c>
      <c r="I14" s="1749"/>
      <c r="J14" s="1751"/>
      <c r="K14" s="1745">
        <v>840</v>
      </c>
    </row>
    <row r="15" spans="1:11" x14ac:dyDescent="0.2">
      <c r="A15" s="2426" t="s">
        <v>4</v>
      </c>
      <c r="B15" s="2426"/>
      <c r="C15" s="2426"/>
      <c r="D15" s="2426"/>
      <c r="E15" s="2427"/>
      <c r="F15" s="635" t="s">
        <v>850</v>
      </c>
      <c r="G15" s="1749"/>
      <c r="H15" s="1744"/>
      <c r="I15" s="1744"/>
      <c r="J15" s="1745">
        <v>1731733</v>
      </c>
      <c r="K15" s="1745"/>
    </row>
    <row r="16" spans="1:11" x14ac:dyDescent="0.2">
      <c r="A16" s="2426" t="s">
        <v>295</v>
      </c>
      <c r="B16" s="2426"/>
      <c r="C16" s="2426"/>
      <c r="D16" s="2426"/>
      <c r="E16" s="2427"/>
      <c r="F16" s="635" t="s">
        <v>917</v>
      </c>
      <c r="G16" s="1750"/>
      <c r="H16" s="1746"/>
      <c r="I16" s="1746"/>
      <c r="J16" s="1748"/>
      <c r="K16" s="1748"/>
    </row>
    <row r="17" spans="1:15" x14ac:dyDescent="0.2">
      <c r="A17" s="2459" t="s">
        <v>929</v>
      </c>
      <c r="B17" s="2459"/>
      <c r="C17" s="2459"/>
      <c r="D17" s="2459"/>
      <c r="E17" s="2460"/>
      <c r="F17" s="636"/>
      <c r="G17" s="1759"/>
      <c r="H17" s="1760"/>
      <c r="I17" s="1760"/>
      <c r="J17" s="1761"/>
      <c r="K17" s="1762"/>
    </row>
    <row r="18" spans="1:15" x14ac:dyDescent="0.2">
      <c r="A18" s="2436" t="s">
        <v>365</v>
      </c>
      <c r="B18" s="2437"/>
      <c r="C18" s="2437"/>
      <c r="D18" s="2437"/>
      <c r="E18" s="2438"/>
      <c r="F18" s="635" t="s">
        <v>926</v>
      </c>
      <c r="G18" s="1753"/>
      <c r="H18" s="1753"/>
      <c r="I18" s="1753"/>
      <c r="J18" s="1745"/>
      <c r="K18" s="1763"/>
    </row>
    <row r="19" spans="1:15" ht="21.75" customHeight="1" x14ac:dyDescent="0.2">
      <c r="A19" s="2434" t="s">
        <v>1782</v>
      </c>
      <c r="B19" s="2434"/>
      <c r="C19" s="2434"/>
      <c r="D19" s="2434"/>
      <c r="E19" s="2435"/>
      <c r="F19" s="635" t="s">
        <v>927</v>
      </c>
      <c r="G19" s="1753"/>
      <c r="H19" s="1753"/>
      <c r="I19" s="1753"/>
      <c r="J19" s="1745"/>
      <c r="K19" s="1763"/>
    </row>
    <row r="20" spans="1:15" x14ac:dyDescent="0.2">
      <c r="A20" s="2436" t="s">
        <v>1787</v>
      </c>
      <c r="B20" s="2437"/>
      <c r="C20" s="2437"/>
      <c r="D20" s="2437"/>
      <c r="E20" s="2438"/>
      <c r="F20" s="635" t="s">
        <v>928</v>
      </c>
      <c r="G20" s="1753"/>
      <c r="H20" s="1753"/>
      <c r="I20" s="1753"/>
      <c r="J20" s="1745"/>
      <c r="K20" s="1763"/>
    </row>
    <row r="21" spans="1:15" ht="13.5" thickBot="1" x14ac:dyDescent="0.25">
      <c r="A21" s="2455" t="s">
        <v>633</v>
      </c>
      <c r="B21" s="2455"/>
      <c r="C21" s="2455"/>
      <c r="D21" s="2455"/>
      <c r="E21" s="2455"/>
      <c r="F21" s="1434"/>
      <c r="G21" s="1760"/>
      <c r="H21" s="1764"/>
      <c r="I21" s="1764"/>
      <c r="J21" s="1765">
        <f>SUM(J18:J20)</f>
        <v>0</v>
      </c>
      <c r="K21" s="1761"/>
    </row>
    <row r="22" spans="1:15" ht="13.5" thickTop="1" x14ac:dyDescent="0.2">
      <c r="A22" s="2426" t="s">
        <v>1788</v>
      </c>
      <c r="B22" s="2426"/>
      <c r="C22" s="2426"/>
      <c r="D22" s="2426"/>
      <c r="E22" s="2427"/>
      <c r="F22" s="635" t="s">
        <v>857</v>
      </c>
      <c r="G22" s="1753"/>
      <c r="H22" s="1744"/>
      <c r="I22" s="1744"/>
      <c r="J22" s="1766"/>
      <c r="K22" s="1745"/>
    </row>
    <row r="23" spans="1:15" ht="13.5" thickBot="1" x14ac:dyDescent="0.25">
      <c r="A23" s="2456" t="s">
        <v>900</v>
      </c>
      <c r="B23" s="2455"/>
      <c r="C23" s="2455"/>
      <c r="D23" s="2455"/>
      <c r="E23" s="2455"/>
      <c r="F23" s="1436"/>
      <c r="G23" s="1755">
        <f>SUM(G14:G16,G21,G22)</f>
        <v>0</v>
      </c>
      <c r="H23" s="1755">
        <f>SUM(H14:H16,H21,H22)</f>
        <v>22215</v>
      </c>
      <c r="I23" s="1755">
        <f>SUM(I14:I16,I21,I22)</f>
        <v>0</v>
      </c>
      <c r="J23" s="1755">
        <f>SUM(J14:J16,J21,J22)</f>
        <v>1731733</v>
      </c>
      <c r="K23" s="1755">
        <f>SUM(K14:K16,K21,K22)</f>
        <v>840</v>
      </c>
      <c r="M23" s="1846"/>
      <c r="N23" s="1846"/>
      <c r="O23" s="1846"/>
    </row>
    <row r="24" spans="1:15" ht="14.25" thickTop="1" thickBot="1" x14ac:dyDescent="0.25">
      <c r="A24" s="2457" t="str">
        <f>"Ending Cash Basis Fund Balance as of June 30, "&amp;'AFR20'!E2</f>
        <v>Ending Cash Basis Fund Balance as of June 30, 2020</v>
      </c>
      <c r="B24" s="2458"/>
      <c r="C24" s="2458"/>
      <c r="D24" s="2458"/>
      <c r="E24" s="2458"/>
      <c r="F24" s="1437"/>
      <c r="G24" s="1767">
        <f>SUM(G3,G12)-G23</f>
        <v>0</v>
      </c>
      <c r="H24" s="1767">
        <f>SUM(H3,H12)-H23</f>
        <v>0</v>
      </c>
      <c r="I24" s="1767">
        <f>SUM(I3,I12)-I23</f>
        <v>0</v>
      </c>
      <c r="J24" s="1767">
        <f>SUM(J3,J12)-J23</f>
        <v>0</v>
      </c>
      <c r="K24" s="1767">
        <f>SUM(K3,K12)-K23</f>
        <v>57645</v>
      </c>
      <c r="L24" s="1846"/>
      <c r="M24" s="1846"/>
      <c r="N24" s="1846"/>
      <c r="O24" s="1846"/>
    </row>
    <row r="25" spans="1:15" ht="13.5" thickTop="1" x14ac:dyDescent="0.2">
      <c r="A25" s="639" t="s">
        <v>417</v>
      </c>
      <c r="B25" s="640"/>
      <c r="C25" s="640"/>
      <c r="D25" s="640"/>
      <c r="E25" s="641"/>
      <c r="F25" s="642">
        <v>714</v>
      </c>
      <c r="G25" s="1768"/>
      <c r="H25" s="1768"/>
      <c r="I25" s="1768"/>
      <c r="J25" s="1766"/>
      <c r="K25" s="1766">
        <v>57645</v>
      </c>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c r="H31" s="2429"/>
      <c r="I31" s="2430"/>
      <c r="J31" s="2430"/>
      <c r="K31" s="2430"/>
    </row>
    <row r="32" spans="1:15" x14ac:dyDescent="0.2">
      <c r="A32" s="649"/>
      <c r="B32" s="232"/>
      <c r="C32" s="232"/>
      <c r="D32" s="232"/>
      <c r="E32" s="645"/>
      <c r="F32" s="651" t="s">
        <v>537</v>
      </c>
      <c r="G32" s="618"/>
      <c r="H32" s="2431"/>
      <c r="I32" s="2430"/>
      <c r="J32" s="2430"/>
      <c r="K32" s="2430"/>
    </row>
    <row r="33" spans="1:11" ht="1.5" customHeight="1" x14ac:dyDescent="0.2">
      <c r="A33" s="652" t="s">
        <v>1159</v>
      </c>
      <c r="B33" s="341"/>
      <c r="C33" s="341"/>
      <c r="D33" s="341"/>
      <c r="E33" s="341"/>
      <c r="F33" s="341"/>
      <c r="G33" s="653"/>
      <c r="H33" s="2431"/>
      <c r="I33" s="2430"/>
      <c r="J33" s="2430"/>
      <c r="K33" s="2430"/>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26" t="s">
        <v>538</v>
      </c>
      <c r="B41" s="2439"/>
      <c r="C41" s="2439"/>
      <c r="D41" s="2439"/>
      <c r="E41" s="2439"/>
      <c r="F41" s="24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63" t="s">
        <v>1871</v>
      </c>
      <c r="B1" s="2464"/>
      <c r="C1" s="2465"/>
      <c r="D1" s="666"/>
      <c r="E1" s="667"/>
      <c r="F1" s="667"/>
      <c r="G1" s="668"/>
      <c r="H1" s="669"/>
      <c r="I1" s="670"/>
      <c r="J1" s="2461"/>
      <c r="K1" s="2462"/>
      <c r="L1" s="2462"/>
    </row>
    <row r="2" spans="1:14" ht="69.75" customHeight="1" x14ac:dyDescent="0.2">
      <c r="A2" s="671" t="s">
        <v>1658</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528232</v>
      </c>
      <c r="D5" s="1770"/>
      <c r="E5" s="1770"/>
      <c r="F5" s="1765">
        <f>(C5+D5)-E5</f>
        <v>528232</v>
      </c>
      <c r="G5" s="676"/>
      <c r="H5" s="680"/>
      <c r="I5" s="680"/>
      <c r="J5" s="680"/>
      <c r="K5" s="637"/>
      <c r="L5" s="1442">
        <f>F5-K5</f>
        <v>528232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15954312</v>
      </c>
      <c r="D8" s="1771">
        <v>2629107</v>
      </c>
      <c r="E8" s="1771"/>
      <c r="F8" s="1765">
        <f>(C8+D8)-E8</f>
        <v>18583419</v>
      </c>
      <c r="G8" s="681">
        <v>50</v>
      </c>
      <c r="H8" s="619">
        <v>4419899</v>
      </c>
      <c r="I8" s="619">
        <v>337645</v>
      </c>
      <c r="J8" s="619"/>
      <c r="K8" s="1442">
        <f>(H8+I8)-J8</f>
        <v>4757544</v>
      </c>
      <c r="L8" s="1442">
        <f>F8-K8</f>
        <v>13825875</v>
      </c>
    </row>
    <row r="9" spans="1:14" ht="14.25" thickTop="1" thickBot="1" x14ac:dyDescent="0.25">
      <c r="A9" s="629" t="s">
        <v>1109</v>
      </c>
      <c r="B9" s="679">
        <v>232</v>
      </c>
      <c r="C9" s="1745">
        <v>2009</v>
      </c>
      <c r="D9" s="1745"/>
      <c r="E9" s="1745"/>
      <c r="F9" s="1765">
        <f>(C9+D9)-E9</f>
        <v>2009</v>
      </c>
      <c r="G9" s="681">
        <v>20</v>
      </c>
      <c r="H9" s="619">
        <v>300</v>
      </c>
      <c r="I9" s="619">
        <v>100</v>
      </c>
      <c r="J9" s="619"/>
      <c r="K9" s="1442">
        <f>(H9+I9)-J9</f>
        <v>400</v>
      </c>
      <c r="L9" s="1442">
        <f>F9-K9</f>
        <v>1609</v>
      </c>
    </row>
    <row r="10" spans="1:14" ht="24" thickTop="1" thickBot="1" x14ac:dyDescent="0.25">
      <c r="A10" s="682" t="s">
        <v>1110</v>
      </c>
      <c r="B10" s="679">
        <v>240</v>
      </c>
      <c r="C10" s="1772">
        <v>430846</v>
      </c>
      <c r="D10" s="1772">
        <v>318100</v>
      </c>
      <c r="E10" s="1772"/>
      <c r="F10" s="1773">
        <f>(C10+D10)-E10</f>
        <v>748946</v>
      </c>
      <c r="G10" s="681">
        <v>20</v>
      </c>
      <c r="H10" s="683">
        <v>214805</v>
      </c>
      <c r="I10" s="683">
        <v>33707</v>
      </c>
      <c r="J10" s="683"/>
      <c r="K10" s="1442">
        <f>(H10+I10)-J10</f>
        <v>248512</v>
      </c>
      <c r="L10" s="1442">
        <f>F10-K10</f>
        <v>500434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519970</v>
      </c>
      <c r="D12" s="1771">
        <v>56958</v>
      </c>
      <c r="E12" s="1771">
        <v>40287</v>
      </c>
      <c r="F12" s="1765">
        <f>(C12+D12)-E12</f>
        <v>536641</v>
      </c>
      <c r="G12" s="681">
        <v>10</v>
      </c>
      <c r="H12" s="619">
        <v>340409</v>
      </c>
      <c r="I12" s="619">
        <v>53665</v>
      </c>
      <c r="J12" s="619">
        <v>40287</v>
      </c>
      <c r="K12" s="1442">
        <f>(H12+I12)-J12</f>
        <v>353787</v>
      </c>
      <c r="L12" s="1442">
        <f>F12-K12</f>
        <v>182854</v>
      </c>
    </row>
    <row r="13" spans="1:14" ht="14.25" thickTop="1" thickBot="1" x14ac:dyDescent="0.25">
      <c r="A13" s="684" t="s">
        <v>1112</v>
      </c>
      <c r="B13" s="679">
        <v>252</v>
      </c>
      <c r="C13" s="1771">
        <v>606699</v>
      </c>
      <c r="D13" s="1771">
        <v>64925</v>
      </c>
      <c r="E13" s="1771"/>
      <c r="F13" s="1765">
        <f>(C13+D13)-E13</f>
        <v>671624</v>
      </c>
      <c r="G13" s="681">
        <v>5</v>
      </c>
      <c r="H13" s="619">
        <v>585072</v>
      </c>
      <c r="I13" s="619">
        <v>23466</v>
      </c>
      <c r="J13" s="619"/>
      <c r="K13" s="1442">
        <f>(H13+I13)-J13</f>
        <v>608538</v>
      </c>
      <c r="L13" s="1442">
        <f>F13-K13</f>
        <v>63086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85230</v>
      </c>
      <c r="D15" s="1771"/>
      <c r="E15" s="1771">
        <v>85230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18127298</v>
      </c>
      <c r="D16" s="1765">
        <f>SUM(D3,D5:D6,D8:D10,D12:D15)</f>
        <v>3069090</v>
      </c>
      <c r="E16" s="1765">
        <f>SUM(E3,E5:E6,E8:E10,E12:E15)</f>
        <v>125517</v>
      </c>
      <c r="F16" s="1765">
        <f>SUM(F3,F5:F6,F8:F10,F12:F15)</f>
        <v>21070871</v>
      </c>
      <c r="G16" s="681"/>
      <c r="H16" s="1435">
        <f>SUM(H3,H6,H8:H10,H12:H14,)</f>
        <v>5560485</v>
      </c>
      <c r="I16" s="1435">
        <f>SUM(I3,I6,I8:I10,I12:I14,)</f>
        <v>448583</v>
      </c>
      <c r="J16" s="1435">
        <f>SUM(J3,J6,J8:J10,J12:J14,)</f>
        <v>40287</v>
      </c>
      <c r="K16" s="1435">
        <f>(H16+I16)-J16</f>
        <v>5968781</v>
      </c>
      <c r="L16" s="1435">
        <f>F16-K16</f>
        <v>15102090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448583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69" t="str">
        <f>"ESTIMATED OPERATING EXPENSE PER PUPIL (OEPP)/PER CAPITA TUITION CHARGE (PCTC) COMPUTATIONS ("&amp;'AFR20'!E2-1&amp;" - "&amp;'AFR20'!E2&amp;")"</f>
        <v>ESTIMATED OPERATING EXPENSE PER PUPIL (OEPP)/PER CAPITA TUITION CHARGE (PCTC) COMPUTATIONS (2019 - 2020)</v>
      </c>
      <c r="B1" s="2470"/>
      <c r="C1" s="2470"/>
      <c r="D1" s="2470"/>
      <c r="E1" s="2470"/>
      <c r="F1" s="2471"/>
      <c r="G1" s="691"/>
      <c r="I1" s="701"/>
    </row>
    <row r="2" spans="1:9" ht="15" customHeight="1" thickBot="1" x14ac:dyDescent="0.25">
      <c r="A2" s="2472" t="s">
        <v>474</v>
      </c>
      <c r="B2" s="2473"/>
      <c r="C2" s="2473"/>
      <c r="D2" s="2473"/>
      <c r="E2" s="2473"/>
      <c r="F2" s="24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75"/>
      <c r="B5" s="2476"/>
      <c r="C5" s="2476"/>
      <c r="D5" s="2476"/>
      <c r="E5" s="2476"/>
      <c r="F5" s="2476"/>
    </row>
    <row r="6" spans="1:9" ht="13.5" customHeight="1" thickBot="1" x14ac:dyDescent="0.25">
      <c r="A6" s="2466" t="s">
        <v>1095</v>
      </c>
      <c r="B6" s="2467"/>
      <c r="C6" s="2467"/>
      <c r="D6" s="2467"/>
      <c r="E6" s="2467"/>
      <c r="F6" s="24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6786476</v>
      </c>
      <c r="G8" s="701"/>
    </row>
    <row r="9" spans="1:9" x14ac:dyDescent="0.2">
      <c r="A9" s="705" t="s">
        <v>457</v>
      </c>
      <c r="B9" s="706" t="s">
        <v>1844</v>
      </c>
      <c r="C9" s="707"/>
      <c r="D9" s="705" t="s">
        <v>498</v>
      </c>
      <c r="E9" s="704"/>
      <c r="F9" s="1775">
        <f>'Expenditures 15-22'!K151</f>
        <v>481608</v>
      </c>
      <c r="G9" s="708"/>
    </row>
    <row r="10" spans="1:9" x14ac:dyDescent="0.2">
      <c r="A10" s="705" t="s">
        <v>496</v>
      </c>
      <c r="B10" s="706" t="s">
        <v>1845</v>
      </c>
      <c r="C10" s="707"/>
      <c r="D10" s="705" t="s">
        <v>498</v>
      </c>
      <c r="E10" s="704"/>
      <c r="F10" s="1775">
        <f>'Expenditures 15-22'!K174</f>
        <v>928247</v>
      </c>
      <c r="G10" s="708"/>
    </row>
    <row r="11" spans="1:9" x14ac:dyDescent="0.2">
      <c r="A11" s="705" t="s">
        <v>458</v>
      </c>
      <c r="B11" s="706" t="s">
        <v>1846</v>
      </c>
      <c r="C11" s="707"/>
      <c r="D11" s="705" t="s">
        <v>498</v>
      </c>
      <c r="E11" s="704"/>
      <c r="F11" s="1775">
        <f>'Expenditures 15-22'!K210</f>
        <v>399188</v>
      </c>
      <c r="G11" s="708"/>
    </row>
    <row r="12" spans="1:9" x14ac:dyDescent="0.2">
      <c r="A12" s="705" t="s">
        <v>459</v>
      </c>
      <c r="B12" s="706" t="s">
        <v>1847</v>
      </c>
      <c r="C12" s="707"/>
      <c r="D12" s="705" t="s">
        <v>498</v>
      </c>
      <c r="E12" s="704"/>
      <c r="F12" s="1775">
        <f>'Expenditures 15-22'!K295</f>
        <v>267652</v>
      </c>
      <c r="G12" s="708"/>
    </row>
    <row r="13" spans="1:9" x14ac:dyDescent="0.2">
      <c r="A13" s="705" t="s">
        <v>106</v>
      </c>
      <c r="B13" s="706" t="s">
        <v>1848</v>
      </c>
      <c r="C13" s="707"/>
      <c r="D13" s="705" t="s">
        <v>498</v>
      </c>
      <c r="E13" s="704"/>
      <c r="F13" s="1775">
        <f>'Expenditures 15-22'!K342</f>
        <v>200368</v>
      </c>
      <c r="G13" s="709"/>
    </row>
    <row r="14" spans="1:9" ht="12" customHeight="1" thickBot="1" x14ac:dyDescent="0.25">
      <c r="A14" s="1443"/>
      <c r="B14" s="1444"/>
      <c r="C14" s="1445"/>
      <c r="D14" s="1446" t="s">
        <v>498</v>
      </c>
      <c r="E14" s="1447" t="s">
        <v>952</v>
      </c>
      <c r="F14" s="1776">
        <f>SUM(F8:F13)</f>
        <v>9063539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83">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1905</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135191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187801</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2850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3750</v>
      </c>
      <c r="G52" s="701"/>
    </row>
    <row r="53" spans="1:7" x14ac:dyDescent="0.2">
      <c r="A53" s="705" t="s">
        <v>456</v>
      </c>
      <c r="B53" s="705" t="s">
        <v>1458</v>
      </c>
      <c r="C53" s="724">
        <f>'Expenditures 15-22'!B102</f>
        <v>4000</v>
      </c>
      <c r="D53" s="723" t="str">
        <f>'Expenditures 15-22'!A102</f>
        <v>Total Payments to Other Govt Units</v>
      </c>
      <c r="E53" s="704"/>
      <c r="F53" s="1782">
        <f>'Expenditures 15-22'!K102</f>
        <v>431325</v>
      </c>
      <c r="G53" s="701"/>
    </row>
    <row r="54" spans="1:7" x14ac:dyDescent="0.2">
      <c r="A54" s="705" t="s">
        <v>456</v>
      </c>
      <c r="B54" s="705" t="s">
        <v>1459</v>
      </c>
      <c r="C54" s="724" t="s">
        <v>975</v>
      </c>
      <c r="D54" s="720" t="s">
        <v>1086</v>
      </c>
      <c r="E54" s="704"/>
      <c r="F54" s="1782">
        <f>'Expenditures 15-22'!G114</f>
        <v>100918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82">
        <f>'Expenditures 15-22'!K139</f>
        <v>0</v>
      </c>
      <c r="G57" s="701"/>
    </row>
    <row r="58" spans="1:7" x14ac:dyDescent="0.2">
      <c r="A58" s="705" t="s">
        <v>457</v>
      </c>
      <c r="B58" s="705" t="s">
        <v>1850</v>
      </c>
      <c r="C58" s="721" t="s">
        <v>975</v>
      </c>
      <c r="D58" s="720" t="s">
        <v>1086</v>
      </c>
      <c r="E58" s="704"/>
      <c r="F58" s="1784">
        <f>'Expenditures 15-22'!G151</f>
        <v>15065</v>
      </c>
      <c r="G58" s="701"/>
    </row>
    <row r="59" spans="1:7" x14ac:dyDescent="0.2">
      <c r="A59" s="728" t="s">
        <v>457</v>
      </c>
      <c r="B59" s="692" t="s">
        <v>1851</v>
      </c>
      <c r="C59" s="729" t="s">
        <v>975</v>
      </c>
      <c r="D59" s="692" t="s">
        <v>288</v>
      </c>
      <c r="F59" s="1785">
        <f>'Expenditures 15-22'!I151</f>
        <v>0</v>
      </c>
      <c r="G59" s="701"/>
    </row>
    <row r="60" spans="1:7" x14ac:dyDescent="0.2">
      <c r="A60" s="728" t="s">
        <v>496</v>
      </c>
      <c r="B60" s="692" t="s">
        <v>1852</v>
      </c>
      <c r="C60" s="729">
        <v>4000</v>
      </c>
      <c r="D60" s="692" t="s">
        <v>309</v>
      </c>
      <c r="F60" s="1783">
        <f>'Expenditures 15-22'!K160</f>
        <v>0</v>
      </c>
      <c r="G60" s="701"/>
    </row>
    <row r="61" spans="1:7" x14ac:dyDescent="0.2">
      <c r="A61" s="730" t="s">
        <v>496</v>
      </c>
      <c r="B61" s="730" t="s">
        <v>1853</v>
      </c>
      <c r="C61" s="731" t="str">
        <f>'Expenditures 15-22'!B170</f>
        <v>5300</v>
      </c>
      <c r="D61" s="732" t="s">
        <v>308</v>
      </c>
      <c r="E61" s="715"/>
      <c r="F61" s="1782">
        <f>'Expenditures 15-22'!K170</f>
        <v>475000</v>
      </c>
      <c r="G61" s="701"/>
    </row>
    <row r="62" spans="1:7" x14ac:dyDescent="0.2">
      <c r="A62" s="705" t="s">
        <v>458</v>
      </c>
      <c r="B62" s="705" t="s">
        <v>1854</v>
      </c>
      <c r="C62" s="721">
        <f>'Expenditures 15-22'!B185</f>
        <v>3000</v>
      </c>
      <c r="D62" s="712" t="s">
        <v>446</v>
      </c>
      <c r="E62" s="704"/>
      <c r="F62" s="1782">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1856</v>
      </c>
      <c r="C64" s="731" t="str">
        <f>'Expenditures 15-22'!B206</f>
        <v>5300</v>
      </c>
      <c r="D64" s="727" t="s">
        <v>308</v>
      </c>
      <c r="E64" s="704"/>
      <c r="F64" s="1782">
        <f>'Expenditures 15-22'!K206</f>
        <v>0</v>
      </c>
      <c r="G64" s="701"/>
    </row>
    <row r="65" spans="1:9" x14ac:dyDescent="0.2">
      <c r="A65" s="705" t="s">
        <v>458</v>
      </c>
      <c r="B65" s="705" t="s">
        <v>1857</v>
      </c>
      <c r="C65" s="721" t="s">
        <v>975</v>
      </c>
      <c r="D65" s="720" t="s">
        <v>1086</v>
      </c>
      <c r="E65" s="704"/>
      <c r="F65" s="1782">
        <f>'Expenditures 15-22'!G210</f>
        <v>0</v>
      </c>
      <c r="G65" s="701"/>
    </row>
    <row r="66" spans="1:9" x14ac:dyDescent="0.2">
      <c r="A66" s="705" t="s">
        <v>458</v>
      </c>
      <c r="B66" s="705" t="s">
        <v>1858</v>
      </c>
      <c r="C66" s="721" t="s">
        <v>975</v>
      </c>
      <c r="D66" s="720" t="s">
        <v>288</v>
      </c>
      <c r="E66" s="704"/>
      <c r="F66" s="1782">
        <f>'Expenditures 15-22'!I210</f>
        <v>0</v>
      </c>
      <c r="G66" s="701"/>
    </row>
    <row r="67" spans="1:9" x14ac:dyDescent="0.2">
      <c r="A67" s="705" t="s">
        <v>459</v>
      </c>
      <c r="B67" s="705" t="s">
        <v>1859</v>
      </c>
      <c r="C67" s="721" t="str">
        <f>'Expenditures 15-22'!B216</f>
        <v>1125</v>
      </c>
      <c r="D67" s="727" t="str">
        <f>'Expenditures 15-22'!A216</f>
        <v>Pre-K Programs</v>
      </c>
      <c r="E67" s="704"/>
      <c r="F67" s="1782">
        <f>'Expenditures 15-22'!K216</f>
        <v>6156</v>
      </c>
      <c r="G67" s="701"/>
    </row>
    <row r="68" spans="1:9" x14ac:dyDescent="0.2">
      <c r="A68" s="705" t="s">
        <v>459</v>
      </c>
      <c r="B68" s="705" t="s">
        <v>1462</v>
      </c>
      <c r="C68" s="721" t="str">
        <f>'Expenditures 15-22'!B218</f>
        <v>1225</v>
      </c>
      <c r="D68" s="727" t="str">
        <f>'Expenditures 15-22'!A218</f>
        <v>Special Education Programs - Pre-K</v>
      </c>
      <c r="E68" s="704"/>
      <c r="F68" s="1782">
        <f>'Expenditures 15-22'!K218</f>
        <v>15162</v>
      </c>
      <c r="G68" s="701"/>
    </row>
    <row r="69" spans="1:9" x14ac:dyDescent="0.2">
      <c r="A69" s="705" t="s">
        <v>459</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1861</v>
      </c>
      <c r="C70" s="721">
        <f>'Expenditures 15-22'!B221</f>
        <v>1300</v>
      </c>
      <c r="D70" s="722" t="str">
        <f>'Expenditures 15-22'!A221</f>
        <v>Adult/Continuing Education Programs</v>
      </c>
      <c r="E70" s="704"/>
      <c r="F70" s="1782">
        <f>'Expenditures 15-22'!K221</f>
        <v>0</v>
      </c>
      <c r="G70" s="701"/>
    </row>
    <row r="71" spans="1:9" x14ac:dyDescent="0.2">
      <c r="A71" s="705" t="s">
        <v>459</v>
      </c>
      <c r="B71" s="705" t="s">
        <v>1862</v>
      </c>
      <c r="C71" s="721">
        <f>'Expenditures 15-22'!B224</f>
        <v>1600</v>
      </c>
      <c r="D71" s="722" t="str">
        <f>'Expenditures 15-22'!A224</f>
        <v>Summer School Programs</v>
      </c>
      <c r="E71" s="704"/>
      <c r="F71" s="1782">
        <f>'Expenditures 15-22'!K224</f>
        <v>0</v>
      </c>
      <c r="G71" s="701"/>
    </row>
    <row r="72" spans="1:9" x14ac:dyDescent="0.2">
      <c r="A72" s="705" t="s">
        <v>459</v>
      </c>
      <c r="B72" s="705" t="s">
        <v>1863</v>
      </c>
      <c r="C72" s="721">
        <f>'Expenditures 15-22'!B280</f>
        <v>3000</v>
      </c>
      <c r="D72" s="712" t="s">
        <v>446</v>
      </c>
      <c r="E72" s="704"/>
      <c r="F72" s="1782">
        <f>'Expenditures 15-22'!K280</f>
        <v>196</v>
      </c>
      <c r="G72" s="701"/>
    </row>
    <row r="73" spans="1:9" x14ac:dyDescent="0.2">
      <c r="A73" s="705" t="s">
        <v>459</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1865</v>
      </c>
      <c r="C74" s="721" t="s">
        <v>855</v>
      </c>
      <c r="D74" s="722" t="s">
        <v>1470</v>
      </c>
      <c r="E74" s="704"/>
      <c r="F74" s="1786">
        <f>'Expenditures 15-22'!K334</f>
        <v>0</v>
      </c>
      <c r="G74" s="701"/>
    </row>
    <row r="75" spans="1:9" x14ac:dyDescent="0.2">
      <c r="A75" s="705" t="s">
        <v>2004</v>
      </c>
      <c r="B75" s="705" t="s">
        <v>2005</v>
      </c>
      <c r="C75" s="721" t="s">
        <v>975</v>
      </c>
      <c r="D75" s="722" t="s">
        <v>1086</v>
      </c>
      <c r="E75" s="704"/>
      <c r="F75" s="1786">
        <f>'Expenditures 15-22'!G342</f>
        <v>0</v>
      </c>
      <c r="G75" s="701"/>
    </row>
    <row r="76" spans="1:9" ht="10.5" customHeight="1" x14ac:dyDescent="0.2">
      <c r="A76" s="701" t="s">
        <v>433</v>
      </c>
      <c r="B76" s="705" t="s">
        <v>2006</v>
      </c>
      <c r="C76" s="711" t="s">
        <v>975</v>
      </c>
      <c r="D76" s="701" t="s">
        <v>288</v>
      </c>
      <c r="E76" s="704"/>
      <c r="F76" s="1786">
        <f>'Expenditures 15-22'!I342</f>
        <v>0</v>
      </c>
      <c r="G76" s="703"/>
    </row>
    <row r="77" spans="1:9" ht="12" thickBot="1" x14ac:dyDescent="0.25">
      <c r="A77" s="1443"/>
      <c r="B77" s="1448"/>
      <c r="C77" s="1445"/>
      <c r="D77" s="1449" t="s">
        <v>2007</v>
      </c>
      <c r="E77" s="1447" t="s">
        <v>952</v>
      </c>
      <c r="F77" s="1787">
        <f>SUM(F18:F76)</f>
        <v>1373414</v>
      </c>
      <c r="G77" s="701"/>
    </row>
    <row r="78" spans="1:9" s="728" customFormat="1" ht="12" customHeight="1" thickTop="1" thickBot="1" x14ac:dyDescent="0.25">
      <c r="A78" s="1450"/>
      <c r="B78" s="1448"/>
      <c r="C78" s="1445"/>
      <c r="D78" s="1449" t="s">
        <v>2008</v>
      </c>
      <c r="E78" s="1447"/>
      <c r="F78" s="1788">
        <f>(F14-F77)</f>
        <v>7690125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719.5</v>
      </c>
      <c r="G79" s="733"/>
      <c r="H79" s="705"/>
      <c r="I79" s="705"/>
    </row>
    <row r="80" spans="1:9" s="728" customFormat="1" ht="12" customHeight="1" thickBot="1" x14ac:dyDescent="0.25">
      <c r="A80" s="1452"/>
      <c r="B80" s="1448"/>
      <c r="C80" s="1445"/>
      <c r="D80" s="1449" t="s">
        <v>2009</v>
      </c>
      <c r="E80" s="1447" t="s">
        <v>952</v>
      </c>
      <c r="F80" s="1790">
        <f>IF(F79&gt;0,F78/F79," Complete Line 79")</f>
        <v>10688.151494093121</v>
      </c>
      <c r="G80" s="705"/>
    </row>
    <row r="81" spans="1:7" s="728" customFormat="1" ht="8.25" customHeight="1" thickTop="1" x14ac:dyDescent="0.2">
      <c r="A81" s="734"/>
      <c r="B81" s="705"/>
      <c r="C81" s="707"/>
      <c r="D81" s="735"/>
      <c r="E81" s="704"/>
      <c r="F81" s="1791"/>
      <c r="G81" s="705"/>
    </row>
    <row r="82" spans="1:7" s="728" customFormat="1" ht="12" thickBot="1" x14ac:dyDescent="0.25">
      <c r="A82" s="2466" t="s">
        <v>1096</v>
      </c>
      <c r="B82" s="2467"/>
      <c r="C82" s="2467"/>
      <c r="D82" s="2467"/>
      <c r="E82" s="2467"/>
      <c r="F82" s="24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92529</v>
      </c>
      <c r="G95" s="745"/>
    </row>
    <row r="96" spans="1:7" x14ac:dyDescent="0.2">
      <c r="A96" s="741" t="s">
        <v>139</v>
      </c>
      <c r="B96" s="741" t="s">
        <v>174</v>
      </c>
      <c r="C96" s="743">
        <v>1700</v>
      </c>
      <c r="D96" s="751" t="str">
        <f>'Revenues 9-14'!A82</f>
        <v>Total District/School Activity Income</v>
      </c>
      <c r="E96" s="739"/>
      <c r="F96" s="1793">
        <f>SUM('Revenues 9-14'!C82,'Revenues 9-14'!D82)</f>
        <v>119495</v>
      </c>
      <c r="G96" s="745"/>
    </row>
    <row r="97" spans="1:7" x14ac:dyDescent="0.2">
      <c r="A97" s="741" t="s">
        <v>456</v>
      </c>
      <c r="B97" s="741" t="s">
        <v>175</v>
      </c>
      <c r="C97" s="743">
        <f>'Revenues 9-14'!B84</f>
        <v>1811</v>
      </c>
      <c r="D97" s="744" t="str">
        <f>'Revenues 9-14'!A84</f>
        <v>Rentals - Regular Textbooks</v>
      </c>
      <c r="E97" s="739"/>
      <c r="F97" s="1793">
        <f>'Revenues 9-14'!C84</f>
        <v>37695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145961</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90737</v>
      </c>
      <c r="G105" s="745"/>
    </row>
    <row r="106" spans="1:7" x14ac:dyDescent="0.2">
      <c r="A106" s="741" t="s">
        <v>500</v>
      </c>
      <c r="B106" s="741" t="s">
        <v>1906</v>
      </c>
      <c r="C106" s="746">
        <v>3100</v>
      </c>
      <c r="D106" s="752" t="str">
        <f>'Revenues 9-14'!A132</f>
        <v>Total Special Education</v>
      </c>
      <c r="E106" s="739"/>
      <c r="F106" s="1793">
        <f>SUM('Revenues 9-14'!C132:D132,'Revenues 9-14'!F132)</f>
        <v>62571</v>
      </c>
      <c r="G106" s="745"/>
    </row>
    <row r="107" spans="1:7" x14ac:dyDescent="0.2">
      <c r="A107" s="741" t="s">
        <v>668</v>
      </c>
      <c r="B107" s="741" t="s">
        <v>1907</v>
      </c>
      <c r="C107" s="753">
        <v>3200</v>
      </c>
      <c r="D107" s="744" t="str">
        <f>'Revenues 9-14'!A141</f>
        <v>Total Career and Technical Education</v>
      </c>
      <c r="E107" s="739"/>
      <c r="F107" s="1793">
        <f>SUM('Revenues 9-14'!C141,'Revenues 9-14'!D141,'Revenues 9-14'!G141)</f>
        <v>11747</v>
      </c>
      <c r="G107" s="745"/>
    </row>
    <row r="108" spans="1:7" x14ac:dyDescent="0.2">
      <c r="A108" s="754" t="s">
        <v>659</v>
      </c>
      <c r="B108" s="741" t="s">
        <v>1908</v>
      </c>
      <c r="C108" s="753">
        <v>3300</v>
      </c>
      <c r="D108" s="744" t="str">
        <f>'Revenues 9-14'!A145</f>
        <v>Total Bilingual Ed</v>
      </c>
      <c r="E108" s="739"/>
      <c r="F108" s="1793">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93">
        <f>'Revenues 9-14'!C146</f>
        <v>863</v>
      </c>
      <c r="G109" s="745"/>
    </row>
    <row r="110" spans="1:7" x14ac:dyDescent="0.2">
      <c r="A110" s="741" t="s">
        <v>668</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8245</v>
      </c>
      <c r="G111" s="745"/>
    </row>
    <row r="112" spans="1:7" x14ac:dyDescent="0.2">
      <c r="A112" s="741" t="s">
        <v>663</v>
      </c>
      <c r="B112" s="741" t="s">
        <v>1912</v>
      </c>
      <c r="C112" s="755">
        <v>3500</v>
      </c>
      <c r="D112" s="744" t="str">
        <f>'Revenues 9-14'!A155</f>
        <v>Total Transportation</v>
      </c>
      <c r="E112" s="739"/>
      <c r="F112" s="1793">
        <f>SUM('Revenues 9-14'!C155,'Revenues 9-14'!D155,'Revenues 9-14'!F155,'Revenues 9-14'!G155)</f>
        <v>208555</v>
      </c>
      <c r="G112" s="745"/>
    </row>
    <row r="113" spans="1:7" x14ac:dyDescent="0.2">
      <c r="A113" s="741" t="s">
        <v>456</v>
      </c>
      <c r="B113" s="741" t="s">
        <v>1913</v>
      </c>
      <c r="C113" s="753">
        <f>'Revenues 9-14'!B156</f>
        <v>3610</v>
      </c>
      <c r="D113" s="744" t="str">
        <f>'Revenues 9-14'!A156</f>
        <v>Learning Improvement - Change Grants</v>
      </c>
      <c r="E113" s="739"/>
      <c r="F113" s="1793">
        <f>'Revenues 9-14'!C156</f>
        <v>0</v>
      </c>
      <c r="G113" s="745"/>
    </row>
    <row r="114" spans="1:7" x14ac:dyDescent="0.2">
      <c r="A114" s="741" t="s">
        <v>663</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92">
        <f>SUM('Revenues 9-14'!C163:G163)</f>
        <v>750</v>
      </c>
      <c r="G119" s="745"/>
    </row>
    <row r="120" spans="1:7" x14ac:dyDescent="0.2">
      <c r="A120" s="756" t="s">
        <v>501</v>
      </c>
      <c r="B120" s="756" t="s">
        <v>1920</v>
      </c>
      <c r="C120" s="757">
        <f>'Revenues 9-14'!B164</f>
        <v>3815</v>
      </c>
      <c r="D120" s="758" t="str">
        <f>'Revenues 9-14'!A164</f>
        <v>State Charter Schools</v>
      </c>
      <c r="E120" s="739"/>
      <c r="F120" s="1792">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93">
        <f>'Revenues 9-14'!D167</f>
        <v>0</v>
      </c>
      <c r="G121" s="763"/>
    </row>
    <row r="122" spans="1:7" x14ac:dyDescent="0.2">
      <c r="A122" s="760" t="s">
        <v>497</v>
      </c>
      <c r="B122" s="760" t="s">
        <v>1922</v>
      </c>
      <c r="C122" s="761">
        <f>'Revenues 9-14'!B168</f>
        <v>3999</v>
      </c>
      <c r="D122" s="762" t="s">
        <v>540</v>
      </c>
      <c r="E122" s="764"/>
      <c r="F122" s="1793">
        <f>SUM('Revenues 9-14'!C168:G168,'Revenues 9-14'!J168)</f>
        <v>46350</v>
      </c>
      <c r="G122" s="763"/>
    </row>
    <row r="123" spans="1:7" x14ac:dyDescent="0.2">
      <c r="A123" s="760" t="s">
        <v>456</v>
      </c>
      <c r="B123" s="760" t="s">
        <v>1923</v>
      </c>
      <c r="C123" s="765">
        <f>'Revenues 9-14'!B177</f>
        <v>4045</v>
      </c>
      <c r="D123" s="762" t="str">
        <f>'Revenues 9-14'!A177 &amp; " (Subtract)"</f>
        <v>Head Start (Subtract)</v>
      </c>
      <c r="E123" s="739"/>
      <c r="F123" s="1793">
        <f>SUM(-'Revenues 9-14'!C177)</f>
        <v>-346797</v>
      </c>
      <c r="G123" s="763"/>
    </row>
    <row r="124" spans="1:7" x14ac:dyDescent="0.2">
      <c r="A124" s="760" t="s">
        <v>663</v>
      </c>
      <c r="B124" s="760" t="s">
        <v>1924</v>
      </c>
      <c r="C124" s="765" t="s">
        <v>975</v>
      </c>
      <c r="D124" s="762" t="str">
        <f>('Revenues 9-14'!A181)</f>
        <v>Total Restricted Grants-In-Aid Received Directly from Federal Govt</v>
      </c>
      <c r="E124" s="739"/>
      <c r="F124" s="1793">
        <f>SUM('Revenues 9-14'!C181,'Revenues 9-14'!D181,'Revenues 9-14'!F181,'Revenues 9-14'!G181)</f>
        <v>379243</v>
      </c>
      <c r="G124" s="763"/>
    </row>
    <row r="125" spans="1:7" x14ac:dyDescent="0.2">
      <c r="A125" s="760" t="s">
        <v>663</v>
      </c>
      <c r="B125" s="760" t="s">
        <v>1925</v>
      </c>
      <c r="C125" s="765">
        <v>4100</v>
      </c>
      <c r="D125" s="766" t="str">
        <f>'Revenues 9-14'!A188</f>
        <v>Total Title V</v>
      </c>
      <c r="E125" s="739"/>
      <c r="F125" s="1793">
        <f>SUM('Revenues 9-14'!C188,'Revenues 9-14'!D188,'Revenues 9-14'!F188,'Revenues 9-14'!G188)</f>
        <v>0</v>
      </c>
      <c r="G125" s="763"/>
    </row>
    <row r="126" spans="1:7" x14ac:dyDescent="0.2">
      <c r="A126" s="760" t="s">
        <v>659</v>
      </c>
      <c r="B126" s="760" t="s">
        <v>1926</v>
      </c>
      <c r="C126" s="765">
        <v>4200</v>
      </c>
      <c r="D126" s="762" t="str">
        <f>'Revenues 9-14'!A198</f>
        <v>Total Food Service</v>
      </c>
      <c r="E126" s="739"/>
      <c r="F126" s="1793">
        <f>SUM('Revenues 9-14'!C198,'Revenues 9-14'!G198)</f>
        <v>133703</v>
      </c>
      <c r="G126" s="763"/>
    </row>
    <row r="127" spans="1:7" x14ac:dyDescent="0.2">
      <c r="A127" s="760" t="s">
        <v>663</v>
      </c>
      <c r="B127" s="760" t="s">
        <v>1927</v>
      </c>
      <c r="C127" s="765">
        <v>4300</v>
      </c>
      <c r="D127" s="766" t="str">
        <f>'Revenues 9-14'!A204</f>
        <v>Total Title I</v>
      </c>
      <c r="E127" s="739"/>
      <c r="F127" s="1793">
        <f>SUM('Revenues 9-14'!C204,'Revenues 9-14'!D204,'Revenues 9-14'!F204,'Revenues 9-14'!G204)</f>
        <v>189940</v>
      </c>
      <c r="G127" s="763"/>
    </row>
    <row r="128" spans="1:7" x14ac:dyDescent="0.2">
      <c r="A128" s="760" t="s">
        <v>663</v>
      </c>
      <c r="B128" s="760" t="s">
        <v>1928</v>
      </c>
      <c r="C128" s="765">
        <v>4400</v>
      </c>
      <c r="D128" s="766" t="str">
        <f>'Revenues 9-14'!A209</f>
        <v>Total Title IV</v>
      </c>
      <c r="E128" s="739"/>
      <c r="F128" s="1793">
        <f>SUM('Revenues 9-14'!C209,'Revenues 9-14'!D209,'Revenues 9-14'!F209,'Revenues 9-14'!G209)</f>
        <v>0</v>
      </c>
      <c r="G128" s="763"/>
    </row>
    <row r="129" spans="1:7" x14ac:dyDescent="0.2">
      <c r="A129" s="760" t="s">
        <v>663</v>
      </c>
      <c r="B129" s="760" t="s">
        <v>1929</v>
      </c>
      <c r="C129" s="765">
        <f>'Revenues 9-14'!B213</f>
        <v>4620</v>
      </c>
      <c r="D129" s="766" t="str">
        <f>'Revenues 9-14'!A213</f>
        <v>Fed - Spec Education - IDEA - Flow Through</v>
      </c>
      <c r="E129" s="739"/>
      <c r="F129" s="1793">
        <f>SUM('Revenues 9-14'!C213:D213,'Revenues 9-14'!F213:G213)</f>
        <v>129279</v>
      </c>
      <c r="G129" s="763"/>
    </row>
    <row r="130" spans="1:7" x14ac:dyDescent="0.2">
      <c r="A130" s="760" t="s">
        <v>663</v>
      </c>
      <c r="B130" s="760" t="s">
        <v>1930</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1932</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1947</v>
      </c>
      <c r="C158" s="773" t="s">
        <v>836</v>
      </c>
      <c r="D158" s="774" t="s">
        <v>772</v>
      </c>
      <c r="E158" s="775"/>
      <c r="F158" s="1793">
        <f>SUM(F134:F157)</f>
        <v>0</v>
      </c>
      <c r="G158" s="738"/>
    </row>
    <row r="159" spans="1:7" s="703" customFormat="1" x14ac:dyDescent="0.2">
      <c r="A159" s="771" t="s">
        <v>456</v>
      </c>
      <c r="B159" s="772" t="s">
        <v>1948</v>
      </c>
      <c r="C159" s="773" t="s">
        <v>1410</v>
      </c>
      <c r="D159" s="774" t="s">
        <v>1411</v>
      </c>
      <c r="E159" s="775"/>
      <c r="F159" s="1793">
        <f>SUM('Revenues 9-14'!C253)</f>
        <v>0</v>
      </c>
      <c r="G159" s="738"/>
    </row>
    <row r="160" spans="1:7" s="703" customFormat="1" x14ac:dyDescent="0.2">
      <c r="A160" s="771" t="s">
        <v>497</v>
      </c>
      <c r="B160" s="772" t="s">
        <v>1949</v>
      </c>
      <c r="C160" s="773" t="s">
        <v>1449</v>
      </c>
      <c r="D160" s="774" t="s">
        <v>1450</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92">
        <f>SUM('Revenues 9-14'!C259,'Revenues 9-14'!D259,'Revenues 9-14'!F259,'Revenues 9-14'!G259)</f>
        <v>15841</v>
      </c>
      <c r="G165" s="763"/>
    </row>
    <row r="166" spans="1:7" x14ac:dyDescent="0.2">
      <c r="A166" s="760" t="s">
        <v>663</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93">
        <f>SUM('Revenues 9-14'!C263:D263,'Revenues 9-14'!F263:G263)</f>
        <v>7563</v>
      </c>
      <c r="G169" s="780">
        <v>6320</v>
      </c>
    </row>
    <row r="170" spans="1:7" x14ac:dyDescent="0.2">
      <c r="A170" s="760" t="s">
        <v>663</v>
      </c>
      <c r="B170" s="760" t="s">
        <v>1957</v>
      </c>
      <c r="C170" s="765">
        <f>'Revenues 9-14'!B264</f>
        <v>4992</v>
      </c>
      <c r="D170" s="766" t="str">
        <f>'Revenues 9-14'!A264</f>
        <v>Medicaid Matching Funds - Fee-for-Service Program</v>
      </c>
      <c r="E170" s="739"/>
      <c r="F170" s="1793">
        <f>SUM('Revenues 9-14'!C264:D264,'Revenues 9-14'!F264:G264)</f>
        <v>25606</v>
      </c>
      <c r="G170" s="780"/>
    </row>
    <row r="171" spans="1:7" x14ac:dyDescent="0.2">
      <c r="A171" s="781" t="s">
        <v>663</v>
      </c>
      <c r="B171" s="777" t="s">
        <v>1958</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1881</v>
      </c>
      <c r="C172" s="1531">
        <v>3100</v>
      </c>
      <c r="D172" s="1532" t="s">
        <v>1883</v>
      </c>
      <c r="E172" s="739"/>
      <c r="F172" s="1794">
        <v>141592.29999999999</v>
      </c>
      <c r="G172" s="760"/>
    </row>
    <row r="173" spans="1:7" x14ac:dyDescent="0.2">
      <c r="A173" s="1529" t="s">
        <v>659</v>
      </c>
      <c r="B173" s="1530" t="s">
        <v>1881</v>
      </c>
      <c r="C173" s="1531">
        <v>3300</v>
      </c>
      <c r="D173" s="1532" t="s">
        <v>1884</v>
      </c>
      <c r="E173" s="739"/>
      <c r="F173" s="1794">
        <v>3315.57</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952</v>
      </c>
      <c r="F175" s="1796">
        <f>SUM(F85:F133,F158:F173)</f>
        <v>1504783.87</v>
      </c>
    </row>
    <row r="176" spans="1:7" ht="12" customHeight="1" x14ac:dyDescent="0.2">
      <c r="A176" s="1443"/>
      <c r="B176" s="1453"/>
      <c r="C176" s="1454"/>
      <c r="D176" s="1455" t="s">
        <v>2010</v>
      </c>
      <c r="E176" s="1456"/>
      <c r="F176" s="1793">
        <f>'PCTC-OEPP 27-28'!F78-F175</f>
        <v>6185341.1299999999</v>
      </c>
    </row>
    <row r="177" spans="1:9" ht="12" customHeight="1" x14ac:dyDescent="0.2">
      <c r="A177" s="1443"/>
      <c r="B177" s="1453"/>
      <c r="C177" s="1454"/>
      <c r="D177" s="1455" t="s">
        <v>1790</v>
      </c>
      <c r="E177" s="1456"/>
      <c r="F177" s="1793">
        <f>'Cap Outlay Deprec 26'!I18</f>
        <v>448583</v>
      </c>
    </row>
    <row r="178" spans="1:9" ht="12" customHeight="1" x14ac:dyDescent="0.2">
      <c r="A178" s="1443"/>
      <c r="B178" s="1453"/>
      <c r="C178" s="1454"/>
      <c r="D178" s="1455" t="s">
        <v>2011</v>
      </c>
      <c r="E178" s="1456"/>
      <c r="F178" s="1793">
        <f>F176+F177</f>
        <v>6633924.1299999999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719.5</v>
      </c>
      <c r="G179" s="763"/>
      <c r="I179" s="701"/>
    </row>
    <row r="180" spans="1:9" ht="12" customHeight="1" thickBot="1" x14ac:dyDescent="0.25">
      <c r="A180" s="1443"/>
      <c r="B180" s="1457"/>
      <c r="C180" s="1454"/>
      <c r="D180" s="1455" t="s">
        <v>2013</v>
      </c>
      <c r="E180" s="1456" t="s">
        <v>1528</v>
      </c>
      <c r="F180" s="1798">
        <f>F178/F179</f>
        <v>9220.1864211257816</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1803</v>
      </c>
      <c r="B1" s="1860"/>
      <c r="C1" s="1861"/>
      <c r="D1" s="1861"/>
      <c r="E1" s="1861"/>
      <c r="F1" s="1861"/>
    </row>
    <row r="2" spans="1:6" x14ac:dyDescent="0.25">
      <c r="A2" s="1863"/>
      <c r="B2" s="1864"/>
      <c r="C2" s="1913" t="s">
        <v>1999</v>
      </c>
      <c r="D2" s="1863"/>
      <c r="E2" s="1863"/>
      <c r="F2" s="1863"/>
    </row>
    <row r="3" spans="1:6" ht="5.25" customHeight="1" x14ac:dyDescent="0.25">
      <c r="A3" s="1865"/>
      <c r="B3" s="1866"/>
      <c r="C3" s="1865"/>
      <c r="D3" s="1865"/>
      <c r="E3" s="1865"/>
      <c r="F3" s="1865"/>
    </row>
    <row r="4" spans="1:6" ht="18.75" customHeight="1" x14ac:dyDescent="0.25">
      <c r="A4" s="2480" t="s">
        <v>1791</v>
      </c>
      <c r="B4" s="2481"/>
      <c r="C4" s="2481"/>
      <c r="D4" s="2481"/>
      <c r="E4" s="2481"/>
      <c r="F4" s="2482"/>
    </row>
    <row r="5" spans="1:6" x14ac:dyDescent="0.25">
      <c r="A5" s="2483"/>
      <c r="B5" s="2484"/>
      <c r="C5" s="2484"/>
      <c r="D5" s="2484"/>
      <c r="E5" s="2484"/>
      <c r="F5" s="2485"/>
    </row>
    <row r="6" spans="1:6" ht="18.75" x14ac:dyDescent="0.25">
      <c r="A6" s="1867" t="s">
        <v>1792</v>
      </c>
      <c r="B6" s="1868"/>
      <c r="C6" s="1869"/>
      <c r="D6" s="1869"/>
      <c r="E6" s="1869"/>
      <c r="F6" s="1870"/>
    </row>
    <row r="7" spans="1:6" ht="47.25" customHeight="1" x14ac:dyDescent="0.25">
      <c r="A7" s="2486" t="s">
        <v>1981</v>
      </c>
      <c r="B7" s="2487"/>
      <c r="C7" s="2487"/>
      <c r="D7" s="2487"/>
      <c r="E7" s="2487"/>
      <c r="F7" s="2488"/>
    </row>
    <row r="8" spans="1:6" ht="20.25" customHeight="1" x14ac:dyDescent="0.25">
      <c r="A8" s="1902" t="s">
        <v>1983</v>
      </c>
      <c r="B8" s="1903"/>
      <c r="C8" s="1903"/>
      <c r="D8" s="1903"/>
      <c r="E8" s="1871"/>
      <c r="F8" s="1872"/>
    </row>
    <row r="9" spans="1:6" ht="18" customHeight="1" x14ac:dyDescent="0.25">
      <c r="A9" s="1873" t="s">
        <v>1980</v>
      </c>
      <c r="B9" s="1875"/>
      <c r="C9" s="1875"/>
      <c r="D9" s="1875"/>
      <c r="E9" s="1871"/>
      <c r="F9" s="1872"/>
    </row>
    <row r="10" spans="1:6" ht="15.75" customHeight="1" x14ac:dyDescent="0.25">
      <c r="A10" s="2489" t="s">
        <v>1977</v>
      </c>
      <c r="B10" s="2490"/>
      <c r="C10" s="2490"/>
      <c r="D10" s="2490"/>
      <c r="E10" s="2490"/>
      <c r="F10" s="2491"/>
    </row>
    <row r="11" spans="1:6" ht="33" customHeight="1" x14ac:dyDescent="0.25">
      <c r="A11" s="2486" t="s">
        <v>1982</v>
      </c>
      <c r="B11" s="2487"/>
      <c r="C11" s="2487"/>
      <c r="D11" s="2487"/>
      <c r="E11" s="2487"/>
      <c r="F11" s="2488"/>
    </row>
    <row r="12" spans="1:6" ht="15" customHeight="1" x14ac:dyDescent="0.25">
      <c r="A12" s="1873" t="s">
        <v>1978</v>
      </c>
      <c r="B12" s="1874"/>
      <c r="C12" s="1875"/>
      <c r="D12" s="1875"/>
      <c r="E12" s="1875"/>
      <c r="F12" s="1876"/>
    </row>
    <row r="13" spans="1:6" ht="17.25" customHeight="1" x14ac:dyDescent="0.25">
      <c r="A13" s="2486" t="s">
        <v>1979</v>
      </c>
      <c r="B13" s="2487"/>
      <c r="C13" s="2487"/>
      <c r="D13" s="2487"/>
      <c r="E13" s="2487"/>
      <c r="F13" s="2488"/>
    </row>
    <row r="14" spans="1:6" ht="15" customHeight="1" x14ac:dyDescent="0.25">
      <c r="A14" s="1873" t="s">
        <v>1796</v>
      </c>
      <c r="B14" s="1874"/>
      <c r="C14" s="1875"/>
      <c r="D14" s="1875"/>
      <c r="E14" s="1875"/>
      <c r="F14" s="1876"/>
    </row>
    <row r="15" spans="1:6" ht="32.25" customHeight="1" x14ac:dyDescent="0.25">
      <c r="A15" s="24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78"/>
      <c r="C15" s="2478"/>
      <c r="D15" s="2478"/>
      <c r="E15" s="2478"/>
      <c r="F15" s="2479"/>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7" t="s">
        <v>1795</v>
      </c>
      <c r="C17" s="1881" t="s">
        <v>1793</v>
      </c>
      <c r="D17" s="1882">
        <v>500000</v>
      </c>
      <c r="E17" s="1882" t="str">
        <f>IF(D17&lt;25000,D17,"25,000")</f>
        <v>25,000</v>
      </c>
      <c r="F17" s="1883">
        <f>IF(D17&gt;=25000,(D17-E17),"0")</f>
        <v>475000</v>
      </c>
    </row>
    <row r="18" spans="1:7" x14ac:dyDescent="0.25">
      <c r="A18" s="2060" t="s">
        <v>2119</v>
      </c>
      <c r="B18" s="1908">
        <v>802300300</v>
      </c>
      <c r="C18" s="2061" t="s">
        <v>2120</v>
      </c>
      <c r="D18" s="1886">
        <v>42421</v>
      </c>
      <c r="E18" s="1906" t="str">
        <f t="shared" ref="E18:E81" si="0">IF(D18&lt;25000,D18,"25,000")</f>
        <v>25,000</v>
      </c>
      <c r="F18" s="1906">
        <f t="shared" ref="F18:F81" si="1">IF(D18&gt;=25000,(D18-E18),"0")</f>
        <v>17421</v>
      </c>
      <c r="G18" s="1887"/>
    </row>
    <row r="19" spans="1:7" x14ac:dyDescent="0.25">
      <c r="A19" s="2060" t="s">
        <v>2121</v>
      </c>
      <c r="B19" s="1908">
        <v>402550300</v>
      </c>
      <c r="C19" s="2061" t="s">
        <v>2122</v>
      </c>
      <c r="D19" s="1886">
        <v>43800</v>
      </c>
      <c r="E19" s="1906" t="str">
        <f t="shared" si="0"/>
        <v>25,000</v>
      </c>
      <c r="F19" s="1906">
        <f t="shared" si="1"/>
        <v>18800</v>
      </c>
    </row>
    <row r="20" spans="1:7" x14ac:dyDescent="0.25">
      <c r="A20" s="2060" t="s">
        <v>2121</v>
      </c>
      <c r="B20" s="1908">
        <v>402550300</v>
      </c>
      <c r="C20" s="2061" t="s">
        <v>2123</v>
      </c>
      <c r="D20" s="1886">
        <v>63417</v>
      </c>
      <c r="E20" s="1906" t="str">
        <f t="shared" si="0"/>
        <v>25,000</v>
      </c>
      <c r="F20" s="1906">
        <f t="shared" si="1"/>
        <v>38417</v>
      </c>
    </row>
    <row r="21" spans="1:7" x14ac:dyDescent="0.25">
      <c r="A21" s="2060" t="s">
        <v>2124</v>
      </c>
      <c r="B21" s="1908">
        <v>802300300</v>
      </c>
      <c r="C21" s="2061" t="s">
        <v>2125</v>
      </c>
      <c r="D21" s="1886">
        <v>100317</v>
      </c>
      <c r="E21" s="1906" t="str">
        <f t="shared" si="0"/>
        <v>25,000</v>
      </c>
      <c r="F21" s="1906">
        <f t="shared" si="1"/>
        <v>75317</v>
      </c>
    </row>
    <row r="22" spans="1:7"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249955</v>
      </c>
      <c r="E142" s="1893">
        <f>SUM(E18:E141)</f>
        <v>0</v>
      </c>
      <c r="F142" s="1894">
        <f>SUM(F18:F141)</f>
        <v>149955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92" t="s">
        <v>1659</v>
      </c>
      <c r="B5" s="2493"/>
      <c r="C5" s="2493"/>
      <c r="D5" s="2493"/>
      <c r="E5" s="2493"/>
      <c r="F5" s="2493"/>
      <c r="G5" s="24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v>123058</v>
      </c>
      <c r="F10" s="805"/>
      <c r="G10" s="806"/>
      <c r="H10" s="157"/>
      <c r="I10" s="157"/>
    </row>
    <row r="11" spans="1:13" s="542" customFormat="1" ht="22.5" customHeight="1" x14ac:dyDescent="0.2">
      <c r="A11" s="24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98"/>
      <c r="C11" s="2498"/>
      <c r="D11" s="2499"/>
      <c r="E11" s="1801">
        <v>18789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4433395</v>
      </c>
      <c r="F19" s="1802"/>
      <c r="G19" s="1804">
        <f>'Expenditures 15-22'!K33-SUM('Expenditures 15-22'!G33,'Expenditures 15-22'!I33)+'Expenditures 15-22'!D229</f>
        <v>4433395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144476</v>
      </c>
      <c r="F21" s="1805"/>
      <c r="G21" s="1808">
        <f>'Expenditures 15-22'!K42-SUM('Expenditures 15-22'!G42,'Expenditures 15-22'!I42)+'Expenditures 15-22'!K120-SUM('Expenditures 15-22'!G120,'Expenditures 15-22'!I120)+'Expenditures 15-22'!K180-SUM('Expenditures 15-22'!G180,'Expenditures 15-22'!I180)+'Expenditures 15-22'!D238</f>
        <v>144476</v>
      </c>
      <c r="H21" s="817"/>
      <c r="I21" s="157"/>
    </row>
    <row r="22" spans="1:9" s="542" customFormat="1" ht="12" customHeight="1" x14ac:dyDescent="0.2">
      <c r="A22" s="824" t="s">
        <v>560</v>
      </c>
      <c r="B22" s="825"/>
      <c r="C22" s="823">
        <v>2200</v>
      </c>
      <c r="D22" s="1805"/>
      <c r="E22" s="1807">
        <f>'Expenditures 15-22'!K47-SUM('Expenditures 15-22'!G47,'Expenditures 15-22'!I47)+'Expenditures 15-22'!D243</f>
        <v>416198</v>
      </c>
      <c r="F22" s="1805"/>
      <c r="G22" s="1808">
        <f>'Expenditures 15-22'!K47-SUM('Expenditures 15-22'!G47,'Expenditures 15-22'!I47)+'Expenditures 15-22'!D243</f>
        <v>416198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541526</v>
      </c>
      <c r="F23" s="1805"/>
      <c r="G23" s="1807">
        <f>'Expenditures 15-22'!K53-SUM('Expenditures 15-22'!G53,'Expenditures 15-22'!I53)+'Expenditures 15-22'!D257+'Expenditures 15-22'!K330-SUM('Expenditures 15-22'!G330,'Expenditures 15-22'!I330)</f>
        <v>541526</v>
      </c>
      <c r="H23" s="817"/>
      <c r="I23" s="157"/>
    </row>
    <row r="24" spans="1:9" s="542" customFormat="1" ht="12" customHeight="1" x14ac:dyDescent="0.2">
      <c r="A24" s="824" t="s">
        <v>562</v>
      </c>
      <c r="B24" s="825"/>
      <c r="C24" s="823">
        <v>2400</v>
      </c>
      <c r="D24" s="1805"/>
      <c r="E24" s="1807">
        <f>'Expenditures 15-22'!K57-SUM('Expenditures 15-22'!G57,'Expenditures 15-22'!I57)+'Expenditures 15-22'!D261</f>
        <v>395075</v>
      </c>
      <c r="F24" s="1805"/>
      <c r="G24" s="1808">
        <f>'Expenditures 15-22'!K57-SUM('Expenditures 15-22'!G57,'Expenditures 15-22'!I57)+'Expenditures 15-22'!D261</f>
        <v>395075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45695</v>
      </c>
      <c r="E27" s="1807">
        <f>E8</f>
        <v>0</v>
      </c>
      <c r="F27" s="1807">
        <f>'Expenditures 15-22'!K60-SUM('Expenditures 15-22'!G60,'Expenditures 15-22'!I60)+'Expenditures 15-22'!D264-E8</f>
        <v>45695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663996</v>
      </c>
      <c r="F28" s="1809">
        <f>'Expenditures 15-22'!K61-SUM('Expenditures 15-22'!G61,'Expenditures 15-22'!I61)+'Expenditures 15-22'!K124-SUM('Expenditures 15-22'!G124,'Expenditures 15-22'!I124)+'Expenditures 15-22'!D266-E9</f>
        <v>663996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424754</v>
      </c>
      <c r="F29" s="1805"/>
      <c r="G29" s="1808">
        <f>'Expenditures 15-22'!K62-SUM('Expenditures 15-22'!G62,'Expenditures 15-22'!I62)+'Expenditures 15-22'!K125-SUM('Expenditures 15-22'!G125,'Expenditures 15-22'!I125)+'Expenditures 15-22'!K182-SUM('Expenditures 15-22'!G182,'Expenditures 15-22'!I182)+'Expenditures 15-22'!D267</f>
        <v>424754</v>
      </c>
      <c r="H29" s="815"/>
    </row>
    <row r="30" spans="1:9" ht="12" customHeight="1" x14ac:dyDescent="0.2">
      <c r="A30" s="824" t="s">
        <v>100</v>
      </c>
      <c r="B30" s="827"/>
      <c r="C30" s="823">
        <v>2560</v>
      </c>
      <c r="D30" s="1805"/>
      <c r="E30" s="1807">
        <f>'Expenditures 15-22'!K63-SUM('Expenditures 15-22'!G63,'Expenditures 15-22'!I63)+'Expenditures 15-22'!D268-E10</f>
        <v>199218</v>
      </c>
      <c r="F30" s="1805"/>
      <c r="G30" s="1807">
        <f>'Expenditures 15-22'!K63-SUM('Expenditures 15-22'!G63,'Expenditures 15-22'!I63)+'Expenditures 15-22'!D268-E10</f>
        <v>199218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196647</v>
      </c>
      <c r="F38" s="1805"/>
      <c r="G38" s="1807">
        <f>'Expenditures 15-22'!K73-SUM('Expenditures 15-22'!G73,'Expenditures 15-22'!I73)+'Expenditures 15-22'!K128-SUM('Expenditures 15-22'!G128,'Expenditures 15-22'!I128)+'Expenditures 15-22'!K183-SUM('Expenditures 15-22'!G183,'Expenditures 15-22'!I183)+'Expenditures 15-22'!D278</f>
        <v>196647</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3946</v>
      </c>
      <c r="F39" s="1805"/>
      <c r="G39" s="1807">
        <f>'Expenditures 15-22'!K75-SUM('Expenditures 15-22'!G75,'Expenditures 15-22'!I75)+'Expenditures 15-22'!K130-SUM('Expenditures 15-22'!G130,'Expenditures 15-22'!I130)+'Expenditures 15-22'!K185-SUM('Expenditures 15-22'!G185,'Expenditures 15-22'!I185)+'Expenditures 15-22'!D280</f>
        <v>3946</v>
      </c>
    </row>
    <row r="40" spans="1:7" ht="12" customHeight="1" x14ac:dyDescent="0.2">
      <c r="A40" s="820" t="s">
        <v>1794</v>
      </c>
      <c r="B40" s="821"/>
      <c r="C40" s="823"/>
      <c r="D40" s="1805"/>
      <c r="E40" s="1809">
        <f>-'Contracts Paid in CY 29'!F142</f>
        <v>-149955</v>
      </c>
      <c r="F40" s="1805"/>
      <c r="G40" s="1809">
        <f>-'Contracts Paid in CY 29'!F142</f>
        <v>-149955</v>
      </c>
    </row>
    <row r="41" spans="1:7" ht="12" customHeight="1" x14ac:dyDescent="0.2">
      <c r="A41" s="828" t="s">
        <v>155</v>
      </c>
      <c r="B41" s="829"/>
      <c r="C41" s="830"/>
      <c r="D41" s="1809">
        <f>SUM(D19:D39)</f>
        <v>45695</v>
      </c>
      <c r="E41" s="1809">
        <f>SUM(E19:E40)</f>
        <v>7269276</v>
      </c>
      <c r="F41" s="1809">
        <f>SUM(F19:F39)</f>
        <v>709691</v>
      </c>
      <c r="G41" s="1809">
        <f>SUM(G19:G40)</f>
        <v>6605280</v>
      </c>
    </row>
    <row r="42" spans="1:7" x14ac:dyDescent="0.2">
      <c r="A42" s="817"/>
      <c r="B42" s="157"/>
      <c r="C42" s="831"/>
      <c r="D42" s="2495" t="s">
        <v>519</v>
      </c>
      <c r="E42" s="2496"/>
      <c r="F42" s="832" t="s">
        <v>520</v>
      </c>
      <c r="G42" s="833"/>
    </row>
    <row r="43" spans="1:7" ht="12" customHeight="1" x14ac:dyDescent="0.2">
      <c r="A43" s="817"/>
      <c r="B43" s="157"/>
      <c r="C43" s="831"/>
      <c r="D43" s="1458" t="s">
        <v>470</v>
      </c>
      <c r="E43" s="1810">
        <f>D41</f>
        <v>45695</v>
      </c>
      <c r="F43" s="1458" t="s">
        <v>470</v>
      </c>
      <c r="G43" s="1810">
        <f>F41</f>
        <v>709691</v>
      </c>
    </row>
    <row r="44" spans="1:7" ht="12" customHeight="1" x14ac:dyDescent="0.2">
      <c r="A44" s="817"/>
      <c r="B44" s="157"/>
      <c r="C44" s="831"/>
      <c r="D44" s="1458" t="s">
        <v>471</v>
      </c>
      <c r="E44" s="1810">
        <f>E41</f>
        <v>7269276</v>
      </c>
      <c r="F44" s="1458" t="s">
        <v>471</v>
      </c>
      <c r="G44" s="1810">
        <f>G41</f>
        <v>6605280</v>
      </c>
    </row>
    <row r="45" spans="1:7" ht="12" customHeight="1" x14ac:dyDescent="0.2">
      <c r="A45" s="817"/>
      <c r="B45" s="157"/>
      <c r="C45" s="157"/>
      <c r="D45" s="1459" t="s">
        <v>999</v>
      </c>
      <c r="E45" s="1811">
        <f>(E43/E44)</f>
        <v>6.2860455429123892E-3</v>
      </c>
      <c r="F45" s="1459" t="s">
        <v>999</v>
      </c>
      <c r="G45" s="1811">
        <f>(G43/G44)</f>
        <v>0.10744298500593465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2" right="0.2"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514" t="s">
        <v>1363</v>
      </c>
      <c r="B1" s="2514"/>
      <c r="C1" s="2514"/>
      <c r="D1" s="2514"/>
      <c r="E1" s="2514"/>
      <c r="F1" s="2514"/>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515" t="s">
        <v>1529</v>
      </c>
      <c r="B5" s="2516"/>
      <c r="C5" s="2517"/>
      <c r="D5" s="2517"/>
      <c r="E5" s="2517"/>
      <c r="F5" s="2517"/>
      <c r="G5" s="1507"/>
      <c r="L5" s="1507"/>
      <c r="M5" s="1855"/>
      <c r="N5" s="1855"/>
      <c r="O5" s="1855"/>
    </row>
    <row r="6" spans="1:15" ht="12" customHeight="1" x14ac:dyDescent="0.25">
      <c r="A6" s="1480"/>
      <c r="B6" s="1481"/>
      <c r="C6" s="2518" t="str">
        <f>COVER!A17</f>
        <v xml:space="preserve">  Princeville CUSD 326</v>
      </c>
      <c r="D6" s="2518"/>
      <c r="E6" s="2518"/>
      <c r="F6" s="1482"/>
      <c r="G6" s="1507"/>
      <c r="L6" s="1507"/>
      <c r="M6" s="1855"/>
      <c r="N6" s="1855"/>
      <c r="O6" s="1855"/>
    </row>
    <row r="7" spans="1:15" ht="11.25" customHeight="1" thickBot="1" x14ac:dyDescent="0.3">
      <c r="A7" s="1480"/>
      <c r="B7" s="1481"/>
      <c r="C7" s="2519">
        <f>COVER!A13</f>
        <v>48072326026</v>
      </c>
      <c r="D7" s="2519"/>
      <c r="E7" s="2519"/>
      <c r="F7" s="1482"/>
      <c r="G7" s="1507"/>
      <c r="L7" s="1507"/>
      <c r="M7" s="1855"/>
      <c r="N7" s="1855"/>
      <c r="O7" s="1855"/>
    </row>
    <row r="8" spans="1:15" ht="25.5" customHeight="1" thickBot="1" x14ac:dyDescent="0.25">
      <c r="A8" s="1519" t="s">
        <v>1870</v>
      </c>
      <c r="B8" s="1483"/>
      <c r="C8" s="1515" t="s">
        <v>1661</v>
      </c>
      <c r="D8" s="1514" t="s">
        <v>1662</v>
      </c>
      <c r="E8" s="1516" t="s">
        <v>1364</v>
      </c>
      <c r="F8" s="1514" t="s">
        <v>1663</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1660</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2047</v>
      </c>
      <c r="D26" s="1495" t="s">
        <v>2047</v>
      </c>
      <c r="E26" s="1498"/>
      <c r="F26" s="1497" t="s">
        <v>2126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2047</v>
      </c>
      <c r="D28" s="1495" t="s">
        <v>2047</v>
      </c>
      <c r="E28" s="1498"/>
      <c r="F28" s="1497" t="s">
        <v>2127</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520"/>
      <c r="D35" s="2520"/>
      <c r="E35" s="2520"/>
      <c r="F35" s="2521"/>
    </row>
    <row r="36" spans="1:15" ht="12" customHeight="1" x14ac:dyDescent="0.2">
      <c r="A36" s="2503"/>
      <c r="B36" s="2504"/>
      <c r="C36" s="2504"/>
      <c r="D36" s="2504"/>
      <c r="E36" s="2504"/>
      <c r="F36" s="2505"/>
    </row>
    <row r="37" spans="1:15" ht="12" customHeight="1" x14ac:dyDescent="0.2">
      <c r="A37" s="2503"/>
      <c r="B37" s="2504"/>
      <c r="C37" s="2504"/>
      <c r="D37" s="2504"/>
      <c r="E37" s="2504"/>
      <c r="F37" s="2505"/>
    </row>
    <row r="38" spans="1:15" ht="12" customHeight="1" x14ac:dyDescent="0.2">
      <c r="A38" s="2506"/>
      <c r="B38" s="2507"/>
      <c r="C38" s="2507"/>
      <c r="D38" s="2507"/>
      <c r="E38" s="2507"/>
      <c r="F38" s="2508"/>
    </row>
    <row r="39" spans="1:15" ht="4.5" hidden="1" customHeight="1" x14ac:dyDescent="0.2">
      <c r="A39" s="1502"/>
      <c r="B39" s="1502"/>
      <c r="C39" s="1502"/>
      <c r="D39" s="1502"/>
      <c r="E39" s="1502"/>
      <c r="F39" s="1502"/>
    </row>
    <row r="40" spans="1:15" s="1499" customFormat="1" ht="12" customHeight="1" x14ac:dyDescent="0.25">
      <c r="A40" s="1503" t="s">
        <v>1375</v>
      </c>
      <c r="B40" s="1504"/>
      <c r="C40" s="2509"/>
      <c r="D40" s="2509"/>
      <c r="E40" s="2509"/>
      <c r="F40" s="2510"/>
      <c r="H40" s="1508"/>
      <c r="I40" s="1508"/>
      <c r="J40" s="1508"/>
      <c r="K40" s="1508"/>
    </row>
    <row r="41" spans="1:15" s="1499" customFormat="1" ht="12" customHeight="1" x14ac:dyDescent="0.25">
      <c r="A41" s="2511"/>
      <c r="B41" s="2512"/>
      <c r="C41" s="2512"/>
      <c r="D41" s="2512"/>
      <c r="E41" s="2512"/>
      <c r="F41" s="2513"/>
      <c r="H41" s="1508"/>
      <c r="I41" s="1508"/>
      <c r="J41" s="1508"/>
      <c r="K41" s="1508"/>
    </row>
    <row r="42" spans="1:15" s="1499" customFormat="1" ht="12" customHeight="1" x14ac:dyDescent="0.25">
      <c r="A42" s="2511"/>
      <c r="B42" s="2512"/>
      <c r="C42" s="2512"/>
      <c r="D42" s="2512"/>
      <c r="E42" s="2512"/>
      <c r="F42" s="2513"/>
      <c r="H42" s="1508"/>
      <c r="I42" s="1508"/>
      <c r="J42" s="1508"/>
      <c r="K42" s="1508"/>
    </row>
    <row r="43" spans="1:15" s="1499" customFormat="1" ht="15" x14ac:dyDescent="0.25">
      <c r="A43" s="2500"/>
      <c r="B43" s="2501"/>
      <c r="C43" s="2501"/>
      <c r="D43" s="2501"/>
      <c r="E43" s="2501"/>
      <c r="F43" s="2502"/>
      <c r="H43" s="1508"/>
      <c r="I43" s="1508"/>
      <c r="J43" s="1508"/>
      <c r="K43" s="1508"/>
    </row>
    <row r="44" spans="1:15" s="1499" customFormat="1" ht="12" hidden="1" customHeight="1" x14ac:dyDescent="0.25">
      <c r="A44" s="2500"/>
      <c r="B44" s="2501"/>
      <c r="C44" s="2501"/>
      <c r="D44" s="2501"/>
      <c r="E44" s="2501"/>
      <c r="F44" s="25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2" right="0.2" top="0.68" bottom="0.37" header="0.17" footer="0.17"/>
  <pageSetup scale="85"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1998</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540" t="str">
        <f>COVER!A17</f>
        <v xml:space="preserve">  Princeville CUSD 326</v>
      </c>
      <c r="K6" s="2540"/>
      <c r="L6" s="2554"/>
      <c r="M6" s="838"/>
      <c r="N6" s="1998"/>
    </row>
    <row r="7" spans="1:14" x14ac:dyDescent="0.2">
      <c r="A7" s="2555" t="s">
        <v>864</v>
      </c>
      <c r="B7" s="2556"/>
      <c r="C7" s="2556"/>
      <c r="D7" s="2556"/>
      <c r="E7" s="2557"/>
      <c r="F7" s="839"/>
      <c r="G7" s="838"/>
      <c r="H7" s="838"/>
      <c r="I7" s="1924" t="s">
        <v>369</v>
      </c>
      <c r="J7" s="2542">
        <f>COVER!A13</f>
        <v>48072326026</v>
      </c>
      <c r="K7" s="2542"/>
      <c r="L7" s="2542"/>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2014</v>
      </c>
      <c r="F9" s="1857"/>
      <c r="G9" s="1857"/>
      <c r="H9" s="1857"/>
      <c r="I9" s="1929" t="s">
        <v>2015</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558" t="s">
        <v>478</v>
      </c>
      <c r="B11" s="2559"/>
      <c r="C11" s="2560"/>
      <c r="D11" s="1937" t="s">
        <v>866</v>
      </c>
      <c r="E11" s="1937" t="s">
        <v>64</v>
      </c>
      <c r="F11" s="1937" t="s">
        <v>6</v>
      </c>
      <c r="G11" s="1938" t="s">
        <v>2016</v>
      </c>
      <c r="H11" s="1939" t="s">
        <v>155</v>
      </c>
      <c r="I11" s="1937" t="s">
        <v>64</v>
      </c>
      <c r="J11" s="1937" t="s">
        <v>6</v>
      </c>
      <c r="K11" s="1938" t="s">
        <v>1997</v>
      </c>
      <c r="L11" s="1939" t="s">
        <v>155</v>
      </c>
      <c r="M11" s="838"/>
      <c r="N11" s="1998"/>
    </row>
    <row r="12" spans="1:14" x14ac:dyDescent="0.2">
      <c r="A12" s="2003">
        <v>1</v>
      </c>
      <c r="B12" s="1940" t="s">
        <v>813</v>
      </c>
      <c r="C12" s="842"/>
      <c r="D12" s="1941">
        <v>2320</v>
      </c>
      <c r="E12" s="1944">
        <f>'Expenditures 15-22'!K50</f>
        <v>201177</v>
      </c>
      <c r="F12" s="1942"/>
      <c r="G12" s="1968">
        <f>G68</f>
        <v>0</v>
      </c>
      <c r="H12" s="1944">
        <f t="shared" ref="H12:H18" si="0">SUM(E12:G12)</f>
        <v>201177</v>
      </c>
      <c r="I12" s="1943">
        <v>227862</v>
      </c>
      <c r="J12" s="1942"/>
      <c r="K12" s="1943"/>
      <c r="L12" s="1944">
        <f t="shared" ref="L12:L18" si="1">SUM(I12:K12)</f>
        <v>227862</v>
      </c>
      <c r="M12" s="838"/>
      <c r="N12" s="1998"/>
    </row>
    <row r="13" spans="1:14" x14ac:dyDescent="0.2">
      <c r="A13" s="2003">
        <v>2</v>
      </c>
      <c r="B13" s="1940" t="s">
        <v>42</v>
      </c>
      <c r="C13" s="842"/>
      <c r="D13" s="1941">
        <v>2330</v>
      </c>
      <c r="E13" s="1944">
        <f>'Expenditures 15-22'!K51</f>
        <v>63302</v>
      </c>
      <c r="F13" s="1942"/>
      <c r="G13" s="1968">
        <f>H68</f>
        <v>0</v>
      </c>
      <c r="H13" s="1944">
        <f t="shared" si="0"/>
        <v>63302</v>
      </c>
      <c r="I13" s="1943">
        <v>42050</v>
      </c>
      <c r="J13" s="1942"/>
      <c r="K13" s="1943"/>
      <c r="L13" s="1944">
        <f t="shared" si="1"/>
        <v>42050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61" t="s">
        <v>7</v>
      </c>
      <c r="C18" s="2562"/>
      <c r="D18" s="2563"/>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264479</v>
      </c>
      <c r="F19" s="1950">
        <f t="shared" si="2"/>
        <v>0</v>
      </c>
      <c r="G19" s="1950">
        <f t="shared" ref="G19" si="3">SUM(G12:G17)-G18</f>
        <v>0</v>
      </c>
      <c r="H19" s="1950">
        <f t="shared" si="2"/>
        <v>264479</v>
      </c>
      <c r="I19" s="1950">
        <f t="shared" si="2"/>
        <v>269912</v>
      </c>
      <c r="J19" s="1950">
        <f t="shared" si="2"/>
        <v>0</v>
      </c>
      <c r="K19" s="1950">
        <f t="shared" si="2"/>
        <v>0</v>
      </c>
      <c r="L19" s="1950">
        <f t="shared" si="2"/>
        <v>269912</v>
      </c>
      <c r="M19" s="838"/>
      <c r="N19" s="1998"/>
    </row>
    <row r="20" spans="1:14" ht="13.5" thickTop="1" x14ac:dyDescent="0.2">
      <c r="A20" s="2003">
        <v>9</v>
      </c>
      <c r="B20" s="2564" t="s">
        <v>2017</v>
      </c>
      <c r="C20" s="2564"/>
      <c r="D20" s="2565"/>
      <c r="E20" s="1951"/>
      <c r="F20" s="1951"/>
      <c r="G20" s="1951"/>
      <c r="H20" s="1951"/>
      <c r="I20" s="1951"/>
      <c r="J20" s="1951"/>
      <c r="K20" s="1951"/>
      <c r="L20" s="1952">
        <f>IF(AND(H19&gt;0,L19&gt;0),(((L19-H19)/H19)),"Enter Budget Data")</f>
        <v>2.0542273677683295E-2</v>
      </c>
      <c r="M20" s="838"/>
      <c r="N20" s="1998"/>
    </row>
    <row r="21" spans="1:14" x14ac:dyDescent="0.2">
      <c r="A21" s="2005" t="s">
        <v>194</v>
      </c>
      <c r="B21" s="2006" t="s">
        <v>2042</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2018</v>
      </c>
      <c r="B24" s="2010"/>
      <c r="C24" s="2011"/>
      <c r="D24" s="2011"/>
      <c r="E24" s="2011"/>
      <c r="F24" s="2011"/>
      <c r="G24" s="2011"/>
      <c r="H24" s="2011"/>
      <c r="I24" s="2011"/>
      <c r="J24" s="2011"/>
      <c r="K24" s="2011"/>
      <c r="L24" s="838"/>
      <c r="M24" s="838"/>
      <c r="N24" s="1998"/>
    </row>
    <row r="25" spans="1:14" x14ac:dyDescent="0.2">
      <c r="A25" s="2009" t="s">
        <v>2019</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66"/>
      <c r="D27" s="2566"/>
      <c r="E27" s="843"/>
      <c r="F27" s="2567"/>
      <c r="G27" s="2567"/>
      <c r="H27" s="2567"/>
      <c r="I27" s="838"/>
      <c r="J27" s="838"/>
      <c r="K27" s="838"/>
      <c r="L27" s="838"/>
      <c r="M27" s="838"/>
      <c r="N27" s="1998"/>
    </row>
    <row r="28" spans="1:14" x14ac:dyDescent="0.2">
      <c r="A28" s="1997"/>
      <c r="B28" s="2007"/>
      <c r="C28" s="1957" t="s">
        <v>1026</v>
      </c>
      <c r="D28" s="844"/>
      <c r="E28" s="1958"/>
      <c r="F28" s="2568" t="s">
        <v>1492</v>
      </c>
      <c r="G28" s="2568"/>
      <c r="H28" s="2568"/>
      <c r="I28" s="838"/>
      <c r="J28" s="838"/>
      <c r="K28" s="838"/>
      <c r="L28" s="838"/>
      <c r="M28" s="838"/>
      <c r="N28" s="1998"/>
    </row>
    <row r="29" spans="1:14" x14ac:dyDescent="0.2">
      <c r="A29" s="1997"/>
      <c r="B29" s="2007"/>
      <c r="C29" s="2569"/>
      <c r="D29" s="2569"/>
      <c r="E29" s="845"/>
      <c r="F29" s="2569"/>
      <c r="G29" s="2569"/>
      <c r="H29" s="2569"/>
      <c r="I29" s="838"/>
      <c r="J29" s="838"/>
      <c r="K29" s="838"/>
      <c r="L29" s="838"/>
      <c r="M29" s="838"/>
      <c r="N29" s="1998"/>
    </row>
    <row r="30" spans="1:14" x14ac:dyDescent="0.2">
      <c r="A30" s="1997"/>
      <c r="B30" s="2007"/>
      <c r="C30" s="1960" t="s">
        <v>1543</v>
      </c>
      <c r="D30" s="838"/>
      <c r="E30" s="1959"/>
      <c r="F30" s="2553" t="s">
        <v>1493</v>
      </c>
      <c r="G30" s="2553"/>
      <c r="H30" s="2553"/>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530" t="s">
        <v>2020</v>
      </c>
      <c r="D34" s="2531"/>
      <c r="E34" s="2531"/>
      <c r="F34" s="2531"/>
      <c r="G34" s="2531"/>
      <c r="H34" s="2531"/>
      <c r="I34" s="2531"/>
      <c r="J34" s="2531"/>
      <c r="K34" s="2016"/>
      <c r="L34" s="838"/>
      <c r="M34" s="838"/>
      <c r="N34" s="1998"/>
    </row>
    <row r="35" spans="1:14" x14ac:dyDescent="0.2">
      <c r="A35" s="1997"/>
      <c r="B35" s="838"/>
      <c r="C35" s="2531"/>
      <c r="D35" s="2531"/>
      <c r="E35" s="2531"/>
      <c r="F35" s="2531"/>
      <c r="G35" s="2531"/>
      <c r="H35" s="2531"/>
      <c r="I35" s="2531"/>
      <c r="J35" s="253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30" t="s">
        <v>2021</v>
      </c>
      <c r="D37" s="2531"/>
      <c r="E37" s="2531"/>
      <c r="F37" s="2531"/>
      <c r="G37" s="2531"/>
      <c r="H37" s="2531"/>
      <c r="I37" s="2531"/>
      <c r="J37" s="2531"/>
      <c r="K37" s="2016"/>
      <c r="L37" s="2018"/>
      <c r="M37" s="838"/>
      <c r="N37" s="1998"/>
    </row>
    <row r="38" spans="1:14" x14ac:dyDescent="0.2">
      <c r="A38" s="1997"/>
      <c r="B38" s="838"/>
      <c r="C38" s="2531"/>
      <c r="D38" s="2531"/>
      <c r="E38" s="2531"/>
      <c r="F38" s="2531"/>
      <c r="G38" s="2531"/>
      <c r="H38" s="2531"/>
      <c r="I38" s="2531"/>
      <c r="J38" s="253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32" t="s">
        <v>2022</v>
      </c>
      <c r="D40" s="2533"/>
      <c r="E40" s="2533"/>
      <c r="F40" s="2533"/>
      <c r="G40" s="2533"/>
      <c r="H40" s="2533"/>
      <c r="I40" s="2533"/>
      <c r="J40" s="253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34" t="s">
        <v>2023</v>
      </c>
      <c r="B43" s="2535"/>
      <c r="C43" s="2535"/>
      <c r="D43" s="2535"/>
      <c r="E43" s="2535"/>
      <c r="F43" s="2535"/>
      <c r="G43" s="2535"/>
      <c r="H43" s="2535"/>
      <c r="I43" s="2535"/>
      <c r="J43" s="2535"/>
      <c r="K43" s="2535"/>
      <c r="L43" s="2535"/>
      <c r="M43" s="2535"/>
      <c r="N43" s="253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2024</v>
      </c>
      <c r="B45" s="1983"/>
      <c r="C45" s="1983"/>
      <c r="D45" s="1983"/>
      <c r="E45" s="1983"/>
      <c r="F45" s="1983"/>
      <c r="G45" s="1983"/>
      <c r="H45" s="1983"/>
      <c r="I45" s="1983"/>
      <c r="J45" s="1983"/>
      <c r="K45" s="1983"/>
      <c r="L45" s="1983"/>
      <c r="M45" s="1983"/>
      <c r="N45" s="1984"/>
    </row>
    <row r="46" spans="1:14" x14ac:dyDescent="0.2">
      <c r="A46" s="2537" t="s">
        <v>2025</v>
      </c>
      <c r="B46" s="2538"/>
      <c r="C46" s="2538"/>
      <c r="D46" s="2538"/>
      <c r="E46" s="2538"/>
      <c r="F46" s="2538"/>
      <c r="G46" s="2538"/>
      <c r="H46" s="2538"/>
      <c r="I46" s="2538"/>
      <c r="J46" s="2538"/>
      <c r="K46" s="2538"/>
      <c r="L46" s="2538"/>
      <c r="M46" s="2538"/>
      <c r="N46" s="2539"/>
    </row>
    <row r="47" spans="1:14" x14ac:dyDescent="0.2">
      <c r="A47" s="2537"/>
      <c r="B47" s="2538"/>
      <c r="C47" s="2538"/>
      <c r="D47" s="2538"/>
      <c r="E47" s="2538"/>
      <c r="F47" s="2538"/>
      <c r="G47" s="2538"/>
      <c r="H47" s="2538"/>
      <c r="I47" s="2538"/>
      <c r="J47" s="2538"/>
      <c r="K47" s="2538"/>
      <c r="L47" s="2538"/>
      <c r="M47" s="2538"/>
      <c r="N47" s="253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2041</v>
      </c>
      <c r="B49" s="2024"/>
      <c r="C49" s="2024"/>
      <c r="D49" s="2025"/>
      <c r="E49" s="2025"/>
      <c r="F49" s="2025"/>
      <c r="G49" s="2025"/>
      <c r="H49" s="2025"/>
      <c r="I49" s="2025"/>
      <c r="J49" s="2025"/>
      <c r="K49" s="2025"/>
      <c r="L49" s="2025"/>
      <c r="M49" s="2025"/>
      <c r="N49" s="2026"/>
    </row>
    <row r="50" spans="1:14" ht="15" x14ac:dyDescent="0.25">
      <c r="A50" s="2028" t="s">
        <v>2040</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540" t="str">
        <f>J6</f>
        <v xml:space="preserve">  Princeville CUSD 326</v>
      </c>
      <c r="M52" s="2540"/>
      <c r="N52" s="2541"/>
    </row>
    <row r="53" spans="1:14" x14ac:dyDescent="0.2">
      <c r="A53" s="1982"/>
      <c r="B53" s="1983"/>
      <c r="C53" s="1983"/>
      <c r="D53" s="1983"/>
      <c r="E53" s="1983"/>
      <c r="F53" s="1983"/>
      <c r="G53" s="1983"/>
      <c r="H53" s="1983"/>
      <c r="I53" s="1983"/>
      <c r="J53" s="1983"/>
      <c r="K53" s="1924" t="s">
        <v>369</v>
      </c>
      <c r="L53" s="2542">
        <f>J7</f>
        <v>48072326026</v>
      </c>
      <c r="M53" s="2542"/>
      <c r="N53" s="2543"/>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44"/>
      <c r="B55" s="2545"/>
      <c r="C55" s="2545"/>
      <c r="D55" s="1970"/>
      <c r="E55" s="1970"/>
      <c r="F55" s="1970"/>
      <c r="G55" s="2546" t="s">
        <v>2026</v>
      </c>
      <c r="H55" s="2546"/>
      <c r="I55" s="2546"/>
      <c r="J55" s="2546"/>
      <c r="K55" s="2546"/>
      <c r="L55" s="2546"/>
      <c r="M55" s="2546"/>
      <c r="N55" s="2547"/>
    </row>
    <row r="56" spans="1:14" ht="63.75" x14ac:dyDescent="0.2">
      <c r="A56" s="2548" t="s">
        <v>2027</v>
      </c>
      <c r="B56" s="2549"/>
      <c r="C56" s="2550"/>
      <c r="D56" s="1964" t="s">
        <v>2028</v>
      </c>
      <c r="E56" s="1964" t="s">
        <v>2029</v>
      </c>
      <c r="F56" s="1971"/>
      <c r="G56" s="1964" t="s">
        <v>2030</v>
      </c>
      <c r="H56" s="1964" t="s">
        <v>2031</v>
      </c>
      <c r="I56" s="1964" t="s">
        <v>2032</v>
      </c>
      <c r="J56" s="1964" t="s">
        <v>2033</v>
      </c>
      <c r="K56" s="1964" t="s">
        <v>2034</v>
      </c>
      <c r="L56" s="1964" t="s">
        <v>2035</v>
      </c>
      <c r="M56" s="1964" t="s">
        <v>2036</v>
      </c>
      <c r="N56" s="1965" t="s">
        <v>2043</v>
      </c>
    </row>
    <row r="57" spans="1:14" ht="24.75" customHeight="1" x14ac:dyDescent="0.2">
      <c r="A57" s="2551" t="s">
        <v>296</v>
      </c>
      <c r="B57" s="2552"/>
      <c r="C57" s="2552"/>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528" t="s">
        <v>2037</v>
      </c>
      <c r="B58" s="2529"/>
      <c r="C58" s="2529"/>
      <c r="D58" s="1967">
        <v>2362</v>
      </c>
      <c r="E58" s="1977">
        <f>'Expenditures 15-22'!K320</f>
        <v>41216</v>
      </c>
      <c r="F58" s="1972"/>
      <c r="G58" s="2031"/>
      <c r="H58" s="2032"/>
      <c r="I58" s="2032"/>
      <c r="J58" s="2032"/>
      <c r="K58" s="2032"/>
      <c r="L58" s="2032"/>
      <c r="M58" s="2032">
        <v>41216</v>
      </c>
      <c r="N58" s="1975">
        <f>IF((SUM(G58:M58))=E58,SUM(G58:M58),"Column N does not agree with Column E")</f>
        <v>41216</v>
      </c>
    </row>
    <row r="59" spans="1:14" ht="24.75" customHeight="1" x14ac:dyDescent="0.2">
      <c r="A59" s="2522" t="s">
        <v>297</v>
      </c>
      <c r="B59" s="2523"/>
      <c r="C59" s="2523"/>
      <c r="D59" s="1967">
        <v>2363</v>
      </c>
      <c r="E59" s="1977">
        <f>'Expenditures 15-22'!K321</f>
        <v>3264</v>
      </c>
      <c r="F59" s="1972"/>
      <c r="G59" s="2031"/>
      <c r="H59" s="2032"/>
      <c r="I59" s="2032"/>
      <c r="J59" s="2032"/>
      <c r="K59" s="2032"/>
      <c r="L59" s="2032"/>
      <c r="M59" s="2032">
        <v>3264</v>
      </c>
      <c r="N59" s="1975">
        <f>IF((SUM(G59:M59))=E59,SUM(G59:M59),"Column N does not agree with Column E")</f>
        <v>3264</v>
      </c>
    </row>
    <row r="60" spans="1:14" ht="24" customHeight="1" x14ac:dyDescent="0.2">
      <c r="A60" s="2522" t="s">
        <v>236</v>
      </c>
      <c r="B60" s="2523"/>
      <c r="C60" s="2523"/>
      <c r="D60" s="1967">
        <v>2364</v>
      </c>
      <c r="E60" s="1977">
        <f>'Expenditures 15-22'!K322</f>
        <v>67769</v>
      </c>
      <c r="F60" s="1972"/>
      <c r="G60" s="2031"/>
      <c r="H60" s="2032"/>
      <c r="I60" s="2032"/>
      <c r="J60" s="2032"/>
      <c r="K60" s="2032"/>
      <c r="L60" s="2032"/>
      <c r="M60" s="2032">
        <v>67769</v>
      </c>
      <c r="N60" s="1975">
        <f t="shared" ref="N60:N67" si="4">IF((SUM(G60:M60))=E60,SUM(G60:M60),"Column N does not agree with Column E")</f>
        <v>67769</v>
      </c>
    </row>
    <row r="61" spans="1:14" ht="24.75" customHeight="1" x14ac:dyDescent="0.2">
      <c r="A61" s="2522" t="s">
        <v>697</v>
      </c>
      <c r="B61" s="2523"/>
      <c r="C61" s="2523"/>
      <c r="D61" s="1967">
        <v>2365</v>
      </c>
      <c r="E61" s="1977">
        <f>'Expenditures 15-22'!K323</f>
        <v>39291</v>
      </c>
      <c r="F61" s="1972"/>
      <c r="G61" s="2031"/>
      <c r="H61" s="2032"/>
      <c r="I61" s="2032"/>
      <c r="J61" s="2032"/>
      <c r="K61" s="2032"/>
      <c r="L61" s="2032"/>
      <c r="M61" s="2032">
        <v>39291</v>
      </c>
      <c r="N61" s="1975">
        <f t="shared" si="4"/>
        <v>39291</v>
      </c>
    </row>
    <row r="62" spans="1:14" ht="24" customHeight="1" x14ac:dyDescent="0.2">
      <c r="A62" s="2522" t="s">
        <v>237</v>
      </c>
      <c r="B62" s="2523"/>
      <c r="C62" s="2523"/>
      <c r="D62" s="1967">
        <v>2366</v>
      </c>
      <c r="E62" s="1977">
        <f>'Expenditures 15-22'!K324</f>
        <v>0</v>
      </c>
      <c r="F62" s="1972"/>
      <c r="G62" s="2031"/>
      <c r="H62" s="2032"/>
      <c r="I62" s="2032"/>
      <c r="J62" s="2032"/>
      <c r="K62" s="2032"/>
      <c r="L62" s="2032"/>
      <c r="M62" s="2032"/>
      <c r="N62" s="1975">
        <f t="shared" si="4"/>
        <v>0</v>
      </c>
    </row>
    <row r="63" spans="1:14" ht="24" customHeight="1" x14ac:dyDescent="0.2">
      <c r="A63" s="2528" t="s">
        <v>1022</v>
      </c>
      <c r="B63" s="2529"/>
      <c r="C63" s="2529"/>
      <c r="D63" s="1967">
        <v>2367</v>
      </c>
      <c r="E63" s="1977">
        <f>'Expenditures 15-22'!K325</f>
        <v>46118</v>
      </c>
      <c r="F63" s="1972"/>
      <c r="G63" s="2031"/>
      <c r="H63" s="2032"/>
      <c r="I63" s="2032"/>
      <c r="J63" s="2032"/>
      <c r="K63" s="2032"/>
      <c r="L63" s="2032"/>
      <c r="M63" s="2032">
        <v>46118</v>
      </c>
      <c r="N63" s="1975">
        <f t="shared" si="4"/>
        <v>46118</v>
      </c>
    </row>
    <row r="64" spans="1:14" ht="24" customHeight="1" x14ac:dyDescent="0.2">
      <c r="A64" s="2522" t="s">
        <v>1023</v>
      </c>
      <c r="B64" s="2523"/>
      <c r="C64" s="2523"/>
      <c r="D64" s="1967">
        <v>2368</v>
      </c>
      <c r="E64" s="1977">
        <f>'Expenditures 15-22'!K326</f>
        <v>0</v>
      </c>
      <c r="F64" s="1972"/>
      <c r="G64" s="2031"/>
      <c r="H64" s="2032"/>
      <c r="I64" s="2032"/>
      <c r="J64" s="2032"/>
      <c r="K64" s="2032"/>
      <c r="L64" s="2032"/>
      <c r="M64" s="2032"/>
      <c r="N64" s="1975">
        <f t="shared" si="4"/>
        <v>0</v>
      </c>
    </row>
    <row r="65" spans="1:14" ht="24" customHeight="1" x14ac:dyDescent="0.2">
      <c r="A65" s="2522" t="s">
        <v>965</v>
      </c>
      <c r="B65" s="2523"/>
      <c r="C65" s="2523"/>
      <c r="D65" s="1967">
        <v>2369</v>
      </c>
      <c r="E65" s="1977">
        <f>'Expenditures 15-22'!K327</f>
        <v>2710</v>
      </c>
      <c r="F65" s="1972"/>
      <c r="G65" s="2031"/>
      <c r="H65" s="2032"/>
      <c r="I65" s="2032"/>
      <c r="J65" s="2032"/>
      <c r="K65" s="2032"/>
      <c r="L65" s="2032"/>
      <c r="M65" s="2032">
        <v>2710</v>
      </c>
      <c r="N65" s="1975">
        <f t="shared" si="4"/>
        <v>2710</v>
      </c>
    </row>
    <row r="66" spans="1:14" ht="24" customHeight="1" x14ac:dyDescent="0.2">
      <c r="A66" s="2522" t="s">
        <v>469</v>
      </c>
      <c r="B66" s="2523"/>
      <c r="C66" s="2523"/>
      <c r="D66" s="1967">
        <v>2371</v>
      </c>
      <c r="E66" s="1977">
        <f>'Expenditures 15-22'!K328</f>
        <v>0</v>
      </c>
      <c r="F66" s="1972"/>
      <c r="G66" s="2031"/>
      <c r="H66" s="2032"/>
      <c r="I66" s="2032"/>
      <c r="J66" s="2032"/>
      <c r="K66" s="2032"/>
      <c r="L66" s="2032"/>
      <c r="M66" s="2032"/>
      <c r="N66" s="1975">
        <f t="shared" si="4"/>
        <v>0</v>
      </c>
    </row>
    <row r="67" spans="1:14" ht="24.75" customHeight="1" x14ac:dyDescent="0.2">
      <c r="A67" s="2524" t="s">
        <v>2038</v>
      </c>
      <c r="B67" s="2525"/>
      <c r="C67" s="2525"/>
      <c r="D67" s="1969">
        <v>2372</v>
      </c>
      <c r="E67" s="1978">
        <f>'Expenditures 15-22'!K329</f>
        <v>0</v>
      </c>
      <c r="F67" s="1972"/>
      <c r="G67" s="2033"/>
      <c r="H67" s="2034"/>
      <c r="I67" s="2034"/>
      <c r="J67" s="2034"/>
      <c r="K67" s="2034"/>
      <c r="L67" s="2034"/>
      <c r="M67" s="2034"/>
      <c r="N67" s="1975">
        <f t="shared" si="4"/>
        <v>0</v>
      </c>
    </row>
    <row r="68" spans="1:14" x14ac:dyDescent="0.2">
      <c r="A68" s="2526" t="s">
        <v>1151</v>
      </c>
      <c r="B68" s="2527"/>
      <c r="C68" s="2527"/>
      <c r="D68" s="1970"/>
      <c r="E68" s="1974">
        <f>SUM(E57:E67)</f>
        <v>200368</v>
      </c>
      <c r="F68" s="1973"/>
      <c r="G68" s="1974">
        <f t="shared" ref="G68:N68" si="5">SUM(G57:G67)</f>
        <v>0</v>
      </c>
      <c r="H68" s="1974">
        <f t="shared" si="5"/>
        <v>0</v>
      </c>
      <c r="I68" s="1974">
        <f t="shared" si="5"/>
        <v>0</v>
      </c>
      <c r="J68" s="1974">
        <f t="shared" si="5"/>
        <v>0</v>
      </c>
      <c r="K68" s="1974">
        <f t="shared" si="5"/>
        <v>0</v>
      </c>
      <c r="L68" s="1974">
        <f t="shared" si="5"/>
        <v>0</v>
      </c>
      <c r="M68" s="1974">
        <f t="shared" si="5"/>
        <v>200368</v>
      </c>
      <c r="N68" s="1988">
        <f t="shared" si="5"/>
        <v>200368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2039</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2128</v>
      </c>
    </row>
    <row r="6" spans="1:2" x14ac:dyDescent="0.2">
      <c r="A6" s="847">
        <v>2</v>
      </c>
      <c r="B6" s="307" t="s">
        <v>2129</v>
      </c>
    </row>
    <row r="7" spans="1:2" x14ac:dyDescent="0.2">
      <c r="A7" s="847">
        <v>3</v>
      </c>
      <c r="B7" s="307" t="s">
        <v>2130</v>
      </c>
    </row>
    <row r="8" spans="1:2" x14ac:dyDescent="0.2">
      <c r="A8" s="847">
        <v>4</v>
      </c>
      <c r="B8" s="307" t="s">
        <v>2131</v>
      </c>
    </row>
    <row r="9" spans="1:2" x14ac:dyDescent="0.2">
      <c r="A9" s="847">
        <v>5</v>
      </c>
      <c r="B9" s="307" t="s">
        <v>2132</v>
      </c>
    </row>
    <row r="10" spans="1:2" x14ac:dyDescent="0.2">
      <c r="A10" s="847">
        <v>6</v>
      </c>
      <c r="B10" s="307" t="s">
        <v>2133</v>
      </c>
    </row>
    <row r="11" spans="1:2" x14ac:dyDescent="0.2">
      <c r="A11" s="847">
        <v>7</v>
      </c>
      <c r="B11" s="307" t="s">
        <v>2135</v>
      </c>
    </row>
    <row r="12" spans="1:2" x14ac:dyDescent="0.2">
      <c r="A12" s="847">
        <v>8</v>
      </c>
      <c r="B12" s="307" t="s">
        <v>2136</v>
      </c>
    </row>
    <row r="13" spans="1:2" x14ac:dyDescent="0.2">
      <c r="A13" s="847">
        <v>9</v>
      </c>
      <c r="B13" s="307" t="s">
        <v>2137</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Princeville CUSD 326</v>
      </c>
    </row>
    <row r="65" spans="2:2" x14ac:dyDescent="0.2">
      <c r="B65" s="849">
        <f>COVER!A13</f>
        <v>48072326026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1592</v>
      </c>
    </row>
    <row r="22" spans="1:5" x14ac:dyDescent="0.2">
      <c r="A22" s="163"/>
      <c r="B22" s="157" t="s">
        <v>1823</v>
      </c>
      <c r="C22" s="157" t="s">
        <v>1159</v>
      </c>
      <c r="D22" s="162" t="s">
        <v>1825</v>
      </c>
      <c r="E22" s="1470" t="s">
        <v>1593</v>
      </c>
    </row>
    <row r="23" spans="1:5" x14ac:dyDescent="0.2">
      <c r="A23" s="163"/>
      <c r="B23" s="157" t="s">
        <v>1824</v>
      </c>
      <c r="D23" s="162" t="s">
        <v>632</v>
      </c>
      <c r="E23" s="1470" t="s">
        <v>953</v>
      </c>
    </row>
    <row r="24" spans="1:5" x14ac:dyDescent="0.2">
      <c r="A24" s="163" t="s">
        <v>1591</v>
      </c>
      <c r="C24" s="157" t="s">
        <v>1159</v>
      </c>
      <c r="D24" s="162" t="s">
        <v>1377</v>
      </c>
      <c r="E24" s="165" t="s">
        <v>954</v>
      </c>
    </row>
    <row r="25" spans="1:5" x14ac:dyDescent="0.2">
      <c r="A25" s="163" t="s">
        <v>1836</v>
      </c>
      <c r="C25" s="157" t="s">
        <v>1159</v>
      </c>
      <c r="D25" s="164" t="s">
        <v>21</v>
      </c>
      <c r="E25" s="1470" t="s">
        <v>2044</v>
      </c>
    </row>
    <row r="26" spans="1:5" x14ac:dyDescent="0.2">
      <c r="A26" s="163" t="s">
        <v>1837</v>
      </c>
      <c r="C26" s="157" t="s">
        <v>1159</v>
      </c>
      <c r="D26" s="164" t="s">
        <v>559</v>
      </c>
      <c r="E26" s="1470" t="s">
        <v>678</v>
      </c>
    </row>
    <row r="27" spans="1:5" x14ac:dyDescent="0.2">
      <c r="A27" s="163" t="s">
        <v>1838</v>
      </c>
      <c r="C27" s="157" t="s">
        <v>1159</v>
      </c>
      <c r="D27" s="164" t="s">
        <v>553</v>
      </c>
      <c r="E27" s="1470" t="s">
        <v>1350</v>
      </c>
    </row>
    <row r="28" spans="1:5" x14ac:dyDescent="0.2">
      <c r="A28" s="163" t="s">
        <v>1840</v>
      </c>
      <c r="D28" s="164" t="s">
        <v>679</v>
      </c>
      <c r="E28" s="1470" t="s">
        <v>1359</v>
      </c>
    </row>
    <row r="29" spans="1:5" x14ac:dyDescent="0.2">
      <c r="A29" s="163" t="s">
        <v>1841</v>
      </c>
      <c r="D29" s="164" t="s">
        <v>1378</v>
      </c>
      <c r="E29" s="1470"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256" t="s">
        <v>1056</v>
      </c>
      <c r="B35" s="2256"/>
      <c r="C35" s="2256"/>
      <c r="D35" s="2256"/>
      <c r="E35" s="22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53" t="s">
        <v>686</v>
      </c>
      <c r="B40" s="2253"/>
      <c r="C40" s="2253"/>
      <c r="D40" s="2253"/>
      <c r="E40" s="2253"/>
    </row>
    <row r="41" spans="1:5" x14ac:dyDescent="0.2">
      <c r="A41" s="2254" t="s">
        <v>1590</v>
      </c>
      <c r="B41" s="2254"/>
      <c r="C41" s="2254"/>
      <c r="D41" s="2254"/>
      <c r="E41" s="2254"/>
    </row>
    <row r="42" spans="1:5" ht="12.75" customHeight="1" x14ac:dyDescent="0.2">
      <c r="A42" s="2255" t="s">
        <v>1015</v>
      </c>
      <c r="B42" s="2255"/>
      <c r="C42" s="2255"/>
      <c r="D42" s="2255"/>
      <c r="E42" s="2255"/>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1969</v>
      </c>
    </row>
    <row r="17" spans="1:2" ht="6" customHeight="1" x14ac:dyDescent="0.2"/>
    <row r="18" spans="1:2" ht="24.75" customHeight="1" x14ac:dyDescent="0.2">
      <c r="A18" s="2570" t="s">
        <v>1664</v>
      </c>
      <c r="B18" s="257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9" r:id="rId4"/>
      </mc:Fallback>
    </mc:AlternateContent>
    <mc:AlternateContent xmlns:mc="http://schemas.openxmlformats.org/markup-compatibility/2006">
      <mc:Choice Requires="x14">
        <oleObject progId="Acrobat Document" dvAspect="DVASPECT_ICON" shapeId="45060" r:id="rId6">
          <objectPr defaultSize="0" r:id="rId7">
            <anchor moveWithCells="1">
              <from>
                <xdr:col>1</xdr:col>
                <xdr:colOff>1362075</xdr:colOff>
                <xdr:row>1</xdr:row>
                <xdr:rowOff>85725</xdr:rowOff>
              </from>
              <to>
                <xdr:col>1</xdr:col>
                <xdr:colOff>2266950</xdr:colOff>
                <xdr:row>5</xdr:row>
                <xdr:rowOff>123825</xdr:rowOff>
              </to>
            </anchor>
          </objectPr>
        </oleObject>
      </mc:Choice>
      <mc:Fallback>
        <oleObject progId="Acrobat Document" dvAspect="DVASPECT_ICON" shapeId="45060" r:id="rId6"/>
      </mc:Fallback>
    </mc:AlternateContent>
    <mc:AlternateContent xmlns:mc="http://schemas.openxmlformats.org/markup-compatibility/2006">
      <mc:Choice Requires="x14">
        <oleObject progId="Acrobat Document" dvAspect="DVASPECT_ICON" shapeId="45061" r:id="rId8">
          <objectPr defaultSize="0" r:id="rId9">
            <anchor moveWithCells="1">
              <from>
                <xdr:col>1</xdr:col>
                <xdr:colOff>809625</xdr:colOff>
                <xdr:row>6</xdr:row>
                <xdr:rowOff>47625</xdr:rowOff>
              </from>
              <to>
                <xdr:col>1</xdr:col>
                <xdr:colOff>1724025</xdr:colOff>
                <xdr:row>11</xdr:row>
                <xdr:rowOff>9525</xdr:rowOff>
              </to>
            </anchor>
          </objectPr>
        </oleObject>
      </mc:Choice>
      <mc:Fallback>
        <oleObject progId="Acrobat Document" dvAspect="DVASPECT_ICON" shapeId="4506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1" t="s">
        <v>1668</v>
      </c>
      <c r="B1" s="2572"/>
      <c r="C1" s="2572"/>
      <c r="D1" s="2572"/>
      <c r="E1" s="2572"/>
      <c r="F1" s="2573"/>
    </row>
    <row r="2" spans="1:8" ht="45" customHeight="1" x14ac:dyDescent="0.2">
      <c r="A2" s="25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2"/>
      <c r="C2" s="2582"/>
      <c r="D2" s="2582"/>
      <c r="E2" s="2582"/>
      <c r="F2" s="2583"/>
      <c r="G2" s="853"/>
      <c r="H2" s="853"/>
    </row>
    <row r="3" spans="1:8" ht="57" customHeight="1" x14ac:dyDescent="0.2">
      <c r="A3" s="2584" t="s">
        <v>1968</v>
      </c>
      <c r="B3" s="2585"/>
      <c r="C3" s="2585"/>
      <c r="D3" s="2585"/>
      <c r="E3" s="2585"/>
      <c r="F3" s="2586"/>
      <c r="G3" s="853"/>
      <c r="H3" s="853"/>
    </row>
    <row r="4" spans="1:8" ht="14.25" customHeight="1" x14ac:dyDescent="0.2">
      <c r="A4" s="25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1"/>
      <c r="C4" s="2591"/>
      <c r="D4" s="2591"/>
      <c r="E4" s="2591"/>
      <c r="F4" s="2592"/>
      <c r="G4" s="853"/>
      <c r="H4" s="853"/>
    </row>
    <row r="5" spans="1:8" ht="14.25" customHeight="1" x14ac:dyDescent="0.2">
      <c r="A5" s="25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4"/>
      <c r="C5" s="2594"/>
      <c r="D5" s="2594"/>
      <c r="E5" s="2594"/>
      <c r="F5" s="2595"/>
      <c r="G5" s="853"/>
      <c r="H5" s="853"/>
    </row>
    <row r="6" spans="1:8" s="854" customFormat="1" ht="41.25" customHeight="1" x14ac:dyDescent="0.2">
      <c r="A6" s="2587" t="s">
        <v>1669</v>
      </c>
      <c r="B6" s="2588"/>
      <c r="C6" s="2588"/>
      <c r="D6" s="2588"/>
      <c r="E6" s="2588"/>
      <c r="F6" s="25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5685110</v>
      </c>
      <c r="C8" s="1813">
        <f>'Acct Summary 7-8'!D8</f>
        <v>314499</v>
      </c>
      <c r="D8" s="1813">
        <f>'Acct Summary 7-8'!F8</f>
        <v>320263</v>
      </c>
      <c r="E8" s="1813">
        <f>'Acct Summary 7-8'!I8</f>
        <v>28828</v>
      </c>
      <c r="F8" s="1813">
        <f>SUM(B8:E8)</f>
        <v>6348700</v>
      </c>
    </row>
    <row r="9" spans="1:8" s="858" customFormat="1" ht="14.25" customHeight="1" thickBot="1" x14ac:dyDescent="0.25">
      <c r="A9" s="857" t="s">
        <v>1353</v>
      </c>
      <c r="B9" s="1814">
        <f>'Acct Summary 7-8'!C17</f>
        <v>6786476</v>
      </c>
      <c r="C9" s="1814">
        <f>'Acct Summary 7-8'!D17</f>
        <v>481608</v>
      </c>
      <c r="D9" s="1814">
        <f>'Acct Summary 7-8'!F17</f>
        <v>399188</v>
      </c>
      <c r="E9" s="1813"/>
      <c r="F9" s="1813">
        <f>SUM(B9:E9)</f>
        <v>7667272</v>
      </c>
    </row>
    <row r="10" spans="1:8" s="858" customFormat="1" ht="14.25" thickTop="1" thickBot="1" x14ac:dyDescent="0.25">
      <c r="A10" s="859" t="s">
        <v>1354</v>
      </c>
      <c r="B10" s="1815">
        <f>(B8-B9)</f>
        <v>-1101366</v>
      </c>
      <c r="C10" s="1815">
        <f>(C8-C9)</f>
        <v>-167109</v>
      </c>
      <c r="D10" s="1815">
        <f>(D8-D9)</f>
        <v>-78925</v>
      </c>
      <c r="E10" s="1814">
        <f>(E8-E9)</f>
        <v>28828</v>
      </c>
      <c r="F10" s="1816">
        <f>SUM(F8-F9)</f>
        <v>-1318572</v>
      </c>
    </row>
    <row r="11" spans="1:8" s="858" customFormat="1" ht="14.25" thickTop="1" thickBot="1" x14ac:dyDescent="0.25">
      <c r="A11" s="860" t="s">
        <v>1899</v>
      </c>
      <c r="B11" s="1817">
        <f>'Acct Summary 7-8'!C81</f>
        <v>1892782</v>
      </c>
      <c r="C11" s="1817">
        <f>'Acct Summary 7-8'!D81</f>
        <v>438247</v>
      </c>
      <c r="D11" s="1817">
        <f>'Acct Summary 7-8'!F81</f>
        <v>425005</v>
      </c>
      <c r="E11" s="1817">
        <f>'Acct Summary 7-8'!I81</f>
        <v>839838</v>
      </c>
      <c r="F11" s="1818">
        <f>SUM(B11:E11)</f>
        <v>3595872</v>
      </c>
    </row>
    <row r="12" spans="1:8" ht="16.5" customHeight="1" thickTop="1" x14ac:dyDescent="0.2">
      <c r="A12" s="861"/>
      <c r="B12" s="862"/>
      <c r="C12" s="2575"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576"/>
      <c r="E12" s="2576"/>
      <c r="F12" s="2577"/>
    </row>
    <row r="13" spans="1:8" ht="19.5" customHeight="1" x14ac:dyDescent="0.2">
      <c r="A13" s="863"/>
      <c r="B13" s="864"/>
      <c r="C13" s="2575"/>
      <c r="D13" s="2576"/>
      <c r="E13" s="2576"/>
      <c r="F13" s="2577"/>
      <c r="H13" s="853"/>
    </row>
    <row r="14" spans="1:8" ht="19.5" customHeight="1" x14ac:dyDescent="0.2">
      <c r="A14" s="863"/>
      <c r="B14" s="864"/>
      <c r="C14" s="2575"/>
      <c r="D14" s="2576"/>
      <c r="E14" s="2576"/>
      <c r="F14" s="2577"/>
      <c r="H14" s="853"/>
    </row>
    <row r="15" spans="1:8" ht="17.25" customHeight="1" x14ac:dyDescent="0.2">
      <c r="A15" s="863"/>
      <c r="B15" s="864"/>
      <c r="C15" s="2578"/>
      <c r="D15" s="2579"/>
      <c r="E15" s="2579"/>
      <c r="F15" s="2580"/>
      <c r="H15" s="853"/>
    </row>
    <row r="16" spans="1:8" s="288" customFormat="1" ht="51.75" hidden="1" customHeight="1" x14ac:dyDescent="0.2">
      <c r="A16" s="2574" t="s">
        <v>1665</v>
      </c>
      <c r="B16" s="2574"/>
      <c r="C16" s="2574"/>
      <c r="D16" s="2574"/>
      <c r="E16" s="2574"/>
      <c r="F16" s="288" t="s">
        <v>1355</v>
      </c>
    </row>
    <row r="17" spans="1:6" hidden="1" x14ac:dyDescent="0.2">
      <c r="A17" s="294" t="s">
        <v>1666</v>
      </c>
      <c r="F17" s="865" t="s">
        <v>1356</v>
      </c>
    </row>
    <row r="18" spans="1:6" hidden="1" x14ac:dyDescent="0.2">
      <c r="A18" s="294" t="s">
        <v>1667</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96" t="s">
        <v>660</v>
      </c>
      <c r="B3" s="2597"/>
      <c r="C3" s="2597"/>
      <c r="D3" s="2598"/>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07" t="s">
        <v>1487</v>
      </c>
      <c r="D7" s="2608"/>
    </row>
    <row r="8" spans="1:4" s="542" customFormat="1" ht="12.75" x14ac:dyDescent="0.2">
      <c r="A8" s="917"/>
      <c r="B8" s="872"/>
      <c r="C8" s="875" t="s">
        <v>1486</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99" t="s">
        <v>1001</v>
      </c>
      <c r="B15" s="2600"/>
      <c r="C15" s="2600"/>
      <c r="D15" s="2601"/>
    </row>
    <row r="16" spans="1:4" s="542" customFormat="1" ht="24" customHeight="1" x14ac:dyDescent="0.2">
      <c r="A16" s="2602" t="s">
        <v>658</v>
      </c>
      <c r="B16" s="2603"/>
      <c r="C16" s="2603"/>
      <c r="D16" s="2604"/>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705</v>
      </c>
    </row>
    <row r="21" spans="1:10" x14ac:dyDescent="0.2">
      <c r="A21" s="877"/>
      <c r="B21" s="878">
        <v>1</v>
      </c>
      <c r="C21" s="2611" t="s">
        <v>311</v>
      </c>
      <c r="D21" s="2612"/>
    </row>
    <row r="22" spans="1:10" ht="12.75" x14ac:dyDescent="0.2">
      <c r="A22" s="918"/>
      <c r="B22" s="919">
        <v>2</v>
      </c>
      <c r="C22" s="2609" t="s">
        <v>1507</v>
      </c>
      <c r="D22" s="26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13" t="s">
        <v>533</v>
      </c>
      <c r="D43" s="26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05" t="s">
        <v>779</v>
      </c>
      <c r="D56" s="26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1014</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605" t="s">
        <v>1673</v>
      </c>
      <c r="D70" s="26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1963</v>
      </c>
      <c r="F1" s="1543" t="s">
        <v>1964</v>
      </c>
      <c r="G1" s="1900" t="s">
        <v>1974</v>
      </c>
    </row>
    <row r="2" spans="1:7" ht="15.75" x14ac:dyDescent="0.25">
      <c r="A2" t="s">
        <v>260</v>
      </c>
      <c r="B2" s="135">
        <f>COVER!A13</f>
        <v>48072326026</v>
      </c>
      <c r="E2" s="1542">
        <v>2020</v>
      </c>
      <c r="F2" s="1542">
        <v>1</v>
      </c>
      <c r="G2" s="1899">
        <v>101000300</v>
      </c>
    </row>
    <row r="3" spans="1:7" ht="15" x14ac:dyDescent="0.25">
      <c r="A3" t="s">
        <v>950</v>
      </c>
      <c r="B3" s="135" t="str">
        <f>COVER!A15</f>
        <v>Peoria</v>
      </c>
      <c r="E3" s="1830" t="s">
        <v>1967</v>
      </c>
      <c r="F3" s="1830" t="s">
        <v>1966</v>
      </c>
      <c r="G3" s="1899">
        <v>101000400</v>
      </c>
    </row>
    <row r="4" spans="1:7" ht="15" x14ac:dyDescent="0.25">
      <c r="A4" t="s">
        <v>1000</v>
      </c>
      <c r="B4" s="135" t="str">
        <f>COVER!A17</f>
        <v xml:space="preserve">  Princeville CUSD 326</v>
      </c>
      <c r="E4" s="1828">
        <v>44119</v>
      </c>
      <c r="F4" s="1829">
        <v>44151</v>
      </c>
      <c r="G4" s="1899">
        <v>101000600</v>
      </c>
    </row>
    <row r="5" spans="1:7" ht="15" x14ac:dyDescent="0.25">
      <c r="A5" t="s">
        <v>699</v>
      </c>
      <c r="B5" s="135" t="str">
        <f>COVER!A38</f>
        <v>Shannon Duling</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Custis</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1427719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1892782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1804826</v>
      </c>
      <c r="D92" s="2" t="str">
        <f t="shared" si="0"/>
        <v>Error?</v>
      </c>
      <c r="G92" s="1899">
        <v>102640600</v>
      </c>
    </row>
    <row r="93" spans="1:7" ht="15" x14ac:dyDescent="0.25">
      <c r="A93" s="5">
        <v>32</v>
      </c>
      <c r="B93" s="1832">
        <f>'Assets-Liab 5-6'!C41</f>
        <v>1892782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435101</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438247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438247</v>
      </c>
      <c r="D123" s="2" t="str">
        <f t="shared" si="0"/>
        <v>Error?</v>
      </c>
      <c r="G123" s="1899">
        <v>203000400</v>
      </c>
    </row>
    <row r="124" spans="1:7" ht="15" x14ac:dyDescent="0.25">
      <c r="A124" s="5">
        <v>63</v>
      </c>
      <c r="B124" s="1832">
        <f>'Assets-Liab 5-6'!D41</f>
        <v>438247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123102</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123553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11433</v>
      </c>
      <c r="D140" s="2" t="str">
        <f t="shared" si="1"/>
        <v>Error?</v>
      </c>
    </row>
    <row r="141" spans="1:7" x14ac:dyDescent="0.2">
      <c r="A141" s="5">
        <v>80</v>
      </c>
      <c r="B141" s="1832">
        <f>'Assets-Liab 5-6'!E41</f>
        <v>123553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332652</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425005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425005</v>
      </c>
      <c r="D170" s="2" t="str">
        <f t="shared" si="1"/>
        <v>Error?</v>
      </c>
    </row>
    <row r="171" spans="1:4" x14ac:dyDescent="0.2">
      <c r="A171" s="5">
        <v>110</v>
      </c>
      <c r="B171" s="1832">
        <f>'Assets-Liab 5-6'!F41</f>
        <v>425005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410879</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414476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268163</v>
      </c>
      <c r="D189" s="2" t="str">
        <f t="shared" si="1"/>
        <v>Error?</v>
      </c>
    </row>
    <row r="190" spans="1:4" x14ac:dyDescent="0.2">
      <c r="A190" s="5">
        <v>129</v>
      </c>
      <c r="B190" s="1832">
        <f>'Assets-Liab 5-6'!G41</f>
        <v>414476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57932</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462774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412774</v>
      </c>
      <c r="D212" s="2" t="str">
        <f t="shared" si="2"/>
        <v>Error?</v>
      </c>
    </row>
    <row r="213" spans="1:4" x14ac:dyDescent="0.2">
      <c r="A213" s="12">
        <v>152</v>
      </c>
      <c r="B213" s="1832">
        <f>'Assets-Liab 5-6'!H41</f>
        <v>462774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528232</v>
      </c>
      <c r="D273" s="2" t="str">
        <f t="shared" si="3"/>
        <v>Error?</v>
      </c>
    </row>
    <row r="274" spans="1:4" x14ac:dyDescent="0.2">
      <c r="A274" s="5">
        <v>213</v>
      </c>
      <c r="B274" s="1832">
        <f>'Assets-Liab 5-6'!M17</f>
        <v>18585428</v>
      </c>
      <c r="D274" s="2" t="str">
        <f t="shared" si="3"/>
        <v>Error?</v>
      </c>
    </row>
    <row r="275" spans="1:4" x14ac:dyDescent="0.2">
      <c r="A275" s="5">
        <v>214</v>
      </c>
      <c r="B275" s="1832">
        <f>'Assets-Liab 5-6'!M18</f>
        <v>748946</v>
      </c>
      <c r="D275" s="2" t="str">
        <f t="shared" si="3"/>
        <v>Error?</v>
      </c>
    </row>
    <row r="276" spans="1:4" x14ac:dyDescent="0.2">
      <c r="A276" s="5">
        <v>215</v>
      </c>
      <c r="B276" s="1832">
        <f>'Assets-Liab 5-6'!M19</f>
        <v>1208265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21070871</v>
      </c>
      <c r="C279" s="2" t="s">
        <v>569</v>
      </c>
      <c r="D279" s="2" t="str">
        <f t="shared" si="3"/>
        <v>Error?</v>
      </c>
    </row>
    <row r="280" spans="1:4" x14ac:dyDescent="0.2">
      <c r="A280" s="5">
        <v>219</v>
      </c>
      <c r="B280" s="1832">
        <f>'Assets-Liab 5-6'!M40</f>
        <v>21070871</v>
      </c>
      <c r="D280" s="2" t="str">
        <f t="shared" si="3"/>
        <v>Error?</v>
      </c>
    </row>
    <row r="281" spans="1:4" x14ac:dyDescent="0.2">
      <c r="A281" s="5">
        <v>220</v>
      </c>
      <c r="B281" s="1832">
        <f>'Assets-Liab 5-6'!M41</f>
        <v>21070871</v>
      </c>
      <c r="C281" s="2" t="s">
        <v>569</v>
      </c>
      <c r="D281" s="2" t="str">
        <f t="shared" si="3"/>
        <v>Error?</v>
      </c>
    </row>
    <row r="282" spans="1:4" x14ac:dyDescent="0.2">
      <c r="A282" s="5">
        <v>221</v>
      </c>
      <c r="B282" s="1832">
        <f>'Assets-Liab 5-6'!N21</f>
        <v>123553</v>
      </c>
      <c r="D282" s="2" t="str">
        <f t="shared" si="3"/>
        <v>Error?</v>
      </c>
    </row>
    <row r="283" spans="1:4" x14ac:dyDescent="0.2">
      <c r="A283" s="5">
        <v>222</v>
      </c>
      <c r="B283" s="1832">
        <f>'Assets-Liab 5-6'!N22</f>
        <v>12711847</v>
      </c>
      <c r="D283" s="2" t="str">
        <f t="shared" si="3"/>
        <v>Error?</v>
      </c>
    </row>
    <row r="284" spans="1:4" x14ac:dyDescent="0.2">
      <c r="A284" s="5">
        <v>223</v>
      </c>
      <c r="B284" s="1832">
        <f>'Assets-Liab 5-6'!N23</f>
        <v>12835400</v>
      </c>
      <c r="C284" s="2" t="s">
        <v>569</v>
      </c>
      <c r="D284" s="2" t="str">
        <f t="shared" si="3"/>
        <v>Error?</v>
      </c>
    </row>
    <row r="285" spans="1:4" x14ac:dyDescent="0.2">
      <c r="A285" s="5">
        <v>224</v>
      </c>
      <c r="B285" s="1832">
        <f>'Assets-Liab 5-6'!N36</f>
        <v>12835400</v>
      </c>
      <c r="D285" s="2" t="str">
        <f t="shared" si="3"/>
        <v>Error?</v>
      </c>
    </row>
    <row r="286" spans="1:4" x14ac:dyDescent="0.2">
      <c r="A286" s="10">
        <v>225</v>
      </c>
      <c r="B286" s="1832"/>
      <c r="D286" s="2" t="str">
        <f t="shared" si="3"/>
        <v>OK</v>
      </c>
    </row>
    <row r="287" spans="1:4" x14ac:dyDescent="0.2">
      <c r="A287" s="5">
        <v>226</v>
      </c>
      <c r="B287" s="1832">
        <f>'Assets-Liab 5-6'!N37</f>
        <v>12835400</v>
      </c>
      <c r="C287" s="2" t="s">
        <v>569</v>
      </c>
      <c r="D287" s="2" t="str">
        <f t="shared" si="3"/>
        <v>Error?</v>
      </c>
    </row>
    <row r="288" spans="1:4" x14ac:dyDescent="0.2">
      <c r="A288" s="5">
        <v>227</v>
      </c>
      <c r="B288" s="1832">
        <f>'Assets-Liab 5-6'!N41</f>
        <v>12835400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1758777</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2484495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253459</v>
      </c>
      <c r="D717" s="2" t="str">
        <f t="shared" si="10"/>
        <v>Error?</v>
      </c>
    </row>
    <row r="718" spans="1:4" x14ac:dyDescent="0.2">
      <c r="A718" s="5">
        <v>657</v>
      </c>
      <c r="B718" s="1832">
        <f>'Expenditures 15-22'!C14</f>
        <v>225565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3571720</v>
      </c>
      <c r="C720" s="2" t="s">
        <v>569</v>
      </c>
      <c r="D720" s="2" t="str">
        <f t="shared" si="10"/>
        <v>Error?</v>
      </c>
    </row>
    <row r="721" spans="1:4" x14ac:dyDescent="0.2">
      <c r="A721" s="5">
        <v>660</v>
      </c>
      <c r="B721" s="1832">
        <f>'Expenditures 15-22'!C36</f>
        <v>2979</v>
      </c>
      <c r="D721" s="2" t="str">
        <f t="shared" si="10"/>
        <v>Error?</v>
      </c>
    </row>
    <row r="722" spans="1:4" x14ac:dyDescent="0.2">
      <c r="A722" s="5">
        <v>661</v>
      </c>
      <c r="B722" s="1832">
        <f>'Expenditures 15-22'!C37</f>
        <v>60540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67086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130605</v>
      </c>
      <c r="C727" s="2" t="s">
        <v>569</v>
      </c>
      <c r="D727" s="2" t="str">
        <f t="shared" si="10"/>
        <v>Error?</v>
      </c>
    </row>
    <row r="728" spans="1:4" x14ac:dyDescent="0.2">
      <c r="A728" s="5">
        <v>667</v>
      </c>
      <c r="B728" s="1832">
        <f>'Expenditures 15-22'!C44</f>
        <v>69510</v>
      </c>
      <c r="D728" s="2" t="str">
        <f t="shared" si="10"/>
        <v>Error?</v>
      </c>
    </row>
    <row r="729" spans="1:4" x14ac:dyDescent="0.2">
      <c r="A729" s="5">
        <v>668</v>
      </c>
      <c r="B729" s="1832">
        <f>'Expenditures 15-22'!C45</f>
        <v>109957</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179467</v>
      </c>
      <c r="C731" s="2" t="s">
        <v>569</v>
      </c>
      <c r="D731" s="2" t="str">
        <f t="shared" si="10"/>
        <v>Error?</v>
      </c>
    </row>
    <row r="732" spans="1:4" x14ac:dyDescent="0.2">
      <c r="A732" s="5">
        <v>671</v>
      </c>
      <c r="B732" s="1832">
        <f>'Expenditures 15-22'!C49</f>
        <v>3660</v>
      </c>
      <c r="D732" s="2" t="str">
        <f t="shared" si="10"/>
        <v>Error?</v>
      </c>
    </row>
    <row r="733" spans="1:4" x14ac:dyDescent="0.2">
      <c r="A733" s="5">
        <v>672</v>
      </c>
      <c r="B733" s="1832">
        <f>'Expenditures 15-22'!C50</f>
        <v>185584</v>
      </c>
      <c r="D733" s="2" t="str">
        <f t="shared" si="10"/>
        <v>Error?</v>
      </c>
    </row>
    <row r="734" spans="1:4" x14ac:dyDescent="0.2">
      <c r="A734" s="5">
        <v>673</v>
      </c>
      <c r="B734" s="1832">
        <f>'Expenditures 15-22'!C53</f>
        <v>250669</v>
      </c>
      <c r="C734" s="2" t="s">
        <v>569</v>
      </c>
      <c r="D734" s="2" t="str">
        <f t="shared" si="10"/>
        <v>Error?</v>
      </c>
    </row>
    <row r="735" spans="1:4" x14ac:dyDescent="0.2">
      <c r="A735" s="5">
        <v>674</v>
      </c>
      <c r="B735" s="1832">
        <f>'Expenditures 15-22'!C55</f>
        <v>335755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335755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38892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146211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185103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158660</v>
      </c>
      <c r="D754" s="2" t="str">
        <f t="shared" si="10"/>
        <v>Error?</v>
      </c>
    </row>
    <row r="755" spans="1:4" x14ac:dyDescent="0.2">
      <c r="A755" s="5">
        <v>694</v>
      </c>
      <c r="B755" s="1832">
        <f>'Expenditures 15-22'!C74</f>
        <v>1240259</v>
      </c>
      <c r="C755" s="2" t="s">
        <v>569</v>
      </c>
      <c r="D755" s="2" t="str">
        <f t="shared" si="10"/>
        <v>Error?</v>
      </c>
    </row>
    <row r="756" spans="1:4" x14ac:dyDescent="0.2">
      <c r="A756" s="5">
        <v>695</v>
      </c>
      <c r="B756" s="1832">
        <f>'Expenditures 15-22'!C75</f>
        <v>2565</v>
      </c>
      <c r="D756" s="2" t="str">
        <f t="shared" si="10"/>
        <v>Error?</v>
      </c>
    </row>
    <row r="757" spans="1:4" x14ac:dyDescent="0.2">
      <c r="A757" s="5">
        <v>696</v>
      </c>
      <c r="B757" s="1832">
        <f>'Expenditures 15-22'!C114</f>
        <v>4814544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340608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26757</v>
      </c>
      <c r="D775" s="2" t="str">
        <f t="shared" si="11"/>
        <v>Error?</v>
      </c>
    </row>
    <row r="776" spans="1:4" x14ac:dyDescent="0.2">
      <c r="A776" s="5">
        <v>715</v>
      </c>
      <c r="B776" s="1832">
        <f>'Expenditures 15-22'!D14</f>
        <v>12732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437210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9164</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862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10026</v>
      </c>
      <c r="C785" s="2" t="s">
        <v>569</v>
      </c>
      <c r="D785" s="2" t="str">
        <f t="shared" si="11"/>
        <v>Error?</v>
      </c>
    </row>
    <row r="786" spans="1:4" x14ac:dyDescent="0.2">
      <c r="A786" s="5">
        <v>725</v>
      </c>
      <c r="B786" s="1832">
        <f>'Expenditures 15-22'!D44</f>
        <v>4971</v>
      </c>
      <c r="D786" s="2" t="str">
        <f t="shared" si="11"/>
        <v>Error?</v>
      </c>
    </row>
    <row r="787" spans="1:4" x14ac:dyDescent="0.2">
      <c r="A787" s="5">
        <v>726</v>
      </c>
      <c r="B787" s="1832">
        <f>'Expenditures 15-22'!D45</f>
        <v>1300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6271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11319</v>
      </c>
      <c r="D791" s="2" t="str">
        <f t="shared" si="11"/>
        <v>Error?</v>
      </c>
    </row>
    <row r="792" spans="1:4" x14ac:dyDescent="0.2">
      <c r="A792" s="5">
        <v>731</v>
      </c>
      <c r="B792" s="1832">
        <f>'Expenditures 15-22'!D53</f>
        <v>11996</v>
      </c>
      <c r="C792" s="2" t="s">
        <v>569</v>
      </c>
      <c r="D792" s="2" t="str">
        <f t="shared" si="11"/>
        <v>Error?</v>
      </c>
    </row>
    <row r="793" spans="1:4" x14ac:dyDescent="0.2">
      <c r="A793" s="5">
        <v>732</v>
      </c>
      <c r="B793" s="1832">
        <f>'Expenditures 15-22'!D55</f>
        <v>41021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41021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17971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17992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12832</v>
      </c>
      <c r="D812" s="2" t="str">
        <f t="shared" si="11"/>
        <v>Error?</v>
      </c>
    </row>
    <row r="813" spans="1:4" x14ac:dyDescent="0.2">
      <c r="A813" s="5">
        <v>752</v>
      </c>
      <c r="B813" s="1832">
        <f>'Expenditures 15-22'!D74</f>
        <v>100138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537348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40926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2032</v>
      </c>
      <c r="D833" s="2" t="str">
        <f t="shared" si="12"/>
        <v>Error?</v>
      </c>
    </row>
    <row r="834" spans="1:4" x14ac:dyDescent="0.2">
      <c r="A834" s="5">
        <v>773</v>
      </c>
      <c r="B834" s="1832">
        <f>'Expenditures 15-22'!E14</f>
        <v>28711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144506</v>
      </c>
      <c r="C836" s="2" t="s">
        <v>569</v>
      </c>
      <c r="D836" s="2" t="str">
        <f t="shared" si="12"/>
        <v>Error?</v>
      </c>
    </row>
    <row r="837" spans="1:4" x14ac:dyDescent="0.2">
      <c r="A837" s="5">
        <v>776</v>
      </c>
      <c r="B837" s="1832">
        <f>'Expenditures 15-22'!E36</f>
        <v>598</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90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688</v>
      </c>
      <c r="C843" s="2" t="s">
        <v>569</v>
      </c>
      <c r="D843" s="2" t="str">
        <f t="shared" si="12"/>
        <v>Error?</v>
      </c>
    </row>
    <row r="844" spans="1:4" x14ac:dyDescent="0.2">
      <c r="A844" s="5">
        <v>783</v>
      </c>
      <c r="B844" s="1832">
        <f>'Expenditures 15-22'!E44</f>
        <v>35331</v>
      </c>
      <c r="D844" s="2" t="str">
        <f t="shared" si="12"/>
        <v>Error?</v>
      </c>
    </row>
    <row r="845" spans="1:4" x14ac:dyDescent="0.2">
      <c r="A845" s="5">
        <v>784</v>
      </c>
      <c r="B845" s="1832">
        <f>'Expenditures 15-22'!E45</f>
        <v>81107</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116438</v>
      </c>
      <c r="C847" s="2" t="s">
        <v>569</v>
      </c>
      <c r="D847" s="2" t="str">
        <f t="shared" si="12"/>
        <v>Error?</v>
      </c>
    </row>
    <row r="848" spans="1:4" x14ac:dyDescent="0.2">
      <c r="A848" s="5">
        <v>787</v>
      </c>
      <c r="B848" s="1832">
        <f>'Expenditures 15-22'!E49</f>
        <v>53875</v>
      </c>
      <c r="D848" s="2" t="str">
        <f t="shared" si="12"/>
        <v>Error?</v>
      </c>
    </row>
    <row r="849" spans="1:4" x14ac:dyDescent="0.2">
      <c r="A849" s="5">
        <v>788</v>
      </c>
      <c r="B849" s="1832">
        <f>'Expenditures 15-22'!E50</f>
        <v>3330</v>
      </c>
      <c r="D849" s="2" t="str">
        <f t="shared" si="12"/>
        <v>Error?</v>
      </c>
    </row>
    <row r="850" spans="1:4" x14ac:dyDescent="0.2">
      <c r="A850" s="5">
        <v>789</v>
      </c>
      <c r="B850" s="1832">
        <f>'Expenditures 15-22'!E53</f>
        <v>58405</v>
      </c>
      <c r="C850" s="2" t="s">
        <v>569</v>
      </c>
      <c r="D850" s="2" t="str">
        <f t="shared" si="12"/>
        <v>Error?</v>
      </c>
    </row>
    <row r="851" spans="1:4" x14ac:dyDescent="0.2">
      <c r="A851" s="5">
        <v>790</v>
      </c>
      <c r="B851" s="1832">
        <f>'Expenditures 15-22'!E55</f>
        <v>2779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2779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580</v>
      </c>
      <c r="D855" s="2" t="str">
        <f t="shared" si="12"/>
        <v>Error?</v>
      </c>
    </row>
    <row r="856" spans="1:4" x14ac:dyDescent="0.2">
      <c r="A856" s="5">
        <v>795</v>
      </c>
      <c r="B856" s="1832">
        <f>'Expenditures 15-22'!E61</f>
        <v>39144</v>
      </c>
      <c r="D856" s="2" t="str">
        <f t="shared" si="12"/>
        <v>Error?</v>
      </c>
    </row>
    <row r="857" spans="1:4" x14ac:dyDescent="0.2">
      <c r="A857" s="5">
        <v>796</v>
      </c>
      <c r="B857" s="1832">
        <f>'Expenditures 15-22'!E62</f>
        <v>2600</v>
      </c>
      <c r="D857" s="2" t="str">
        <f t="shared" si="12"/>
        <v>Error?</v>
      </c>
    </row>
    <row r="858" spans="1:4" x14ac:dyDescent="0.2">
      <c r="A858" s="5">
        <v>797</v>
      </c>
      <c r="B858" s="1832">
        <f>'Expenditures 15-22'!E63</f>
        <v>6941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49265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1514</v>
      </c>
      <c r="D870" s="2" t="str">
        <f t="shared" si="12"/>
        <v>Error?</v>
      </c>
    </row>
    <row r="871" spans="1:4" x14ac:dyDescent="0.2">
      <c r="A871" s="5">
        <v>810</v>
      </c>
      <c r="B871" s="1832">
        <f>'Expenditures 15-22'!E74</f>
        <v>229089</v>
      </c>
      <c r="C871" s="2" t="s">
        <v>569</v>
      </c>
      <c r="D871" s="2" t="str">
        <f t="shared" si="12"/>
        <v>Error?</v>
      </c>
    </row>
    <row r="872" spans="1:4" x14ac:dyDescent="0.2">
      <c r="A872" s="5">
        <v>811</v>
      </c>
      <c r="B872" s="1832">
        <f>'Expenditures 15-22'!E75</f>
        <v>122</v>
      </c>
      <c r="D872" s="2" t="str">
        <f t="shared" si="12"/>
        <v>Error?</v>
      </c>
    </row>
    <row r="873" spans="1:4" x14ac:dyDescent="0.2">
      <c r="A873" s="5">
        <v>812</v>
      </c>
      <c r="B873" s="1832">
        <f>'Expenditures 15-22'!E114</f>
        <v>415859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81550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12888</v>
      </c>
      <c r="D891" s="2" t="str">
        <f t="shared" si="12"/>
        <v>Error?</v>
      </c>
    </row>
    <row r="892" spans="1:4" x14ac:dyDescent="0.2">
      <c r="A892" s="5">
        <v>831</v>
      </c>
      <c r="B892" s="1832">
        <f>'Expenditures 15-22'!F14</f>
        <v>7619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162575</v>
      </c>
      <c r="C894" s="2" t="s">
        <v>569</v>
      </c>
      <c r="D894" s="2" t="str">
        <f t="shared" si="12"/>
        <v>Error?</v>
      </c>
    </row>
    <row r="895" spans="1:4" x14ac:dyDescent="0.2">
      <c r="A895" s="5">
        <v>834</v>
      </c>
      <c r="B895" s="1832">
        <f>'Expenditures 15-22'!F36</f>
        <v>160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1015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1175</v>
      </c>
      <c r="C901" s="2" t="s">
        <v>569</v>
      </c>
      <c r="D901" s="2" t="str">
        <f t="shared" si="13"/>
        <v>Error?</v>
      </c>
    </row>
    <row r="902" spans="1:4" x14ac:dyDescent="0.2">
      <c r="A902" s="5">
        <v>841</v>
      </c>
      <c r="B902" s="1832">
        <f>'Expenditures 15-22'!F44</f>
        <v>2407</v>
      </c>
      <c r="D902" s="2" t="str">
        <f t="shared" si="13"/>
        <v>Error?</v>
      </c>
    </row>
    <row r="903" spans="1:4" x14ac:dyDescent="0.2">
      <c r="A903" s="5">
        <v>842</v>
      </c>
      <c r="B903" s="1832">
        <f>'Expenditures 15-22'!F45</f>
        <v>95603</v>
      </c>
      <c r="D903" s="2" t="str">
        <f t="shared" si="13"/>
        <v>Error?</v>
      </c>
    </row>
    <row r="904" spans="1:4" x14ac:dyDescent="0.2">
      <c r="A904" s="5">
        <v>843</v>
      </c>
      <c r="B904" s="1832">
        <f>'Expenditures 15-22'!F46</f>
        <v>650</v>
      </c>
      <c r="D904" s="2" t="str">
        <f t="shared" si="13"/>
        <v>Error?</v>
      </c>
    </row>
    <row r="905" spans="1:4" x14ac:dyDescent="0.2">
      <c r="A905" s="5">
        <v>844</v>
      </c>
      <c r="B905" s="1832">
        <f>'Expenditures 15-22'!F47</f>
        <v>98660</v>
      </c>
      <c r="C905" s="2" t="s">
        <v>569</v>
      </c>
      <c r="D905" s="2" t="str">
        <f t="shared" si="13"/>
        <v>Error?</v>
      </c>
    </row>
    <row r="906" spans="1:4" x14ac:dyDescent="0.2">
      <c r="A906" s="5">
        <v>845</v>
      </c>
      <c r="B906" s="1832">
        <f>'Expenditures 15-22'!F49</f>
        <v>2433</v>
      </c>
      <c r="D906" s="2" t="str">
        <f t="shared" si="13"/>
        <v>Error?</v>
      </c>
    </row>
    <row r="907" spans="1:4" x14ac:dyDescent="0.2">
      <c r="A907" s="5">
        <v>846</v>
      </c>
      <c r="B907" s="1832">
        <f>'Expenditures 15-22'!F50</f>
        <v>575</v>
      </c>
      <c r="D907" s="2" t="str">
        <f t="shared" si="13"/>
        <v>Error?</v>
      </c>
    </row>
    <row r="908" spans="1:4" x14ac:dyDescent="0.2">
      <c r="A908" s="5">
        <v>847</v>
      </c>
      <c r="B908" s="1832">
        <f>'Expenditures 15-22'!F53</f>
        <v>3008</v>
      </c>
      <c r="C908" s="2" t="s">
        <v>569</v>
      </c>
      <c r="D908" s="2" t="str">
        <f t="shared" si="13"/>
        <v>Error?</v>
      </c>
    </row>
    <row r="909" spans="1:4" x14ac:dyDescent="0.2">
      <c r="A909" s="5">
        <v>848</v>
      </c>
      <c r="B909" s="1832">
        <f>'Expenditures 15-22'!F55</f>
        <v>1185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1185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335</v>
      </c>
      <c r="D913" s="2" t="str">
        <f t="shared" si="13"/>
        <v>Error?</v>
      </c>
    </row>
    <row r="914" spans="1:4" x14ac:dyDescent="0.2">
      <c r="A914" s="5">
        <v>853</v>
      </c>
      <c r="B914" s="1832">
        <f>'Expenditures 15-22'!F61</f>
        <v>118218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128149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246702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505</v>
      </c>
      <c r="D928" s="2" t="str">
        <f t="shared" si="13"/>
        <v>Error?</v>
      </c>
    </row>
    <row r="929" spans="1:4" x14ac:dyDescent="0.2">
      <c r="A929" s="5">
        <v>868</v>
      </c>
      <c r="B929" s="1832">
        <f>'Expenditures 15-22'!F74</f>
        <v>351235</v>
      </c>
      <c r="C929" s="2" t="s">
        <v>569</v>
      </c>
      <c r="D929" s="2" t="str">
        <f t="shared" si="13"/>
        <v>Error?</v>
      </c>
    </row>
    <row r="930" spans="1:4" x14ac:dyDescent="0.2">
      <c r="A930" s="5">
        <v>869</v>
      </c>
      <c r="B930" s="1832">
        <f>'Expenditures 15-22'!F75</f>
        <v>1063</v>
      </c>
      <c r="D930" s="2" t="str">
        <f t="shared" si="13"/>
        <v>Error?</v>
      </c>
    </row>
    <row r="931" spans="1:4" x14ac:dyDescent="0.2">
      <c r="A931" s="5">
        <v>870</v>
      </c>
      <c r="B931" s="1832">
        <f>'Expenditures 15-22'!F114</f>
        <v>514873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32446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1300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100918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100918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7532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10382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2850</v>
      </c>
      <c r="D1022" s="2" t="str">
        <f t="shared" si="14"/>
        <v>Error?</v>
      </c>
    </row>
    <row r="1023" spans="1:4" x14ac:dyDescent="0.2">
      <c r="A1023" s="5">
        <v>962</v>
      </c>
      <c r="B1023" s="1832">
        <f>'Expenditures 15-22'!H50</f>
        <v>369</v>
      </c>
      <c r="D1023" s="2" t="str">
        <f t="shared" ref="D1023:D1086" si="15">IF(ISBLANK(B1023),"OK",IF(A1023-B1023=0,"OK","Error?"))</f>
        <v>Error?</v>
      </c>
    </row>
    <row r="1024" spans="1:4" x14ac:dyDescent="0.2">
      <c r="A1024" s="5">
        <v>963</v>
      </c>
      <c r="B1024" s="1832">
        <f>'Expenditures 15-22'!H53</f>
        <v>3219</v>
      </c>
      <c r="C1024" s="2" t="s">
        <v>569</v>
      </c>
      <c r="D1024" s="2" t="str">
        <f t="shared" si="15"/>
        <v>Error?</v>
      </c>
    </row>
    <row r="1025" spans="1:4" x14ac:dyDescent="0.2">
      <c r="A1025" s="5">
        <v>964</v>
      </c>
      <c r="B1025" s="1832">
        <f>'Expenditures 15-22'!H55</f>
        <v>150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150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3369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389183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402934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1993</v>
      </c>
      <c r="E1056" s="4" t="s">
        <v>1992</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2980025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296436</v>
      </c>
      <c r="C1105" s="2" t="s">
        <v>569</v>
      </c>
      <c r="D1105" s="2" t="str">
        <f t="shared" si="16"/>
        <v>Error?</v>
      </c>
    </row>
    <row r="1106" spans="1:4" x14ac:dyDescent="0.2">
      <c r="A1106" s="5">
        <v>1045</v>
      </c>
      <c r="B1106" s="1832">
        <f>'Expenditures 15-22'!K14</f>
        <v>282159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4427311</v>
      </c>
      <c r="C1108" s="2" t="s">
        <v>569</v>
      </c>
      <c r="D1108" s="2" t="str">
        <f t="shared" si="16"/>
        <v>Error?</v>
      </c>
    </row>
    <row r="1109" spans="1:4" x14ac:dyDescent="0.2">
      <c r="A1109" s="5">
        <v>1048</v>
      </c>
      <c r="B1109" s="1832">
        <f>'Expenditures 15-22'!K36</f>
        <v>3737</v>
      </c>
      <c r="C1109" s="2" t="s">
        <v>569</v>
      </c>
      <c r="D1109" s="2" t="str">
        <f t="shared" si="16"/>
        <v>Error?</v>
      </c>
    </row>
    <row r="1110" spans="1:4" x14ac:dyDescent="0.2">
      <c r="A1110" s="5">
        <v>1049</v>
      </c>
      <c r="B1110" s="1832">
        <f>'Expenditures 15-22'!K37</f>
        <v>69704</v>
      </c>
      <c r="C1110" s="2" t="s">
        <v>569</v>
      </c>
      <c r="D1110" s="2" t="str">
        <f t="shared" si="16"/>
        <v>Error?</v>
      </c>
    </row>
    <row r="1111" spans="1:4" x14ac:dyDescent="0.2">
      <c r="A1111" s="5">
        <v>1050</v>
      </c>
      <c r="B1111" s="1832">
        <f>'Expenditures 15-22'!K38</f>
        <v>1105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67948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142494</v>
      </c>
      <c r="C1115" s="2" t="s">
        <v>569</v>
      </c>
      <c r="D1115" s="2" t="str">
        <f t="shared" si="16"/>
        <v>Error?</v>
      </c>
    </row>
    <row r="1116" spans="1:4" x14ac:dyDescent="0.2">
      <c r="A1116" s="5">
        <v>1055</v>
      </c>
      <c r="B1116" s="1832">
        <f>'Expenditures 15-22'!K44</f>
        <v>112219</v>
      </c>
      <c r="C1116" s="2" t="s">
        <v>569</v>
      </c>
      <c r="D1116" s="2" t="str">
        <f t="shared" si="16"/>
        <v>Error?</v>
      </c>
    </row>
    <row r="1117" spans="1:4" x14ac:dyDescent="0.2">
      <c r="A1117" s="5">
        <v>1056</v>
      </c>
      <c r="B1117" s="1832">
        <f>'Expenditures 15-22'!K45</f>
        <v>287967</v>
      </c>
      <c r="C1117" s="2" t="s">
        <v>569</v>
      </c>
      <c r="D1117" s="2" t="str">
        <f t="shared" si="16"/>
        <v>Error?</v>
      </c>
    </row>
    <row r="1118" spans="1:4" x14ac:dyDescent="0.2">
      <c r="A1118" s="5">
        <v>1057</v>
      </c>
      <c r="B1118" s="1832">
        <f>'Expenditures 15-22'!K46</f>
        <v>650</v>
      </c>
      <c r="C1118" s="2" t="s">
        <v>569</v>
      </c>
      <c r="D1118" s="2" t="str">
        <f t="shared" si="16"/>
        <v>Error?</v>
      </c>
    </row>
    <row r="1119" spans="1:4" x14ac:dyDescent="0.2">
      <c r="A1119" s="5">
        <v>1058</v>
      </c>
      <c r="B1119" s="1832">
        <f>'Expenditures 15-22'!K47</f>
        <v>400836</v>
      </c>
      <c r="C1119" s="2" t="s">
        <v>569</v>
      </c>
      <c r="D1119" s="2" t="str">
        <f t="shared" si="16"/>
        <v>Error?</v>
      </c>
    </row>
    <row r="1120" spans="1:4" x14ac:dyDescent="0.2">
      <c r="A1120" s="5">
        <v>1059</v>
      </c>
      <c r="B1120" s="1832">
        <f>'Expenditures 15-22'!K49</f>
        <v>62818</v>
      </c>
      <c r="C1120" s="2" t="s">
        <v>569</v>
      </c>
      <c r="D1120" s="2" t="str">
        <f t="shared" si="16"/>
        <v>Error?</v>
      </c>
    </row>
    <row r="1121" spans="1:4" x14ac:dyDescent="0.2">
      <c r="A1121" s="5">
        <v>1060</v>
      </c>
      <c r="B1121" s="1832">
        <f>'Expenditures 15-22'!K50</f>
        <v>201177</v>
      </c>
      <c r="C1121" s="2" t="s">
        <v>569</v>
      </c>
      <c r="D1121" s="2" t="str">
        <f t="shared" si="16"/>
        <v>Error?</v>
      </c>
    </row>
    <row r="1122" spans="1:4" x14ac:dyDescent="0.2">
      <c r="A1122" s="5">
        <v>1061</v>
      </c>
      <c r="B1122" s="1832">
        <f>'Expenditures 15-22'!K53</f>
        <v>327297</v>
      </c>
      <c r="C1122" s="2" t="s">
        <v>569</v>
      </c>
      <c r="D1122" s="2" t="str">
        <f t="shared" si="16"/>
        <v>Error?</v>
      </c>
    </row>
    <row r="1123" spans="1:4" x14ac:dyDescent="0.2">
      <c r="A1123" s="5">
        <v>1062</v>
      </c>
      <c r="B1123" s="1832">
        <f>'Expenditures 15-22'!K55</f>
        <v>380890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380890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39828</v>
      </c>
      <c r="C1127" s="2" t="s">
        <v>569</v>
      </c>
      <c r="D1127" s="2" t="str">
        <f t="shared" si="16"/>
        <v>Error?</v>
      </c>
    </row>
    <row r="1128" spans="1:4" x14ac:dyDescent="0.2">
      <c r="A1128" s="5">
        <v>1067</v>
      </c>
      <c r="B1128" s="1832">
        <f>'Expenditures 15-22'!K61</f>
        <v>157362</v>
      </c>
      <c r="C1128" s="2" t="s">
        <v>569</v>
      </c>
      <c r="D1128" s="2" t="str">
        <f t="shared" si="16"/>
        <v>Error?</v>
      </c>
    </row>
    <row r="1129" spans="1:4" x14ac:dyDescent="0.2">
      <c r="A1129" s="5">
        <v>1068</v>
      </c>
      <c r="B1129" s="1832">
        <f>'Expenditures 15-22'!K62</f>
        <v>2600</v>
      </c>
      <c r="C1129" s="2" t="s">
        <v>569</v>
      </c>
      <c r="D1129" s="2" t="str">
        <f t="shared" si="16"/>
        <v>Error?</v>
      </c>
    </row>
    <row r="1130" spans="1:4" x14ac:dyDescent="0.2">
      <c r="A1130" s="5">
        <v>1069</v>
      </c>
      <c r="B1130" s="1832">
        <f>'Expenditures 15-22'!K63</f>
        <v>299272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499062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173511</v>
      </c>
      <c r="C1142" s="2" t="s">
        <v>569</v>
      </c>
      <c r="D1142" s="2" t="str">
        <f t="shared" si="16"/>
        <v>Error?</v>
      </c>
    </row>
    <row r="1143" spans="1:4" x14ac:dyDescent="0.2">
      <c r="A1143" s="5">
        <v>1082</v>
      </c>
      <c r="B1143" s="1832">
        <f>'Expenditures 15-22'!K74</f>
        <v>1924090</v>
      </c>
      <c r="C1143" s="2" t="s">
        <v>569</v>
      </c>
      <c r="D1143" s="2" t="str">
        <f t="shared" si="16"/>
        <v>Error?</v>
      </c>
    </row>
    <row r="1144" spans="1:4" x14ac:dyDescent="0.2">
      <c r="A1144" s="5">
        <v>1083</v>
      </c>
      <c r="B1144" s="1832">
        <f>'Expenditures 15-22'!K75</f>
        <v>3750</v>
      </c>
      <c r="C1144" s="2" t="s">
        <v>569</v>
      </c>
      <c r="D1144" s="2" t="str">
        <f t="shared" si="16"/>
        <v>Error?</v>
      </c>
    </row>
    <row r="1145" spans="1:4" x14ac:dyDescent="0.2">
      <c r="A1145" s="5">
        <v>1084</v>
      </c>
      <c r="B1145" s="1832">
        <f>'Expenditures 15-22'!K102</f>
        <v>431325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6786476</v>
      </c>
      <c r="C1152" s="2" t="s">
        <v>569</v>
      </c>
      <c r="D1152" s="2" t="str">
        <f t="shared" si="17"/>
        <v>Error?</v>
      </c>
    </row>
    <row r="1153" spans="1:4" x14ac:dyDescent="0.2">
      <c r="A1153" s="5">
        <v>1092</v>
      </c>
      <c r="B1153" s="1832">
        <f>'Expenditures 15-22'!K115</f>
        <v>-1101366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266002</v>
      </c>
      <c r="D1221" s="2" t="str">
        <f t="shared" si="18"/>
        <v>Error?</v>
      </c>
    </row>
    <row r="1222" spans="1:4" x14ac:dyDescent="0.2">
      <c r="A1222" s="10">
        <v>1161</v>
      </c>
      <c r="B1222" s="1832"/>
      <c r="D1222" s="2" t="str">
        <f t="shared" si="18"/>
        <v>OK</v>
      </c>
    </row>
    <row r="1223" spans="1:4" x14ac:dyDescent="0.2">
      <c r="A1223" s="5">
        <v>1162</v>
      </c>
      <c r="B1223" s="1832">
        <f>'Expenditures 15-22'!C127</f>
        <v>266002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266002</v>
      </c>
      <c r="C1225" s="2" t="s">
        <v>569</v>
      </c>
      <c r="D1225" s="2" t="str">
        <f t="shared" si="18"/>
        <v>Error?</v>
      </c>
    </row>
    <row r="1226" spans="1:4" x14ac:dyDescent="0.2">
      <c r="A1226" s="5">
        <v>1165</v>
      </c>
      <c r="B1226" s="1832">
        <f>'Expenditures 15-22'!C151</f>
        <v>266002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47929</v>
      </c>
      <c r="D1229" s="2" t="str">
        <f t="shared" si="18"/>
        <v>Error?</v>
      </c>
    </row>
    <row r="1230" spans="1:4" x14ac:dyDescent="0.2">
      <c r="A1230" s="10">
        <v>1169</v>
      </c>
      <c r="B1230" s="1832"/>
      <c r="D1230" s="2" t="str">
        <f t="shared" si="18"/>
        <v>OK</v>
      </c>
    </row>
    <row r="1231" spans="1:4" x14ac:dyDescent="0.2">
      <c r="A1231" s="5">
        <v>1170</v>
      </c>
      <c r="B1231" s="1832">
        <f>'Expenditures 15-22'!D127</f>
        <v>47929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47929</v>
      </c>
      <c r="C1233" s="2" t="s">
        <v>569</v>
      </c>
      <c r="D1233" s="2" t="str">
        <f t="shared" si="18"/>
        <v>Error?</v>
      </c>
    </row>
    <row r="1234" spans="1:4" x14ac:dyDescent="0.2">
      <c r="A1234" s="5">
        <v>1173</v>
      </c>
      <c r="B1234" s="1832">
        <f>'Expenditures 15-22'!D151</f>
        <v>47929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63528</v>
      </c>
      <c r="D1237" s="2" t="str">
        <f t="shared" si="18"/>
        <v>Error?</v>
      </c>
    </row>
    <row r="1238" spans="1:4" x14ac:dyDescent="0.2">
      <c r="A1238" s="10">
        <v>1177</v>
      </c>
      <c r="B1238" s="1832"/>
      <c r="D1238" s="2" t="str">
        <f t="shared" si="18"/>
        <v>OK</v>
      </c>
    </row>
    <row r="1239" spans="1:4" x14ac:dyDescent="0.2">
      <c r="A1239" s="5">
        <v>1178</v>
      </c>
      <c r="B1239" s="1832">
        <f>'Expenditures 15-22'!E127</f>
        <v>63528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63528</v>
      </c>
      <c r="C1241" s="2" t="s">
        <v>569</v>
      </c>
      <c r="D1241" s="2" t="str">
        <f t="shared" si="18"/>
        <v>Error?</v>
      </c>
    </row>
    <row r="1242" spans="1:4" x14ac:dyDescent="0.2">
      <c r="A1242" s="5">
        <v>1181</v>
      </c>
      <c r="B1242" s="1832">
        <f>'Expenditures 15-22'!E151</f>
        <v>63528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89084</v>
      </c>
      <c r="D1245" s="2" t="str">
        <f t="shared" si="18"/>
        <v>Error?</v>
      </c>
    </row>
    <row r="1246" spans="1:4" x14ac:dyDescent="0.2">
      <c r="A1246" s="10">
        <v>1185</v>
      </c>
      <c r="B1246" s="1832"/>
      <c r="D1246" s="2" t="str">
        <f t="shared" si="18"/>
        <v>OK</v>
      </c>
    </row>
    <row r="1247" spans="1:4" x14ac:dyDescent="0.2">
      <c r="A1247" s="5">
        <v>1186</v>
      </c>
      <c r="B1247" s="1832">
        <f>'Expenditures 15-22'!F127</f>
        <v>89084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89084</v>
      </c>
      <c r="C1249" s="2" t="s">
        <v>569</v>
      </c>
      <c r="D1249" s="2" t="str">
        <f t="shared" si="18"/>
        <v>Error?</v>
      </c>
    </row>
    <row r="1250" spans="1:4" x14ac:dyDescent="0.2">
      <c r="A1250" s="5">
        <v>1189</v>
      </c>
      <c r="B1250" s="1832">
        <f>'Expenditures 15-22'!F151</f>
        <v>89084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15065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15065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15065</v>
      </c>
      <c r="C1258" s="2" t="s">
        <v>569</v>
      </c>
      <c r="D1258" s="2" t="str">
        <f t="shared" si="18"/>
        <v>Error?</v>
      </c>
    </row>
    <row r="1259" spans="1:4" x14ac:dyDescent="0.2">
      <c r="A1259" s="5">
        <v>1198</v>
      </c>
      <c r="B1259" s="1832">
        <f>'Expenditures 15-22'!G151</f>
        <v>15065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481608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481608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481608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481608</v>
      </c>
      <c r="C1288" s="2" t="s">
        <v>569</v>
      </c>
      <c r="D1288" s="2" t="str">
        <f t="shared" si="19"/>
        <v>Error?</v>
      </c>
    </row>
    <row r="1289" spans="1:4" x14ac:dyDescent="0.2">
      <c r="A1289" s="5">
        <v>1228</v>
      </c>
      <c r="B1289" s="1832">
        <f>'Expenditures 15-22'!K152</f>
        <v>-167109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26673</v>
      </c>
      <c r="D1307" s="2" t="str">
        <f t="shared" si="19"/>
        <v>Error?</v>
      </c>
    </row>
    <row r="1308" spans="1:4" x14ac:dyDescent="0.2">
      <c r="A1308" s="5">
        <v>1247</v>
      </c>
      <c r="B1308" s="1832">
        <f>'Expenditures 15-22'!E172</f>
        <v>26673</v>
      </c>
      <c r="C1308" s="2" t="s">
        <v>569</v>
      </c>
      <c r="D1308" s="2" t="str">
        <f t="shared" si="19"/>
        <v>Error?</v>
      </c>
    </row>
    <row r="1309" spans="1:4" x14ac:dyDescent="0.2">
      <c r="A1309" s="5">
        <v>1248</v>
      </c>
      <c r="B1309" s="1832">
        <f>'Expenditures 15-22'!E174</f>
        <v>26673</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426574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475000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901574</v>
      </c>
      <c r="C1317" s="2" t="s">
        <v>569</v>
      </c>
      <c r="D1317" s="2" t="str">
        <f t="shared" si="19"/>
        <v>Error?</v>
      </c>
    </row>
    <row r="1318" spans="1:4" x14ac:dyDescent="0.2">
      <c r="A1318" s="5">
        <v>1257</v>
      </c>
      <c r="B1318" s="1832">
        <f>'Expenditures 15-22'!H174</f>
        <v>901574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426574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475000</v>
      </c>
      <c r="C1329" s="2" t="s">
        <v>569</v>
      </c>
      <c r="D1329" s="2" t="str">
        <f t="shared" si="19"/>
        <v>Error?</v>
      </c>
    </row>
    <row r="1330" spans="1:4" x14ac:dyDescent="0.2">
      <c r="A1330" s="5">
        <v>1269</v>
      </c>
      <c r="B1330" s="1832">
        <f>'Expenditures 15-22'!K171</f>
        <v>26673</v>
      </c>
      <c r="C1330" s="2" t="s">
        <v>569</v>
      </c>
      <c r="D1330" s="2" t="str">
        <f t="shared" si="19"/>
        <v>Error?</v>
      </c>
    </row>
    <row r="1331" spans="1:4" x14ac:dyDescent="0.2">
      <c r="A1331" s="5">
        <v>1270</v>
      </c>
      <c r="B1331" s="1832">
        <f>'Expenditures 15-22'!K172</f>
        <v>928247</v>
      </c>
      <c r="C1331" s="2" t="s">
        <v>569</v>
      </c>
      <c r="D1331" s="2" t="str">
        <f t="shared" si="19"/>
        <v>Error?</v>
      </c>
    </row>
    <row r="1332" spans="1:4" x14ac:dyDescent="0.2">
      <c r="A1332" s="5">
        <v>1271</v>
      </c>
      <c r="B1332" s="1832">
        <f>'Expenditures 15-22'!K174</f>
        <v>928247</v>
      </c>
      <c r="C1332" s="2" t="s">
        <v>569</v>
      </c>
      <c r="D1332" s="2" t="str">
        <f t="shared" si="19"/>
        <v>Error?</v>
      </c>
    </row>
    <row r="1333" spans="1:4" x14ac:dyDescent="0.2">
      <c r="A1333" s="5">
        <v>1272</v>
      </c>
      <c r="B1333" s="1832">
        <f>'Expenditures 15-22'!K175</f>
        <v>-341684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191931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191931</v>
      </c>
      <c r="C1339" s="2" t="s">
        <v>569</v>
      </c>
      <c r="D1339" s="2" t="str">
        <f t="shared" si="19"/>
        <v>Error?</v>
      </c>
    </row>
    <row r="1340" spans="1:4" x14ac:dyDescent="0.2">
      <c r="A1340" s="5">
        <v>1279</v>
      </c>
      <c r="B1340" s="1832">
        <f>'Expenditures 15-22'!C210</f>
        <v>191931</v>
      </c>
      <c r="C1340" s="2" t="s">
        <v>569</v>
      </c>
      <c r="D1340" s="2" t="str">
        <f t="shared" si="19"/>
        <v>Error?</v>
      </c>
    </row>
    <row r="1341" spans="1:4" x14ac:dyDescent="0.2">
      <c r="A1341" s="5">
        <v>1280</v>
      </c>
      <c r="B1341" s="1832">
        <f>'Expenditures 15-22'!D182</f>
        <v>14562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14562</v>
      </c>
      <c r="C1345" s="2" t="s">
        <v>569</v>
      </c>
      <c r="D1345" s="2" t="str">
        <f t="shared" si="20"/>
        <v>Error?</v>
      </c>
    </row>
    <row r="1346" spans="1:4" x14ac:dyDescent="0.2">
      <c r="A1346" s="5">
        <v>1285</v>
      </c>
      <c r="B1346" s="1832">
        <f>'Expenditures 15-22'!D210</f>
        <v>14562</v>
      </c>
      <c r="C1346" s="2" t="s">
        <v>569</v>
      </c>
      <c r="D1346" s="2" t="str">
        <f t="shared" si="20"/>
        <v>Error?</v>
      </c>
    </row>
    <row r="1347" spans="1:4" x14ac:dyDescent="0.2">
      <c r="A1347" s="5">
        <v>1286</v>
      </c>
      <c r="B1347" s="1832">
        <f>'Expenditures 15-22'!E182</f>
        <v>139965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139965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139965</v>
      </c>
      <c r="C1353" s="2" t="s">
        <v>569</v>
      </c>
      <c r="D1353" s="2" t="str">
        <f t="shared" si="20"/>
        <v>Error?</v>
      </c>
    </row>
    <row r="1354" spans="1:4" x14ac:dyDescent="0.2">
      <c r="A1354" s="5">
        <v>1293</v>
      </c>
      <c r="B1354" s="1832">
        <f>'Expenditures 15-22'!F182</f>
        <v>52730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52730</v>
      </c>
      <c r="C1358" s="2" t="s">
        <v>569</v>
      </c>
      <c r="D1358" s="2" t="str">
        <f t="shared" si="20"/>
        <v>Error?</v>
      </c>
    </row>
    <row r="1359" spans="1:4" x14ac:dyDescent="0.2">
      <c r="A1359" s="5">
        <v>1298</v>
      </c>
      <c r="B1359" s="1832">
        <f>'Expenditures 15-22'!F210</f>
        <v>52730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399188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399188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399188</v>
      </c>
      <c r="C1388" s="2" t="s">
        <v>569</v>
      </c>
      <c r="D1388" s="2" t="str">
        <f t="shared" si="20"/>
        <v>Error?</v>
      </c>
    </row>
    <row r="1389" spans="1:4" x14ac:dyDescent="0.2">
      <c r="A1389" s="5">
        <v>1328</v>
      </c>
      <c r="B1389" s="1832">
        <f>'Expenditures 15-22'!K211</f>
        <v>-78925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3567</v>
      </c>
      <c r="D1407" s="2" t="str">
        <f t="shared" ref="D1407:D1470" si="21">IF(ISBLANK(B1407),"OK",IF(A1407-B1407=0,"OK","Error?"))</f>
        <v>Error?</v>
      </c>
    </row>
    <row r="1408" spans="1:4" x14ac:dyDescent="0.2">
      <c r="A1408" s="5">
        <v>1347</v>
      </c>
      <c r="B1408" s="1832">
        <f>'Expenditures 15-22'!D223</f>
        <v>6496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107002</v>
      </c>
      <c r="C1410" s="2" t="s">
        <v>569</v>
      </c>
      <c r="D1410" s="2" t="str">
        <f t="shared" si="21"/>
        <v>Error?</v>
      </c>
    </row>
    <row r="1411" spans="1:4" x14ac:dyDescent="0.2">
      <c r="A1411" s="5">
        <v>1350</v>
      </c>
      <c r="B1411" s="1832">
        <f>'Expenditures 15-22'!D232</f>
        <v>249</v>
      </c>
      <c r="D1411" s="2" t="str">
        <f t="shared" si="21"/>
        <v>Error?</v>
      </c>
    </row>
    <row r="1412" spans="1:4" x14ac:dyDescent="0.2">
      <c r="A1412" s="5">
        <v>1351</v>
      </c>
      <c r="B1412" s="1832">
        <f>'Expenditures 15-22'!D233</f>
        <v>827</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906</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1982</v>
      </c>
      <c r="C1417" s="2" t="s">
        <v>569</v>
      </c>
      <c r="D1417" s="2" t="str">
        <f t="shared" si="21"/>
        <v>Error?</v>
      </c>
    </row>
    <row r="1418" spans="1:4" x14ac:dyDescent="0.2">
      <c r="A1418" s="5">
        <v>1357</v>
      </c>
      <c r="B1418" s="1832">
        <f>'Expenditures 15-22'!D240</f>
        <v>801</v>
      </c>
      <c r="D1418" s="2" t="str">
        <f t="shared" si="21"/>
        <v>Error?</v>
      </c>
    </row>
    <row r="1419" spans="1:4" x14ac:dyDescent="0.2">
      <c r="A1419" s="5">
        <v>1358</v>
      </c>
      <c r="B1419" s="1832">
        <f>'Expenditures 15-22'!D241</f>
        <v>14561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15362</v>
      </c>
      <c r="C1421" s="2" t="s">
        <v>569</v>
      </c>
      <c r="D1421" s="2" t="str">
        <f t="shared" si="21"/>
        <v>Error?</v>
      </c>
    </row>
    <row r="1422" spans="1:4" x14ac:dyDescent="0.2">
      <c r="A1422" s="5">
        <v>1361</v>
      </c>
      <c r="B1422" s="1832">
        <f>'Expenditures 15-22'!D245</f>
        <v>280</v>
      </c>
      <c r="D1422" s="2" t="str">
        <f t="shared" si="21"/>
        <v>Error?</v>
      </c>
    </row>
    <row r="1423" spans="1:4" x14ac:dyDescent="0.2">
      <c r="A1423" s="5">
        <v>1362</v>
      </c>
      <c r="B1423" s="1832">
        <f>'Expenditures 15-22'!D246</f>
        <v>7984</v>
      </c>
      <c r="D1423" s="2" t="str">
        <f t="shared" si="21"/>
        <v>Error?</v>
      </c>
    </row>
    <row r="1424" spans="1:4" x14ac:dyDescent="0.2">
      <c r="A1424" s="5">
        <v>1363</v>
      </c>
      <c r="B1424" s="1832">
        <f>'Expenditures 15-22'!D257</f>
        <v>13861</v>
      </c>
      <c r="C1424" s="2" t="s">
        <v>569</v>
      </c>
      <c r="D1424" s="2" t="str">
        <f t="shared" si="21"/>
        <v>Error?</v>
      </c>
    </row>
    <row r="1425" spans="1:4" x14ac:dyDescent="0.2">
      <c r="A1425" s="5">
        <v>1364</v>
      </c>
      <c r="B1425" s="1832">
        <f>'Expenditures 15-22'!D259</f>
        <v>14185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14185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5867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40091</v>
      </c>
      <c r="D1431" s="2" t="str">
        <f t="shared" si="21"/>
        <v>Error?</v>
      </c>
    </row>
    <row r="1432" spans="1:4" x14ac:dyDescent="0.2">
      <c r="A1432" s="5">
        <v>1371</v>
      </c>
      <c r="B1432" s="1832">
        <f>'Expenditures 15-22'!D267</f>
        <v>22966</v>
      </c>
      <c r="D1432" s="2" t="str">
        <f t="shared" si="21"/>
        <v>Error?</v>
      </c>
    </row>
    <row r="1433" spans="1:4" x14ac:dyDescent="0.2">
      <c r="A1433" s="5">
        <v>1372</v>
      </c>
      <c r="B1433" s="1832">
        <f>'Expenditures 15-22'!D268</f>
        <v>23004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91928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23136</v>
      </c>
      <c r="D1445" s="2" t="str">
        <f t="shared" si="21"/>
        <v>Error?</v>
      </c>
    </row>
    <row r="1446" spans="1:4" x14ac:dyDescent="0.2">
      <c r="A1446" s="5">
        <v>1385</v>
      </c>
      <c r="B1446" s="1832">
        <f>'Expenditures 15-22'!D279</f>
        <v>160454</v>
      </c>
      <c r="C1446" s="2" t="s">
        <v>569</v>
      </c>
      <c r="D1446" s="2" t="str">
        <f t="shared" si="21"/>
        <v>Error?</v>
      </c>
    </row>
    <row r="1447" spans="1:4" x14ac:dyDescent="0.2">
      <c r="A1447" s="5">
        <v>1386</v>
      </c>
      <c r="B1447" s="1832">
        <f>'Expenditures 15-22'!D280</f>
        <v>196</v>
      </c>
      <c r="D1447" s="2" t="str">
        <f t="shared" si="21"/>
        <v>Error?</v>
      </c>
    </row>
    <row r="1448" spans="1:4" x14ac:dyDescent="0.2">
      <c r="A1448" s="5">
        <v>1387</v>
      </c>
      <c r="B1448" s="1832">
        <f>'Expenditures 15-22'!D295</f>
        <v>267652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3567</v>
      </c>
      <c r="C1471" s="2" t="s">
        <v>569</v>
      </c>
      <c r="D1471" s="2" t="str">
        <f t="shared" ref="D1471:D1534" si="22">IF(ISBLANK(B1471),"OK",IF(A1471-B1471=0,"OK","Error?"))</f>
        <v>Error?</v>
      </c>
    </row>
    <row r="1472" spans="1:4" x14ac:dyDescent="0.2">
      <c r="A1472" s="5">
        <v>1411</v>
      </c>
      <c r="B1472" s="1832">
        <f>'Expenditures 15-22'!K223</f>
        <v>6496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107002</v>
      </c>
      <c r="C1474" s="2" t="s">
        <v>569</v>
      </c>
      <c r="D1474" s="2" t="str">
        <f t="shared" si="22"/>
        <v>Error?</v>
      </c>
    </row>
    <row r="1475" spans="1:4" x14ac:dyDescent="0.2">
      <c r="A1475" s="5">
        <v>1414</v>
      </c>
      <c r="B1475" s="1832">
        <f>'Expenditures 15-22'!K232</f>
        <v>249</v>
      </c>
      <c r="C1475" s="2" t="s">
        <v>569</v>
      </c>
      <c r="D1475" s="2" t="str">
        <f t="shared" si="22"/>
        <v>Error?</v>
      </c>
    </row>
    <row r="1476" spans="1:4" x14ac:dyDescent="0.2">
      <c r="A1476" s="5">
        <v>1415</v>
      </c>
      <c r="B1476" s="1832">
        <f>'Expenditures 15-22'!K233</f>
        <v>827</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906</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1982</v>
      </c>
      <c r="C1481" s="2" t="s">
        <v>569</v>
      </c>
      <c r="D1481" s="2" t="str">
        <f t="shared" si="22"/>
        <v>Error?</v>
      </c>
    </row>
    <row r="1482" spans="1:4" x14ac:dyDescent="0.2">
      <c r="A1482" s="5">
        <v>1421</v>
      </c>
      <c r="B1482" s="1832">
        <f>'Expenditures 15-22'!K240</f>
        <v>801</v>
      </c>
      <c r="C1482" s="2" t="s">
        <v>569</v>
      </c>
      <c r="D1482" s="2" t="str">
        <f t="shared" si="22"/>
        <v>Error?</v>
      </c>
    </row>
    <row r="1483" spans="1:4" x14ac:dyDescent="0.2">
      <c r="A1483" s="5">
        <v>1422</v>
      </c>
      <c r="B1483" s="1832">
        <f>'Expenditures 15-22'!K241</f>
        <v>14561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15362</v>
      </c>
      <c r="C1485" s="2" t="s">
        <v>569</v>
      </c>
      <c r="D1485" s="2" t="str">
        <f t="shared" si="22"/>
        <v>Error?</v>
      </c>
    </row>
    <row r="1486" spans="1:4" x14ac:dyDescent="0.2">
      <c r="A1486" s="5">
        <v>1425</v>
      </c>
      <c r="B1486" s="1832">
        <f>'Expenditures 15-22'!K245</f>
        <v>280</v>
      </c>
      <c r="C1486" s="2" t="s">
        <v>569</v>
      </c>
      <c r="D1486" s="2" t="str">
        <f t="shared" si="22"/>
        <v>Error?</v>
      </c>
    </row>
    <row r="1487" spans="1:4" x14ac:dyDescent="0.2">
      <c r="A1487" s="5">
        <v>1426</v>
      </c>
      <c r="B1487" s="1832">
        <f>'Expenditures 15-22'!K246</f>
        <v>7984</v>
      </c>
      <c r="C1487" s="2" t="s">
        <v>569</v>
      </c>
      <c r="D1487" s="2" t="str">
        <f t="shared" si="22"/>
        <v>Error?</v>
      </c>
    </row>
    <row r="1488" spans="1:4" x14ac:dyDescent="0.2">
      <c r="A1488" s="5">
        <v>1427</v>
      </c>
      <c r="B1488" s="1832">
        <f>'Expenditures 15-22'!K257</f>
        <v>13861</v>
      </c>
      <c r="C1488" s="2" t="s">
        <v>569</v>
      </c>
      <c r="D1488" s="2" t="str">
        <f t="shared" si="22"/>
        <v>Error?</v>
      </c>
    </row>
    <row r="1489" spans="1:4" x14ac:dyDescent="0.2">
      <c r="A1489" s="5">
        <v>1428</v>
      </c>
      <c r="B1489" s="1832">
        <f>'Expenditures 15-22'!K259</f>
        <v>14185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14185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5867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40091</v>
      </c>
      <c r="C1495" s="2" t="s">
        <v>569</v>
      </c>
      <c r="D1495" s="2" t="str">
        <f t="shared" si="22"/>
        <v>Error?</v>
      </c>
    </row>
    <row r="1496" spans="1:4" x14ac:dyDescent="0.2">
      <c r="A1496" s="5">
        <v>1435</v>
      </c>
      <c r="B1496" s="1832">
        <f>'Expenditures 15-22'!K267</f>
        <v>22966</v>
      </c>
      <c r="C1496" s="2" t="s">
        <v>569</v>
      </c>
      <c r="D1496" s="2" t="str">
        <f t="shared" si="22"/>
        <v>Error?</v>
      </c>
    </row>
    <row r="1497" spans="1:4" x14ac:dyDescent="0.2">
      <c r="A1497" s="5">
        <v>1436</v>
      </c>
      <c r="B1497" s="1832">
        <f>'Expenditures 15-22'!K268</f>
        <v>23004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91928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23136</v>
      </c>
      <c r="C1509" s="2" t="s">
        <v>569</v>
      </c>
      <c r="D1509" s="2" t="str">
        <f t="shared" si="22"/>
        <v>Error?</v>
      </c>
    </row>
    <row r="1510" spans="1:4" x14ac:dyDescent="0.2">
      <c r="A1510" s="5">
        <v>1449</v>
      </c>
      <c r="B1510" s="1832">
        <f>'Expenditures 15-22'!K279</f>
        <v>160454</v>
      </c>
      <c r="C1510" s="2" t="s">
        <v>569</v>
      </c>
      <c r="D1510" s="2" t="str">
        <f t="shared" si="22"/>
        <v>Error?</v>
      </c>
    </row>
    <row r="1511" spans="1:4" x14ac:dyDescent="0.2">
      <c r="A1511" s="5">
        <v>1450</v>
      </c>
      <c r="B1511" s="1832">
        <f>'Expenditures 15-22'!K280</f>
        <v>196</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267652</v>
      </c>
      <c r="C1517" s="2" t="s">
        <v>569</v>
      </c>
      <c r="D1517" s="2" t="str">
        <f t="shared" si="22"/>
        <v>Error?</v>
      </c>
    </row>
    <row r="1518" spans="1:4" x14ac:dyDescent="0.2">
      <c r="A1518" s="5">
        <v>1457</v>
      </c>
      <c r="B1518" s="1832">
        <f>'Expenditures 15-22'!K296</f>
        <v>-86394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13095</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13095</v>
      </c>
      <c r="C1535" s="2" t="s">
        <v>569</v>
      </c>
      <c r="D1535" s="2" t="str">
        <f t="shared" ref="D1535:D1598" si="23">IF(ISBLANK(B1535),"OK",IF(A1535-B1535=0,"OK","Error?"))</f>
        <v>Error?</v>
      </c>
    </row>
    <row r="1536" spans="1:4" x14ac:dyDescent="0.2">
      <c r="A1536" s="5">
        <v>1475</v>
      </c>
      <c r="B1536" s="1832">
        <f>'Expenditures 15-22'!E312</f>
        <v>13095</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2554502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2554502</v>
      </c>
      <c r="C1547" s="2" t="s">
        <v>569</v>
      </c>
      <c r="D1547" s="2" t="str">
        <f t="shared" si="23"/>
        <v>Error?</v>
      </c>
    </row>
    <row r="1548" spans="1:4" x14ac:dyDescent="0.2">
      <c r="A1548" s="5">
        <v>1487</v>
      </c>
      <c r="B1548" s="1832">
        <f>'Expenditures 15-22'!G312</f>
        <v>2554502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2567597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2567597</v>
      </c>
      <c r="C1559" s="2" t="s">
        <v>569</v>
      </c>
      <c r="D1559" s="2" t="str">
        <f t="shared" si="23"/>
        <v>Error?</v>
      </c>
    </row>
    <row r="1560" spans="1:4" x14ac:dyDescent="0.2">
      <c r="A1560" s="5">
        <v>1499</v>
      </c>
      <c r="B1560" s="1832">
        <f>'Expenditures 15-22'!K312</f>
        <v>2567597</v>
      </c>
      <c r="C1560" s="2" t="s">
        <v>569</v>
      </c>
      <c r="D1560" s="2" t="str">
        <f t="shared" si="23"/>
        <v>Error?</v>
      </c>
    </row>
    <row r="1561" spans="1:4" x14ac:dyDescent="0.2">
      <c r="A1561" s="5">
        <v>1500</v>
      </c>
      <c r="B1561" s="1832">
        <f>'Expenditures 15-22'!K313</f>
        <v>-2440238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2594148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1892782</v>
      </c>
      <c r="C1630" s="2" t="s">
        <v>569</v>
      </c>
      <c r="D1630" s="2" t="str">
        <f t="shared" si="24"/>
        <v>Error?</v>
      </c>
    </row>
    <row r="1631" spans="1:4" x14ac:dyDescent="0.2">
      <c r="A1631" s="5">
        <v>1570</v>
      </c>
      <c r="B1631" s="1832">
        <f>'Acct Summary 7-8'!D79</f>
        <v>605356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438247</v>
      </c>
      <c r="C1644" s="2" t="s">
        <v>569</v>
      </c>
      <c r="D1644" s="2" t="str">
        <f t="shared" si="24"/>
        <v>Error?</v>
      </c>
    </row>
    <row r="1645" spans="1:4" x14ac:dyDescent="0.2">
      <c r="A1645" s="5">
        <v>1584</v>
      </c>
      <c r="B1645" s="1832">
        <f>'Acct Summary 7-8'!E79</f>
        <v>438614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123553</v>
      </c>
      <c r="C1658" s="2" t="s">
        <v>569</v>
      </c>
      <c r="D1658" s="2" t="str">
        <f t="shared" si="24"/>
        <v>Error?</v>
      </c>
    </row>
    <row r="1659" spans="1:4" x14ac:dyDescent="0.2">
      <c r="A1659" s="5">
        <v>1598</v>
      </c>
      <c r="B1659" s="1832">
        <f>'Acct Summary 7-8'!F79</f>
        <v>503930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425005</v>
      </c>
      <c r="C1672" s="2" t="s">
        <v>569</v>
      </c>
      <c r="D1672" s="2" t="str">
        <f t="shared" si="25"/>
        <v>Error?</v>
      </c>
    </row>
    <row r="1673" spans="1:4" x14ac:dyDescent="0.2">
      <c r="A1673" s="5">
        <v>1612</v>
      </c>
      <c r="B1673" s="1832">
        <f>'Acct Summary 7-8'!G79</f>
        <v>500870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414476</v>
      </c>
      <c r="C1686" s="2" t="s">
        <v>569</v>
      </c>
      <c r="D1686" s="2" t="str">
        <f t="shared" si="25"/>
        <v>Error?</v>
      </c>
    </row>
    <row r="1687" spans="1:4" x14ac:dyDescent="0.2">
      <c r="A1687" s="5">
        <v>1626</v>
      </c>
      <c r="B1687" s="1832">
        <f>'Acct Summary 7-8'!H79</f>
        <v>1803012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462774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1758065</v>
      </c>
      <c r="C1744" s="2" t="s">
        <v>569</v>
      </c>
      <c r="D1744" s="2" t="str">
        <f t="shared" si="26"/>
        <v>Error?</v>
      </c>
    </row>
    <row r="1745" spans="1:5" x14ac:dyDescent="0.2">
      <c r="A1745" s="5">
        <v>1684</v>
      </c>
      <c r="B1745" s="1832">
        <f>'Tax Sched 23'!B5</f>
        <v>277298</v>
      </c>
      <c r="C1745" s="2" t="s">
        <v>569</v>
      </c>
      <c r="D1745" s="2" t="str">
        <f t="shared" si="26"/>
        <v>Error?</v>
      </c>
    </row>
    <row r="1746" spans="1:5" x14ac:dyDescent="0.2">
      <c r="A1746" s="5">
        <v>1685</v>
      </c>
      <c r="B1746" s="1832">
        <f>'Tax Sched 23'!B6</f>
        <v>436869</v>
      </c>
      <c r="C1746" s="2" t="s">
        <v>569</v>
      </c>
      <c r="D1746" s="2" t="str">
        <f t="shared" si="26"/>
        <v>Error?</v>
      </c>
    </row>
    <row r="1747" spans="1:5" x14ac:dyDescent="0.2">
      <c r="A1747" s="5">
        <v>1686</v>
      </c>
      <c r="B1747" s="1832">
        <f>'Tax Sched 23'!B7</f>
        <v>110919</v>
      </c>
      <c r="C1747" s="2" t="s">
        <v>569</v>
      </c>
      <c r="D1747" s="2" t="str">
        <f t="shared" si="26"/>
        <v>Error?</v>
      </c>
    </row>
    <row r="1748" spans="1:5" x14ac:dyDescent="0.2">
      <c r="A1748" s="5">
        <v>1687</v>
      </c>
      <c r="B1748" s="1832">
        <f>'Tax Sched 23'!B8</f>
        <v>66627</v>
      </c>
      <c r="C1748" s="2" t="s">
        <v>569</v>
      </c>
      <c r="D1748" s="2" t="str">
        <f t="shared" si="26"/>
        <v>Error?</v>
      </c>
    </row>
    <row r="1749" spans="1:5" x14ac:dyDescent="0.2">
      <c r="A1749" s="5">
        <v>1688</v>
      </c>
      <c r="B1749" s="1832">
        <f>'Tax Sched 23'!B10</f>
        <v>27730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211452</v>
      </c>
      <c r="C1752" s="2" t="s">
        <v>569</v>
      </c>
      <c r="D1752" s="2" t="str">
        <f t="shared" si="26"/>
        <v>Error?</v>
      </c>
    </row>
    <row r="1753" spans="1:5" x14ac:dyDescent="0.2">
      <c r="A1753" s="5">
        <v>1692</v>
      </c>
      <c r="B1753" s="1832">
        <f>'Tax Sched 23'!B12</f>
        <v>27730</v>
      </c>
      <c r="C1753" s="2" t="s">
        <v>569</v>
      </c>
      <c r="D1753" s="2" t="str">
        <f t="shared" si="26"/>
        <v>Error?</v>
      </c>
    </row>
    <row r="1754" spans="1:5" x14ac:dyDescent="0.2">
      <c r="A1754" s="5">
        <v>1693</v>
      </c>
      <c r="B1754" s="1832">
        <f>'Tax Sched 23'!B14</f>
        <v>22184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3062196</v>
      </c>
      <c r="C1759" s="2" t="s">
        <v>569</v>
      </c>
      <c r="D1759" s="2" t="str">
        <f t="shared" si="26"/>
        <v>Error?</v>
      </c>
    </row>
    <row r="1760" spans="1:5" x14ac:dyDescent="0.2">
      <c r="A1760" s="5">
        <v>1699</v>
      </c>
      <c r="B1760" s="1832">
        <f>'Tax Sched 23'!D4</f>
        <v>1758065</v>
      </c>
      <c r="C1760" s="2" t="s">
        <v>569</v>
      </c>
      <c r="D1760" s="2" t="str">
        <f t="shared" si="26"/>
        <v>Error?</v>
      </c>
    </row>
    <row r="1761" spans="1:7" x14ac:dyDescent="0.2">
      <c r="A1761" s="5">
        <v>1700</v>
      </c>
      <c r="B1761" s="1832">
        <f>'Tax Sched 23'!D5</f>
        <v>277298</v>
      </c>
      <c r="C1761" s="2" t="s">
        <v>569</v>
      </c>
      <c r="D1761" s="2" t="str">
        <f t="shared" si="26"/>
        <v>Error?</v>
      </c>
    </row>
    <row r="1762" spans="1:7" s="8" customFormat="1" x14ac:dyDescent="0.2">
      <c r="A1762" s="5">
        <v>1701</v>
      </c>
      <c r="B1762" s="1832">
        <f>'Tax Sched 23'!D6</f>
        <v>436869</v>
      </c>
      <c r="C1762" s="2" t="s">
        <v>569</v>
      </c>
      <c r="D1762" s="2" t="str">
        <f t="shared" si="26"/>
        <v>Error?</v>
      </c>
      <c r="E1762" s="9"/>
      <c r="G1762"/>
    </row>
    <row r="1763" spans="1:7" x14ac:dyDescent="0.2">
      <c r="A1763" s="5">
        <v>1702</v>
      </c>
      <c r="B1763" s="1832">
        <f>'Tax Sched 23'!D7</f>
        <v>110919</v>
      </c>
      <c r="C1763" s="2" t="s">
        <v>569</v>
      </c>
      <c r="D1763" s="2" t="str">
        <f t="shared" si="26"/>
        <v>Error?</v>
      </c>
    </row>
    <row r="1764" spans="1:7" x14ac:dyDescent="0.2">
      <c r="A1764" s="5">
        <v>1703</v>
      </c>
      <c r="B1764" s="1832">
        <f>'Tax Sched 23'!D8</f>
        <v>66627</v>
      </c>
      <c r="C1764" s="2" t="s">
        <v>569</v>
      </c>
      <c r="D1764" s="2" t="str">
        <f t="shared" si="26"/>
        <v>Error?</v>
      </c>
    </row>
    <row r="1765" spans="1:7" x14ac:dyDescent="0.2">
      <c r="A1765" s="5">
        <v>1704</v>
      </c>
      <c r="B1765" s="1832">
        <f>'Tax Sched 23'!D10</f>
        <v>27730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211452</v>
      </c>
      <c r="C1768" s="2" t="s">
        <v>569</v>
      </c>
      <c r="D1768" s="2" t="str">
        <f t="shared" si="26"/>
        <v>Error?</v>
      </c>
    </row>
    <row r="1769" spans="1:7" x14ac:dyDescent="0.2">
      <c r="A1769" s="5">
        <v>1708</v>
      </c>
      <c r="B1769" s="1832">
        <f>'Tax Sched 23'!D12</f>
        <v>27730</v>
      </c>
      <c r="C1769" s="2" t="s">
        <v>569</v>
      </c>
      <c r="D1769" s="2" t="str">
        <f t="shared" si="26"/>
        <v>Error?</v>
      </c>
    </row>
    <row r="1770" spans="1:7" x14ac:dyDescent="0.2">
      <c r="A1770" s="5">
        <v>1709</v>
      </c>
      <c r="B1770" s="1832">
        <f>'Tax Sched 23'!D14</f>
        <v>22184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3062196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3131052</v>
      </c>
      <c r="C1792" s="2" t="s">
        <v>569</v>
      </c>
      <c r="D1792" s="2" t="str">
        <f t="shared" si="27"/>
        <v>Error?</v>
      </c>
    </row>
    <row r="1793" spans="1:4" x14ac:dyDescent="0.2">
      <c r="A1793" s="5">
        <v>1732</v>
      </c>
      <c r="B1793" s="1832">
        <f>'Tax Sched 23'!F5</f>
        <v>493857</v>
      </c>
      <c r="C1793" s="2" t="s">
        <v>569</v>
      </c>
      <c r="D1793" s="2" t="str">
        <f t="shared" si="27"/>
        <v>Error?</v>
      </c>
    </row>
    <row r="1794" spans="1:4" x14ac:dyDescent="0.2">
      <c r="A1794" s="5">
        <v>1733</v>
      </c>
      <c r="B1794" s="1832">
        <f>'Tax Sched 23'!F6</f>
        <v>786013</v>
      </c>
      <c r="C1794" s="2" t="s">
        <v>569</v>
      </c>
      <c r="D1794" s="2" t="str">
        <f t="shared" si="27"/>
        <v>Error?</v>
      </c>
    </row>
    <row r="1795" spans="1:4" x14ac:dyDescent="0.2">
      <c r="A1795" s="5">
        <v>1734</v>
      </c>
      <c r="B1795" s="1832">
        <f>'Tax Sched 23'!F7</f>
        <v>197543</v>
      </c>
      <c r="C1795" s="2" t="s">
        <v>569</v>
      </c>
      <c r="D1795" s="2" t="str">
        <f t="shared" si="27"/>
        <v>Error?</v>
      </c>
    </row>
    <row r="1796" spans="1:4" x14ac:dyDescent="0.2">
      <c r="A1796" s="5">
        <v>1735</v>
      </c>
      <c r="B1796" s="1832">
        <f>'Tax Sched 23'!F8</f>
        <v>115039</v>
      </c>
      <c r="C1796" s="2" t="s">
        <v>569</v>
      </c>
      <c r="D1796" s="2" t="str">
        <f t="shared" si="27"/>
        <v>Error?</v>
      </c>
    </row>
    <row r="1797" spans="1:4" x14ac:dyDescent="0.2">
      <c r="A1797" s="5">
        <v>1736</v>
      </c>
      <c r="B1797" s="1832">
        <f>'Tax Sched 23'!F10</f>
        <v>49386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365108</v>
      </c>
      <c r="C1800" s="2" t="s">
        <v>569</v>
      </c>
      <c r="D1800" s="2" t="str">
        <f t="shared" si="27"/>
        <v>Error?</v>
      </c>
    </row>
    <row r="1801" spans="1:4" x14ac:dyDescent="0.2">
      <c r="A1801" s="5">
        <v>1740</v>
      </c>
      <c r="B1801" s="1832">
        <f>'Tax Sched 23'!F12</f>
        <v>49386</v>
      </c>
      <c r="C1801" s="2" t="s">
        <v>569</v>
      </c>
      <c r="D1801" s="2" t="str">
        <f t="shared" si="27"/>
        <v>Error?</v>
      </c>
    </row>
    <row r="1802" spans="1:4" x14ac:dyDescent="0.2">
      <c r="A1802" s="5">
        <v>1741</v>
      </c>
      <c r="B1802" s="1832">
        <f>'Tax Sched 23'!F14</f>
        <v>39509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5441336</v>
      </c>
      <c r="C1807" s="2" t="s">
        <v>569</v>
      </c>
      <c r="D1807" s="2" t="str">
        <f t="shared" si="27"/>
        <v>Error?</v>
      </c>
    </row>
    <row r="1808" spans="1:4" x14ac:dyDescent="0.2">
      <c r="A1808" s="5">
        <v>1747</v>
      </c>
      <c r="B1808" s="1832">
        <f>'Tax Sched 23'!E4</f>
        <v>3131052</v>
      </c>
      <c r="D1808" s="2" t="str">
        <f t="shared" si="27"/>
        <v>Error?</v>
      </c>
    </row>
    <row r="1809" spans="1:4" x14ac:dyDescent="0.2">
      <c r="A1809" s="5">
        <v>1748</v>
      </c>
      <c r="B1809" s="1832">
        <f>'Tax Sched 23'!E5</f>
        <v>493857</v>
      </c>
      <c r="D1809" s="2" t="str">
        <f t="shared" si="27"/>
        <v>Error?</v>
      </c>
    </row>
    <row r="1810" spans="1:4" x14ac:dyDescent="0.2">
      <c r="A1810" s="5">
        <v>1749</v>
      </c>
      <c r="B1810" s="1832">
        <f>'Tax Sched 23'!E6</f>
        <v>786013</v>
      </c>
      <c r="D1810" s="2" t="str">
        <f t="shared" si="27"/>
        <v>Error?</v>
      </c>
    </row>
    <row r="1811" spans="1:4" x14ac:dyDescent="0.2">
      <c r="A1811" s="5">
        <v>1750</v>
      </c>
      <c r="B1811" s="1832">
        <f>'Tax Sched 23'!E7</f>
        <v>197543</v>
      </c>
      <c r="D1811" s="2" t="str">
        <f t="shared" si="27"/>
        <v>Error?</v>
      </c>
    </row>
    <row r="1812" spans="1:4" x14ac:dyDescent="0.2">
      <c r="A1812" s="5">
        <v>1751</v>
      </c>
      <c r="B1812" s="1832">
        <f>'Tax Sched 23'!E8</f>
        <v>115039</v>
      </c>
      <c r="D1812" s="2" t="str">
        <f t="shared" si="27"/>
        <v>Error?</v>
      </c>
    </row>
    <row r="1813" spans="1:4" x14ac:dyDescent="0.2">
      <c r="A1813" s="5">
        <v>1752</v>
      </c>
      <c r="B1813" s="1832">
        <f>'Tax Sched 23'!E10</f>
        <v>49386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365108</v>
      </c>
      <c r="D1816" s="2" t="str">
        <f t="shared" si="27"/>
        <v>Error?</v>
      </c>
    </row>
    <row r="1817" spans="1:4" x14ac:dyDescent="0.2">
      <c r="A1817" s="5">
        <v>1756</v>
      </c>
      <c r="B1817" s="1832">
        <f>'Tax Sched 23'!E12</f>
        <v>49386</v>
      </c>
      <c r="D1817" s="2" t="str">
        <f t="shared" si="27"/>
        <v>Error?</v>
      </c>
    </row>
    <row r="1818" spans="1:4" x14ac:dyDescent="0.2">
      <c r="A1818" s="5">
        <v>1757</v>
      </c>
      <c r="B1818" s="1832">
        <f>'Tax Sched 23'!E14</f>
        <v>39509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5441336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11525000</v>
      </c>
      <c r="C1939" s="2" t="s">
        <v>569</v>
      </c>
      <c r="D1939" s="2" t="str">
        <f t="shared" si="29"/>
        <v>Error?</v>
      </c>
    </row>
    <row r="1940" spans="1:5" x14ac:dyDescent="0.2">
      <c r="A1940" s="5">
        <v>1879</v>
      </c>
      <c r="B1940" s="1832">
        <f>'Short-Term Long-Term Debt 24'!F49</f>
        <v>1785400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22184</v>
      </c>
      <c r="D1972" s="2" t="str">
        <f t="shared" si="29"/>
        <v>Error?</v>
      </c>
    </row>
    <row r="1973" spans="1:5" x14ac:dyDescent="0.2">
      <c r="A1973" s="5">
        <v>1912</v>
      </c>
      <c r="B1973" s="1832">
        <f>'Rest Tax Levies-Tort Im 25'!H6</f>
        <v>31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22215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22215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528232</v>
      </c>
      <c r="D2008" s="2" t="str">
        <f t="shared" si="30"/>
        <v>Error?</v>
      </c>
    </row>
    <row r="2009" spans="1:4" x14ac:dyDescent="0.2">
      <c r="A2009" s="5">
        <v>1948</v>
      </c>
      <c r="B2009" s="1832">
        <f>'Cap Outlay Deprec 26'!C8</f>
        <v>15954312</v>
      </c>
      <c r="D2009" s="2" t="str">
        <f t="shared" si="30"/>
        <v>Error?</v>
      </c>
    </row>
    <row r="2010" spans="1:4" x14ac:dyDescent="0.2">
      <c r="A2010" s="5">
        <v>1949</v>
      </c>
      <c r="B2010" s="1832">
        <f>'Cap Outlay Deprec 26'!C10</f>
        <v>430846</v>
      </c>
      <c r="D2010" s="2" t="str">
        <f t="shared" si="30"/>
        <v>Error?</v>
      </c>
    </row>
    <row r="2011" spans="1:4" x14ac:dyDescent="0.2">
      <c r="A2011" s="5">
        <v>1950</v>
      </c>
      <c r="B2011" s="1832">
        <f>'Cap Outlay Deprec 26'!C12</f>
        <v>519970</v>
      </c>
      <c r="D2011" s="2" t="str">
        <f t="shared" si="30"/>
        <v>Error?</v>
      </c>
    </row>
    <row r="2012" spans="1:4" x14ac:dyDescent="0.2">
      <c r="A2012" s="5">
        <v>1951</v>
      </c>
      <c r="B2012" s="1832">
        <f>'Cap Outlay Deprec 26'!C13</f>
        <v>606699</v>
      </c>
      <c r="D2012" s="2" t="str">
        <f t="shared" si="30"/>
        <v>Error?</v>
      </c>
    </row>
    <row r="2013" spans="1:4" x14ac:dyDescent="0.2">
      <c r="A2013" s="5">
        <v>1952</v>
      </c>
      <c r="B2013" s="1832">
        <f>'Cap Outlay Deprec 26'!C16</f>
        <v>18127298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2629107</v>
      </c>
      <c r="D2015" s="2" t="str">
        <f t="shared" si="30"/>
        <v>Error?</v>
      </c>
    </row>
    <row r="2016" spans="1:4" x14ac:dyDescent="0.2">
      <c r="A2016" s="5">
        <v>1955</v>
      </c>
      <c r="B2016" s="1832">
        <f>'Cap Outlay Deprec 26'!D10</f>
        <v>318100</v>
      </c>
      <c r="D2016" s="2" t="str">
        <f t="shared" si="30"/>
        <v>Error?</v>
      </c>
    </row>
    <row r="2017" spans="1:4" x14ac:dyDescent="0.2">
      <c r="A2017" s="5">
        <v>1956</v>
      </c>
      <c r="B2017" s="1832">
        <f>'Cap Outlay Deprec 26'!D12</f>
        <v>56958</v>
      </c>
      <c r="D2017" s="2" t="str">
        <f t="shared" si="30"/>
        <v>Error?</v>
      </c>
    </row>
    <row r="2018" spans="1:4" x14ac:dyDescent="0.2">
      <c r="A2018" s="5">
        <v>1957</v>
      </c>
      <c r="B2018" s="1832">
        <f>'Cap Outlay Deprec 26'!D13</f>
        <v>64925</v>
      </c>
      <c r="D2018" s="2" t="str">
        <f t="shared" si="30"/>
        <v>Error?</v>
      </c>
    </row>
    <row r="2019" spans="1:4" x14ac:dyDescent="0.2">
      <c r="A2019" s="5">
        <v>1958</v>
      </c>
      <c r="B2019" s="1832">
        <f>'Cap Outlay Deprec 26'!D16</f>
        <v>3069090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40287</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125517</v>
      </c>
      <c r="C2025" s="2" t="s">
        <v>569</v>
      </c>
      <c r="D2025" s="2" t="str">
        <f t="shared" si="30"/>
        <v>Error?</v>
      </c>
    </row>
    <row r="2026" spans="1:4" x14ac:dyDescent="0.2">
      <c r="A2026" s="5">
        <v>1965</v>
      </c>
      <c r="B2026" s="1832">
        <f>'Cap Outlay Deprec 26'!F5</f>
        <v>528232</v>
      </c>
      <c r="C2026" s="2" t="s">
        <v>569</v>
      </c>
      <c r="D2026" s="2" t="str">
        <f t="shared" si="30"/>
        <v>Error?</v>
      </c>
    </row>
    <row r="2027" spans="1:4" x14ac:dyDescent="0.2">
      <c r="A2027" s="5">
        <v>1966</v>
      </c>
      <c r="B2027" s="1832">
        <f>'Cap Outlay Deprec 26'!F8</f>
        <v>18583419</v>
      </c>
      <c r="C2027" s="2" t="s">
        <v>569</v>
      </c>
      <c r="D2027" s="2" t="str">
        <f t="shared" si="30"/>
        <v>Error?</v>
      </c>
    </row>
    <row r="2028" spans="1:4" x14ac:dyDescent="0.2">
      <c r="A2028" s="5">
        <v>1967</v>
      </c>
      <c r="B2028" s="1832">
        <f>'Cap Outlay Deprec 26'!F10</f>
        <v>748946</v>
      </c>
      <c r="C2028" s="2" t="s">
        <v>569</v>
      </c>
      <c r="D2028" s="2" t="str">
        <f t="shared" si="30"/>
        <v>Error?</v>
      </c>
    </row>
    <row r="2029" spans="1:4" x14ac:dyDescent="0.2">
      <c r="A2029" s="5">
        <v>1968</v>
      </c>
      <c r="B2029" s="1832">
        <f>'Cap Outlay Deprec 26'!F12</f>
        <v>536641</v>
      </c>
      <c r="C2029" s="2" t="s">
        <v>569</v>
      </c>
      <c r="D2029" s="2" t="str">
        <f t="shared" si="30"/>
        <v>Error?</v>
      </c>
    </row>
    <row r="2030" spans="1:4" x14ac:dyDescent="0.2">
      <c r="A2030" s="5">
        <v>1969</v>
      </c>
      <c r="B2030" s="1832">
        <f>'Cap Outlay Deprec 26'!F13</f>
        <v>671624</v>
      </c>
      <c r="C2030" s="2" t="s">
        <v>569</v>
      </c>
      <c r="D2030" s="2" t="str">
        <f t="shared" si="30"/>
        <v>Error?</v>
      </c>
    </row>
    <row r="2031" spans="1:4" x14ac:dyDescent="0.2">
      <c r="A2031" s="5">
        <v>1970</v>
      </c>
      <c r="B2031" s="1832">
        <f>'Cap Outlay Deprec 26'!F16</f>
        <v>21070871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4419899</v>
      </c>
      <c r="D2033" s="2" t="str">
        <f t="shared" si="30"/>
        <v>Error?</v>
      </c>
    </row>
    <row r="2034" spans="1:4" x14ac:dyDescent="0.2">
      <c r="A2034" s="5">
        <v>1973</v>
      </c>
      <c r="B2034" s="1832">
        <f>'Cap Outlay Deprec 26'!H10</f>
        <v>214805</v>
      </c>
      <c r="D2034" s="2" t="str">
        <f t="shared" si="30"/>
        <v>Error?</v>
      </c>
    </row>
    <row r="2035" spans="1:4" x14ac:dyDescent="0.2">
      <c r="A2035" s="5">
        <v>1974</v>
      </c>
      <c r="B2035" s="1832">
        <f>'Cap Outlay Deprec 26'!H12</f>
        <v>340409</v>
      </c>
      <c r="D2035" s="2" t="str">
        <f t="shared" si="30"/>
        <v>Error?</v>
      </c>
    </row>
    <row r="2036" spans="1:4" x14ac:dyDescent="0.2">
      <c r="A2036" s="5">
        <v>1975</v>
      </c>
      <c r="B2036" s="1832">
        <f>'Cap Outlay Deprec 26'!H13</f>
        <v>585072</v>
      </c>
      <c r="D2036" s="2" t="str">
        <f t="shared" si="30"/>
        <v>Error?</v>
      </c>
    </row>
    <row r="2037" spans="1:4" x14ac:dyDescent="0.2">
      <c r="A2037" s="5">
        <v>1976</v>
      </c>
      <c r="B2037" s="1832">
        <f>'Cap Outlay Deprec 26'!H16</f>
        <v>5560485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337645</v>
      </c>
      <c r="D2039" s="2" t="str">
        <f t="shared" si="30"/>
        <v>Error?</v>
      </c>
    </row>
    <row r="2040" spans="1:4" x14ac:dyDescent="0.2">
      <c r="A2040" s="5">
        <v>1979</v>
      </c>
      <c r="B2040" s="1832">
        <f>'Cap Outlay Deprec 26'!I10</f>
        <v>33707</v>
      </c>
      <c r="D2040" s="2" t="str">
        <f t="shared" si="30"/>
        <v>Error?</v>
      </c>
    </row>
    <row r="2041" spans="1:4" x14ac:dyDescent="0.2">
      <c r="A2041" s="5">
        <v>1980</v>
      </c>
      <c r="B2041" s="1832">
        <f>'Cap Outlay Deprec 26'!I12</f>
        <v>53665</v>
      </c>
      <c r="D2041" s="2" t="str">
        <f t="shared" si="30"/>
        <v>Error?</v>
      </c>
    </row>
    <row r="2042" spans="1:4" x14ac:dyDescent="0.2">
      <c r="A2042" s="5">
        <v>1981</v>
      </c>
      <c r="B2042" s="1832">
        <f>'Cap Outlay Deprec 26'!I13</f>
        <v>23466</v>
      </c>
      <c r="D2042" s="2" t="str">
        <f t="shared" si="30"/>
        <v>Error?</v>
      </c>
    </row>
    <row r="2043" spans="1:4" x14ac:dyDescent="0.2">
      <c r="A2043" s="5">
        <v>1982</v>
      </c>
      <c r="B2043" s="1832">
        <f>'Cap Outlay Deprec 26'!I16</f>
        <v>448583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40287</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40287</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4757544</v>
      </c>
      <c r="C2051" s="2" t="s">
        <v>569</v>
      </c>
      <c r="D2051" s="2" t="str">
        <f t="shared" si="31"/>
        <v>Error?</v>
      </c>
    </row>
    <row r="2052" spans="1:4" x14ac:dyDescent="0.2">
      <c r="A2052" s="5">
        <v>1991</v>
      </c>
      <c r="B2052" s="1832">
        <f>'Cap Outlay Deprec 26'!K10</f>
        <v>248512</v>
      </c>
      <c r="C2052" s="2" t="s">
        <v>569</v>
      </c>
      <c r="D2052" s="2" t="str">
        <f t="shared" si="31"/>
        <v>Error?</v>
      </c>
    </row>
    <row r="2053" spans="1:4" x14ac:dyDescent="0.2">
      <c r="A2053" s="5">
        <v>1992</v>
      </c>
      <c r="B2053" s="1832">
        <f>'Cap Outlay Deprec 26'!K12</f>
        <v>353787</v>
      </c>
      <c r="C2053" s="2" t="s">
        <v>569</v>
      </c>
      <c r="D2053" s="2" t="str">
        <f t="shared" si="31"/>
        <v>Error?</v>
      </c>
    </row>
    <row r="2054" spans="1:4" x14ac:dyDescent="0.2">
      <c r="A2054" s="5">
        <v>1993</v>
      </c>
      <c r="B2054" s="1832">
        <f>'Cap Outlay Deprec 26'!K13</f>
        <v>608538</v>
      </c>
      <c r="C2054" s="2" t="s">
        <v>569</v>
      </c>
      <c r="D2054" s="2" t="str">
        <f t="shared" si="31"/>
        <v>Error?</v>
      </c>
    </row>
    <row r="2055" spans="1:4" x14ac:dyDescent="0.2">
      <c r="A2055" s="5">
        <v>1994</v>
      </c>
      <c r="B2055" s="1832">
        <f>'Cap Outlay Deprec 26'!K16</f>
        <v>5968781</v>
      </c>
      <c r="C2055" s="2" t="s">
        <v>569</v>
      </c>
      <c r="D2055" s="2" t="str">
        <f t="shared" si="31"/>
        <v>Error?</v>
      </c>
    </row>
    <row r="2056" spans="1:4" x14ac:dyDescent="0.2">
      <c r="A2056" s="5">
        <v>1995</v>
      </c>
      <c r="B2056" s="1832">
        <f>'Cap Outlay Deprec 26'!L5</f>
        <v>528232</v>
      </c>
      <c r="C2056" s="2" t="s">
        <v>569</v>
      </c>
      <c r="D2056" s="2" t="str">
        <f t="shared" si="31"/>
        <v>Error?</v>
      </c>
    </row>
    <row r="2057" spans="1:4" x14ac:dyDescent="0.2">
      <c r="A2057" s="5">
        <v>1996</v>
      </c>
      <c r="B2057" s="1832">
        <f>'Cap Outlay Deprec 26'!L8</f>
        <v>13825875</v>
      </c>
      <c r="C2057" s="2" t="s">
        <v>569</v>
      </c>
      <c r="D2057" s="2" t="str">
        <f t="shared" si="31"/>
        <v>Error?</v>
      </c>
    </row>
    <row r="2058" spans="1:4" x14ac:dyDescent="0.2">
      <c r="A2058" s="5">
        <v>1997</v>
      </c>
      <c r="B2058" s="1832">
        <f>'Cap Outlay Deprec 26'!L10</f>
        <v>500434</v>
      </c>
      <c r="C2058" s="2" t="s">
        <v>569</v>
      </c>
      <c r="D2058" s="2" t="str">
        <f t="shared" si="31"/>
        <v>Error?</v>
      </c>
    </row>
    <row r="2059" spans="1:4" x14ac:dyDescent="0.2">
      <c r="A2059" s="5">
        <v>1998</v>
      </c>
      <c r="B2059" s="1832">
        <f>'Cap Outlay Deprec 26'!L12</f>
        <v>182854</v>
      </c>
      <c r="C2059" s="2" t="s">
        <v>569</v>
      </c>
      <c r="D2059" s="2" t="str">
        <f t="shared" si="31"/>
        <v>Error?</v>
      </c>
    </row>
    <row r="2060" spans="1:4" x14ac:dyDescent="0.2">
      <c r="A2060" s="5">
        <v>1999</v>
      </c>
      <c r="B2060" s="1832">
        <f>'Cap Outlay Deprec 26'!L13</f>
        <v>63086</v>
      </c>
      <c r="C2060" s="2" t="s">
        <v>569</v>
      </c>
      <c r="D2060" s="2" t="str">
        <f t="shared" si="31"/>
        <v>Error?</v>
      </c>
    </row>
    <row r="2061" spans="1:4" x14ac:dyDescent="0.2">
      <c r="A2061" s="5">
        <v>2000</v>
      </c>
      <c r="B2061" s="1832">
        <f>'Cap Outlay Deprec 26'!L16</f>
        <v>15102090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42142</v>
      </c>
      <c r="C2088" s="2" t="s">
        <v>569</v>
      </c>
      <c r="D2088" s="2" t="str">
        <f t="shared" si="31"/>
        <v>Error?</v>
      </c>
    </row>
    <row r="2089" spans="1:4" x14ac:dyDescent="0.2">
      <c r="A2089" s="5">
        <v>2028</v>
      </c>
      <c r="B2089" s="1832">
        <f>'Expenditures 15-22'!K92</f>
        <v>389183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1500000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87956</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146313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112120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50000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2806131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1997804</v>
      </c>
      <c r="C2553" s="2" t="s">
        <v>569</v>
      </c>
      <c r="D2553" s="2" t="str">
        <f t="shared" si="38"/>
        <v>Error?</v>
      </c>
    </row>
    <row r="2554" spans="1:4" x14ac:dyDescent="0.2">
      <c r="A2554" s="5">
        <v>2493</v>
      </c>
      <c r="B2554" s="1832">
        <f>'Acct Summary 7-8'!C7</f>
        <v>881175</v>
      </c>
      <c r="C2554" s="2" t="s">
        <v>569</v>
      </c>
      <c r="D2554" s="2" t="str">
        <f t="shared" si="38"/>
        <v>Error?</v>
      </c>
    </row>
    <row r="2555" spans="1:4" x14ac:dyDescent="0.2">
      <c r="A2555" s="5">
        <v>2494</v>
      </c>
      <c r="B2555" s="1832">
        <f>'Acct Summary 7-8'!C8</f>
        <v>5685110</v>
      </c>
      <c r="C2555" s="2" t="s">
        <v>569</v>
      </c>
      <c r="D2555" s="2" t="str">
        <f t="shared" si="38"/>
        <v>Error?</v>
      </c>
    </row>
    <row r="2556" spans="1:4" x14ac:dyDescent="0.2">
      <c r="A2556" s="5">
        <v>2495</v>
      </c>
      <c r="B2556" s="1832">
        <f>'Acct Summary 7-8'!C12</f>
        <v>4427311</v>
      </c>
      <c r="C2556" s="2" t="s">
        <v>569</v>
      </c>
      <c r="D2556" s="2" t="str">
        <f t="shared" si="38"/>
        <v>Error?</v>
      </c>
    </row>
    <row r="2557" spans="1:4" x14ac:dyDescent="0.2">
      <c r="A2557" s="5">
        <v>2496</v>
      </c>
      <c r="B2557" s="1832">
        <f>'Acct Summary 7-8'!C13</f>
        <v>1924090</v>
      </c>
      <c r="C2557" s="2" t="s">
        <v>569</v>
      </c>
      <c r="D2557" s="2" t="str">
        <f t="shared" si="38"/>
        <v>Error?</v>
      </c>
    </row>
    <row r="2558" spans="1:4" x14ac:dyDescent="0.2">
      <c r="A2558" s="5">
        <v>2497</v>
      </c>
      <c r="B2558" s="1832">
        <f>'Acct Summary 7-8'!C14</f>
        <v>3750</v>
      </c>
      <c r="C2558" s="2" t="s">
        <v>569</v>
      </c>
      <c r="D2558" s="2" t="str">
        <f t="shared" si="38"/>
        <v>Error?</v>
      </c>
    </row>
    <row r="2559" spans="1:4" x14ac:dyDescent="0.2">
      <c r="A2559" s="5">
        <v>2498</v>
      </c>
      <c r="B2559" s="1832">
        <f>'Acct Summary 7-8'!C15</f>
        <v>431325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6786476</v>
      </c>
      <c r="C2561" s="2" t="s">
        <v>569</v>
      </c>
      <c r="D2561" s="2" t="str">
        <f t="shared" si="39"/>
        <v>Error?</v>
      </c>
    </row>
    <row r="2562" spans="1:4" x14ac:dyDescent="0.2">
      <c r="A2562" s="5">
        <v>2501</v>
      </c>
      <c r="B2562" s="1832">
        <f>'Acct Summary 7-8'!C20</f>
        <v>-1101366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314499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314499</v>
      </c>
      <c r="C2568" s="2" t="s">
        <v>569</v>
      </c>
      <c r="D2568" s="2" t="str">
        <f t="shared" si="39"/>
        <v>Error?</v>
      </c>
    </row>
    <row r="2569" spans="1:4" x14ac:dyDescent="0.2">
      <c r="A2569" s="5">
        <v>2508</v>
      </c>
      <c r="B2569" s="1832">
        <f>'Acct Summary 7-8'!D13</f>
        <v>481608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481608</v>
      </c>
      <c r="C2573" s="2" t="s">
        <v>569</v>
      </c>
      <c r="D2573" s="2" t="str">
        <f t="shared" si="39"/>
        <v>Error?</v>
      </c>
    </row>
    <row r="2574" spans="1:4" x14ac:dyDescent="0.2">
      <c r="A2574" s="5">
        <v>2513</v>
      </c>
      <c r="B2574" s="1832">
        <f>'Acct Summary 7-8'!D20</f>
        <v>-167109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111708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208555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320263</v>
      </c>
      <c r="C2595" s="2" t="s">
        <v>569</v>
      </c>
      <c r="D2595" s="2" t="str">
        <f t="shared" si="39"/>
        <v>Error?</v>
      </c>
    </row>
    <row r="2596" spans="1:4" x14ac:dyDescent="0.2">
      <c r="A2596" s="5">
        <v>2535</v>
      </c>
      <c r="B2596" s="1832">
        <f>'Acct Summary 7-8'!F13</f>
        <v>399188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399188</v>
      </c>
      <c r="C2600" s="2" t="s">
        <v>569</v>
      </c>
      <c r="D2600" s="2" t="str">
        <f t="shared" si="39"/>
        <v>Error?</v>
      </c>
    </row>
    <row r="2601" spans="1:4" x14ac:dyDescent="0.2">
      <c r="A2601" s="5">
        <v>2540</v>
      </c>
      <c r="B2601" s="1832">
        <f>'Acct Summary 7-8'!F20</f>
        <v>-78925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181258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181258</v>
      </c>
      <c r="C2606" s="2" t="s">
        <v>569</v>
      </c>
      <c r="D2606" s="2" t="str">
        <f t="shared" si="39"/>
        <v>Error?</v>
      </c>
    </row>
    <row r="2607" spans="1:4" x14ac:dyDescent="0.2">
      <c r="A2607" s="5">
        <v>2546</v>
      </c>
      <c r="B2607" s="1832">
        <f>'Acct Summary 7-8'!G12</f>
        <v>107002</v>
      </c>
      <c r="C2607" s="2" t="s">
        <v>569</v>
      </c>
      <c r="D2607" s="2" t="str">
        <f t="shared" si="39"/>
        <v>Error?</v>
      </c>
    </row>
    <row r="2608" spans="1:4" x14ac:dyDescent="0.2">
      <c r="A2608" s="5">
        <v>2547</v>
      </c>
      <c r="B2608" s="1832">
        <f>'Acct Summary 7-8'!G13</f>
        <v>160454</v>
      </c>
      <c r="C2608" s="2" t="s">
        <v>569</v>
      </c>
      <c r="D2608" s="2" t="str">
        <f t="shared" si="39"/>
        <v>Error?</v>
      </c>
    </row>
    <row r="2609" spans="1:4" x14ac:dyDescent="0.2">
      <c r="A2609" s="5">
        <v>2548</v>
      </c>
      <c r="B2609" s="1832">
        <f>'Acct Summary 7-8'!G14</f>
        <v>196</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267652</v>
      </c>
      <c r="C2612" s="2" t="s">
        <v>569</v>
      </c>
      <c r="D2612" s="2" t="str">
        <f t="shared" si="39"/>
        <v>Error?</v>
      </c>
    </row>
    <row r="2613" spans="1:4" x14ac:dyDescent="0.2">
      <c r="A2613" s="5">
        <v>2552</v>
      </c>
      <c r="B2613" s="1832">
        <f>'Acct Summary 7-8'!G20</f>
        <v>-86394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586563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586563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928247</v>
      </c>
      <c r="C2634" s="2" t="s">
        <v>569</v>
      </c>
      <c r="D2634" s="2" t="str">
        <f t="shared" si="40"/>
        <v>Error?</v>
      </c>
    </row>
    <row r="2635" spans="1:4" x14ac:dyDescent="0.2">
      <c r="A2635" s="5">
        <v>2574</v>
      </c>
      <c r="B2635" s="1832">
        <f>'Acct Summary 7-8'!E17</f>
        <v>928247</v>
      </c>
      <c r="C2635" s="2" t="s">
        <v>569</v>
      </c>
      <c r="D2635" s="2" t="str">
        <f t="shared" si="40"/>
        <v>Error?</v>
      </c>
    </row>
    <row r="2636" spans="1:4" x14ac:dyDescent="0.2">
      <c r="A2636" s="5">
        <v>2575</v>
      </c>
      <c r="B2636" s="1832">
        <f>'Acct Summary 7-8'!E20</f>
        <v>-341684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77359</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127359</v>
      </c>
      <c r="C2658" s="2" t="s">
        <v>569</v>
      </c>
      <c r="D2658" s="2" t="str">
        <f t="shared" si="40"/>
        <v>Error?</v>
      </c>
    </row>
    <row r="2659" spans="1:4" x14ac:dyDescent="0.2">
      <c r="A2659" s="5">
        <v>2598</v>
      </c>
      <c r="B2659" s="1832">
        <f>'Acct Summary 7-8'!H13</f>
        <v>2567597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2567597</v>
      </c>
      <c r="C2661" s="2" t="s">
        <v>569</v>
      </c>
      <c r="D2661" s="2" t="str">
        <f t="shared" si="40"/>
        <v>Error?</v>
      </c>
    </row>
    <row r="2662" spans="1:4" x14ac:dyDescent="0.2">
      <c r="A2662" s="5">
        <v>2601</v>
      </c>
      <c r="B2662" s="1832">
        <f>'Acct Summary 7-8'!H20</f>
        <v>-2440238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61425</v>
      </c>
      <c r="D2718" s="2" t="str">
        <f t="shared" si="41"/>
        <v>Error?</v>
      </c>
    </row>
    <row r="2719" spans="1:4" x14ac:dyDescent="0.2">
      <c r="A2719" s="5">
        <v>2658</v>
      </c>
      <c r="B2719" s="1832">
        <f>'Expenditures 15-22'!D51</f>
        <v>677</v>
      </c>
      <c r="D2719" s="2" t="str">
        <f t="shared" si="41"/>
        <v>Error?</v>
      </c>
    </row>
    <row r="2720" spans="1:4" x14ac:dyDescent="0.2">
      <c r="A2720" s="5">
        <v>2659</v>
      </c>
      <c r="B2720" s="1832">
        <f>'Expenditures 15-22'!E51</f>
        <v>1200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63302</v>
      </c>
      <c r="C2724" s="2" t="s">
        <v>569</v>
      </c>
      <c r="D2724" s="2" t="str">
        <f t="shared" si="41"/>
        <v>Error?</v>
      </c>
    </row>
    <row r="2725" spans="1:4" x14ac:dyDescent="0.2">
      <c r="A2725" s="5">
        <v>2664</v>
      </c>
      <c r="B2725" s="1832">
        <f>'Expenditures 15-22'!D247</f>
        <v>824</v>
      </c>
      <c r="D2725" s="2" t="str">
        <f t="shared" si="41"/>
        <v>Error?</v>
      </c>
    </row>
    <row r="2726" spans="1:4" x14ac:dyDescent="0.2">
      <c r="A2726" s="5">
        <v>2665</v>
      </c>
      <c r="B2726" s="1832">
        <f>'Expenditures 15-22'!K247</f>
        <v>824</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42142</v>
      </c>
      <c r="C2789" s="2" t="s">
        <v>569</v>
      </c>
      <c r="D2789" s="2" t="str">
        <f t="shared" si="42"/>
        <v>Error?</v>
      </c>
    </row>
    <row r="2790" spans="1:4" x14ac:dyDescent="0.2">
      <c r="A2790" s="5">
        <v>2729</v>
      </c>
      <c r="B2790" s="1832">
        <f>'Expenditures 15-22'!E102</f>
        <v>42142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696549</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839838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90044</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383104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839838</v>
      </c>
      <c r="D2912" s="2" t="str">
        <f t="shared" si="44"/>
        <v>Error?</v>
      </c>
    </row>
    <row r="2913" spans="1:4" x14ac:dyDescent="0.2">
      <c r="A2913" s="5">
        <v>2852</v>
      </c>
      <c r="B2913" s="1832">
        <f>'Assets-Liab 5-6'!I41</f>
        <v>839838</v>
      </c>
      <c r="C2913" s="2" t="s">
        <v>569</v>
      </c>
      <c r="D2913" s="2" t="str">
        <f t="shared" si="44"/>
        <v>Error?</v>
      </c>
    </row>
    <row r="2914" spans="1:4" x14ac:dyDescent="0.2">
      <c r="A2914" s="5">
        <v>2853</v>
      </c>
      <c r="B2914" s="1832">
        <f>'Assets-Liab 5-6'!L33</f>
        <v>198397</v>
      </c>
      <c r="D2914" s="2" t="str">
        <f t="shared" si="44"/>
        <v>Error?</v>
      </c>
    </row>
    <row r="2915" spans="1:4" x14ac:dyDescent="0.2">
      <c r="A2915" s="10">
        <v>2854</v>
      </c>
      <c r="B2915" s="1832"/>
      <c r="D2915" s="2" t="str">
        <f t="shared" si="44"/>
        <v>OK</v>
      </c>
    </row>
    <row r="2916" spans="1:4" x14ac:dyDescent="0.2">
      <c r="A2916" s="5">
        <v>2855</v>
      </c>
      <c r="B2916" s="1832">
        <f>'Assets-Liab 5-6'!L34</f>
        <v>198397</v>
      </c>
      <c r="C2916" s="2" t="s">
        <v>569</v>
      </c>
      <c r="D2916" s="2" t="str">
        <f t="shared" si="44"/>
        <v>Error?</v>
      </c>
    </row>
    <row r="2917" spans="1:4" x14ac:dyDescent="0.2">
      <c r="A2917" s="5">
        <v>2856</v>
      </c>
      <c r="B2917" s="1832">
        <f>'Assets-Liab 5-6'!L41</f>
        <v>383104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42142</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42142</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90901</v>
      </c>
      <c r="D3055" s="2" t="str">
        <f t="shared" si="46"/>
        <v>Error?</v>
      </c>
    </row>
    <row r="3056" spans="1:4" x14ac:dyDescent="0.2">
      <c r="A3056" s="5">
        <v>2995</v>
      </c>
      <c r="B3056" s="1832">
        <f>'Expenditures 15-22'!D10</f>
        <v>5420</v>
      </c>
      <c r="D3056" s="2" t="str">
        <f t="shared" si="46"/>
        <v>Error?</v>
      </c>
    </row>
    <row r="3057" spans="1:4" x14ac:dyDescent="0.2">
      <c r="A3057" s="5">
        <v>2996</v>
      </c>
      <c r="B3057" s="1832">
        <f>'Expenditures 15-22'!E10</f>
        <v>3301</v>
      </c>
      <c r="D3057" s="2" t="str">
        <f t="shared" si="46"/>
        <v>Error?</v>
      </c>
    </row>
    <row r="3058" spans="1:4" x14ac:dyDescent="0.2">
      <c r="A3058" s="5">
        <v>2997</v>
      </c>
      <c r="B3058" s="1832">
        <f>'Expenditures 15-22'!F10</f>
        <v>13702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113324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723</v>
      </c>
      <c r="D3064" s="2" t="str">
        <f t="shared" si="46"/>
        <v>Error?</v>
      </c>
    </row>
    <row r="3065" spans="1:4" x14ac:dyDescent="0.2">
      <c r="A3065" s="5">
        <v>3004</v>
      </c>
      <c r="B3065" s="1832">
        <f>'Expenditures 15-22'!K219</f>
        <v>723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184707</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26623</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28828</v>
      </c>
      <c r="C3225" s="2" t="s">
        <v>569</v>
      </c>
      <c r="D3225" s="2" t="str">
        <f t="shared" si="49"/>
        <v>Error?</v>
      </c>
    </row>
    <row r="3226" spans="1:4" x14ac:dyDescent="0.2">
      <c r="A3226" s="5">
        <v>3165</v>
      </c>
      <c r="B3226" s="1832">
        <f>'Acct Summary 7-8'!I8</f>
        <v>28828</v>
      </c>
      <c r="C3226" s="2" t="s">
        <v>569</v>
      </c>
      <c r="D3226" s="2" t="str">
        <f t="shared" si="49"/>
        <v>Error?</v>
      </c>
    </row>
    <row r="3227" spans="1:4" x14ac:dyDescent="0.2">
      <c r="A3227" s="5">
        <v>3166</v>
      </c>
      <c r="B3227" s="1832">
        <f>'Acct Summary 7-8'!I20</f>
        <v>28828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400000</v>
      </c>
      <c r="C3232" s="2" t="s">
        <v>569</v>
      </c>
      <c r="D3232" s="2" t="str">
        <f t="shared" si="49"/>
        <v>Error?</v>
      </c>
    </row>
    <row r="3233" spans="1:4" x14ac:dyDescent="0.2">
      <c r="A3233" s="5">
        <v>3172</v>
      </c>
      <c r="B3233" s="1832">
        <f>'Acct Summary 7-8'!C78</f>
        <v>-701366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-167109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-78925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-86394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26623</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26623</v>
      </c>
      <c r="C3277" s="2" t="s">
        <v>569</v>
      </c>
      <c r="D3277" s="2" t="str">
        <f t="shared" si="50"/>
        <v>Error?</v>
      </c>
    </row>
    <row r="3278" spans="1:4" x14ac:dyDescent="0.2">
      <c r="A3278" s="5">
        <v>3217</v>
      </c>
      <c r="B3278" s="1832">
        <f>'Acct Summary 7-8'!E78</f>
        <v>-315061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1100000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1100000</v>
      </c>
      <c r="C3299" s="2" t="s">
        <v>569</v>
      </c>
      <c r="D3299" s="2" t="str">
        <f t="shared" si="50"/>
        <v>Error?</v>
      </c>
    </row>
    <row r="3300" spans="1:4" x14ac:dyDescent="0.2">
      <c r="A3300" s="5">
        <v>3239</v>
      </c>
      <c r="B3300" s="1832">
        <f>'Acct Summary 7-8'!H78</f>
        <v>-1340238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1758777</v>
      </c>
      <c r="C3317" s="2" t="s">
        <v>569</v>
      </c>
      <c r="D3317" s="2" t="str">
        <f t="shared" si="50"/>
        <v>Error?</v>
      </c>
    </row>
    <row r="3318" spans="1:4" x14ac:dyDescent="0.2">
      <c r="A3318" s="5">
        <v>3257</v>
      </c>
      <c r="B3318" s="1832">
        <f>'Acct Summary 7-8'!I76</f>
        <v>1500000</v>
      </c>
      <c r="C3318" s="2" t="s">
        <v>569</v>
      </c>
      <c r="D3318" s="2" t="str">
        <f t="shared" si="50"/>
        <v>Error?</v>
      </c>
    </row>
    <row r="3319" spans="1:4" x14ac:dyDescent="0.2">
      <c r="A3319" s="5">
        <v>3258</v>
      </c>
      <c r="B3319" s="1832">
        <f>'Acct Summary 7-8'!I77</f>
        <v>258777</v>
      </c>
      <c r="C3319" s="2" t="s">
        <v>569</v>
      </c>
      <c r="D3319" s="2" t="str">
        <f t="shared" si="50"/>
        <v>Error?</v>
      </c>
    </row>
    <row r="3320" spans="1:4" x14ac:dyDescent="0.2">
      <c r="A3320" s="5">
        <v>3259</v>
      </c>
      <c r="B3320" s="1832">
        <f>'Acct Summary 7-8'!I78</f>
        <v>287605</v>
      </c>
      <c r="C3320" s="2" t="s">
        <v>569</v>
      </c>
      <c r="D3320" s="2" t="str">
        <f t="shared" si="50"/>
        <v>Error?</v>
      </c>
    </row>
    <row r="3321" spans="1:4" x14ac:dyDescent="0.2">
      <c r="A3321" s="5">
        <v>3260</v>
      </c>
      <c r="B3321" s="1832">
        <f>'Acct Summary 7-8'!I79</f>
        <v>552233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839838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316566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31261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1926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11760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2247</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363760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43462</v>
      </c>
      <c r="D3387" s="2" t="str">
        <f t="shared" si="51"/>
        <v>Error?</v>
      </c>
    </row>
    <row r="3388" spans="1:4" x14ac:dyDescent="0.2">
      <c r="A3388" s="5">
        <v>3327</v>
      </c>
      <c r="B3388" s="1832">
        <f>'Expenditures 15-22'!D217</f>
        <v>31426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43462</v>
      </c>
      <c r="C3390" s="2" t="s">
        <v>569</v>
      </c>
      <c r="D3390" s="2" t="str">
        <f t="shared" si="51"/>
        <v>Error?</v>
      </c>
    </row>
    <row r="3391" spans="1:4" x14ac:dyDescent="0.2">
      <c r="A3391" s="5">
        <v>3330</v>
      </c>
      <c r="B3391" s="1832">
        <f>'Expenditures 15-22'!K217</f>
        <v>31426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465063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3146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451</v>
      </c>
      <c r="D3417" s="2" t="str">
        <f t="shared" si="52"/>
        <v>Error?</v>
      </c>
    </row>
    <row r="3418" spans="1:4" x14ac:dyDescent="0.2">
      <c r="A3418" s="10">
        <v>3357</v>
      </c>
      <c r="B3418" s="1832"/>
      <c r="D3418" s="2" t="str">
        <f t="shared" si="52"/>
        <v>OK</v>
      </c>
    </row>
    <row r="3419" spans="1:4" x14ac:dyDescent="0.2">
      <c r="A3419" s="5">
        <v>3358</v>
      </c>
      <c r="B3419" s="1832">
        <f>'Assets-Liab 5-6'!F4</f>
        <v>92353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3597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404842</v>
      </c>
      <c r="D3425" s="2" t="str">
        <f t="shared" si="52"/>
        <v>Error?</v>
      </c>
    </row>
    <row r="3426" spans="1:4" x14ac:dyDescent="0.2">
      <c r="A3426" s="10">
        <v>3365</v>
      </c>
      <c r="B3426" s="1832"/>
      <c r="D3426" s="2" t="str">
        <f t="shared" si="52"/>
        <v>OK</v>
      </c>
    </row>
    <row r="3427" spans="1:4" x14ac:dyDescent="0.2">
      <c r="A3427" s="5">
        <v>3366</v>
      </c>
      <c r="B3427" s="1832">
        <f>'Assets-Liab 5-6'!I4</f>
        <v>143289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293060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95592</v>
      </c>
      <c r="C3446" s="2" t="s">
        <v>569</v>
      </c>
      <c r="D3446" s="2" t="str">
        <f t="shared" si="52"/>
        <v>Error?</v>
      </c>
    </row>
    <row r="3447" spans="1:4" x14ac:dyDescent="0.2">
      <c r="A3447" s="5">
        <v>3386</v>
      </c>
      <c r="B3447" s="1832">
        <f>'Tax Sched 23'!D16</f>
        <v>95592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165057</v>
      </c>
      <c r="C3449" s="2" t="s">
        <v>569</v>
      </c>
      <c r="D3449" s="2" t="str">
        <f t="shared" si="52"/>
        <v>Error?</v>
      </c>
    </row>
    <row r="3450" spans="1:4" x14ac:dyDescent="0.2">
      <c r="A3450" s="5">
        <v>3389</v>
      </c>
      <c r="B3450" s="1832">
        <f>'Tax Sched 23'!E16</f>
        <v>165057</v>
      </c>
      <c r="D3450" s="2" t="str">
        <f t="shared" si="52"/>
        <v>Error?</v>
      </c>
    </row>
    <row r="3451" spans="1:4" x14ac:dyDescent="0.2">
      <c r="A3451" s="5">
        <v>3390</v>
      </c>
      <c r="B3451" s="1832">
        <f>'Cap Outlay Deprec 26'!C15</f>
        <v>85230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85230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43</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43</v>
      </c>
      <c r="D3567" s="2" t="str">
        <f t="shared" si="54"/>
        <v>Error?</v>
      </c>
    </row>
    <row r="3568" spans="1:4" x14ac:dyDescent="0.2">
      <c r="A3568" s="5">
        <v>3507</v>
      </c>
      <c r="B3568" s="1832">
        <f>'Assets-Liab 5-6'!K41</f>
        <v>43</v>
      </c>
      <c r="C3568" s="2" t="s">
        <v>569</v>
      </c>
      <c r="D3568" s="2" t="str">
        <f t="shared" si="54"/>
        <v>Error?</v>
      </c>
    </row>
    <row r="3569" spans="1:4" x14ac:dyDescent="0.2">
      <c r="A3569" s="5">
        <v>3508</v>
      </c>
      <c r="B3569" s="1832">
        <f>'Acct Summary 7-8'!K4</f>
        <v>28030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28030</v>
      </c>
      <c r="C3571" s="2" t="s">
        <v>569</v>
      </c>
      <c r="D3571" s="2" t="str">
        <f t="shared" si="54"/>
        <v>Error?</v>
      </c>
    </row>
    <row r="3572" spans="1:4" x14ac:dyDescent="0.2">
      <c r="A3572" s="5">
        <v>3511</v>
      </c>
      <c r="B3572" s="1832">
        <f>'Acct Summary 7-8'!K13</f>
        <v>313375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313375</v>
      </c>
      <c r="C3575" s="2" t="s">
        <v>569</v>
      </c>
      <c r="D3575" s="2" t="str">
        <f t="shared" si="54"/>
        <v>Error?</v>
      </c>
    </row>
    <row r="3576" spans="1:4" x14ac:dyDescent="0.2">
      <c r="A3576" s="5">
        <v>3515</v>
      </c>
      <c r="B3576" s="1832">
        <f>'Acct Summary 7-8'!K20</f>
        <v>-285345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-285345</v>
      </c>
      <c r="C3588" s="2" t="s">
        <v>569</v>
      </c>
      <c r="D3588" s="2" t="str">
        <f t="shared" si="55"/>
        <v>Error?</v>
      </c>
    </row>
    <row r="3589" spans="1:4" x14ac:dyDescent="0.2">
      <c r="A3589" s="5">
        <v>3528</v>
      </c>
      <c r="B3589" s="1832">
        <f>'Acct Summary 7-8'!K79</f>
        <v>285388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313375</v>
      </c>
      <c r="D3646" s="2" t="str">
        <f t="shared" si="55"/>
        <v>Error?</v>
      </c>
    </row>
    <row r="3647" spans="1:4" x14ac:dyDescent="0.2">
      <c r="A3647" s="5">
        <v>3586</v>
      </c>
      <c r="B3647" s="1832">
        <f>'Expenditures 15-22'!G350</f>
        <v>313375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313375</v>
      </c>
      <c r="C3649" s="2" t="s">
        <v>569</v>
      </c>
      <c r="D3649" s="2" t="str">
        <f t="shared" si="56"/>
        <v>Error?</v>
      </c>
    </row>
    <row r="3650" spans="1:4" x14ac:dyDescent="0.2">
      <c r="A3650" s="5">
        <v>3589</v>
      </c>
      <c r="B3650" s="1832">
        <f>'Expenditures 15-22'!G367</f>
        <v>313375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313375</v>
      </c>
      <c r="C3669" s="2" t="s">
        <v>569</v>
      </c>
      <c r="D3669" s="2" t="str">
        <f t="shared" si="56"/>
        <v>Error?</v>
      </c>
    </row>
    <row r="3670" spans="1:4" x14ac:dyDescent="0.2">
      <c r="A3670" s="5">
        <v>3609</v>
      </c>
      <c r="B3670" s="1832">
        <f>'Expenditures 15-22'!K350</f>
        <v>313375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313375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313375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-285345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27730</v>
      </c>
      <c r="C3725" s="2" t="s">
        <v>569</v>
      </c>
      <c r="D3725" s="2" t="str">
        <f t="shared" si="57"/>
        <v>Error?</v>
      </c>
    </row>
    <row r="3726" spans="1:4" x14ac:dyDescent="0.2">
      <c r="A3726" s="5">
        <v>3665</v>
      </c>
      <c r="B3726" s="1832">
        <f>'Tax Sched 23'!D13</f>
        <v>27730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49386</v>
      </c>
      <c r="C3728" s="2" t="s">
        <v>569</v>
      </c>
      <c r="D3728" s="2" t="str">
        <f t="shared" si="57"/>
        <v>Error?</v>
      </c>
    </row>
    <row r="3729" spans="1:4" x14ac:dyDescent="0.2">
      <c r="A3729" s="5">
        <v>3668</v>
      </c>
      <c r="B3729" s="1832">
        <f>'Tax Sched 23'!E13</f>
        <v>49386</v>
      </c>
      <c r="D3729" s="2" t="str">
        <f t="shared" si="57"/>
        <v>Error?</v>
      </c>
    </row>
    <row r="3730" spans="1:4" x14ac:dyDescent="0.2">
      <c r="A3730" s="5">
        <v>3669</v>
      </c>
      <c r="B3730" s="1832">
        <f>'ICR Computation 30'!E10</f>
        <v>123058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2723230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8408340</v>
      </c>
      <c r="C4122" s="2" t="s">
        <v>569</v>
      </c>
      <c r="D4122" s="2" t="str">
        <f t="shared" si="63"/>
        <v>Error?</v>
      </c>
    </row>
    <row r="4123" spans="1:4" x14ac:dyDescent="0.2">
      <c r="A4123" s="5">
        <v>4062</v>
      </c>
      <c r="B4123" s="1832">
        <f>'Acct Summary 7-8'!D10</f>
        <v>314499</v>
      </c>
      <c r="C4123" s="2" t="s">
        <v>569</v>
      </c>
      <c r="D4123" s="2" t="str">
        <f t="shared" si="63"/>
        <v>Error?</v>
      </c>
    </row>
    <row r="4124" spans="1:4" x14ac:dyDescent="0.2">
      <c r="A4124" s="5">
        <v>4063</v>
      </c>
      <c r="B4124" s="1832">
        <f>'Acct Summary 7-8'!E10</f>
        <v>586563</v>
      </c>
      <c r="C4124" s="2" t="s">
        <v>569</v>
      </c>
      <c r="D4124" s="2" t="str">
        <f t="shared" si="63"/>
        <v>Error?</v>
      </c>
    </row>
    <row r="4125" spans="1:4" x14ac:dyDescent="0.2">
      <c r="A4125" s="5">
        <v>4064</v>
      </c>
      <c r="B4125" s="1832">
        <f>'Acct Summary 7-8'!F10</f>
        <v>320263</v>
      </c>
      <c r="C4125" s="2" t="s">
        <v>569</v>
      </c>
      <c r="D4125" s="2" t="str">
        <f t="shared" si="63"/>
        <v>Error?</v>
      </c>
    </row>
    <row r="4126" spans="1:4" x14ac:dyDescent="0.2">
      <c r="A4126" s="5">
        <v>4065</v>
      </c>
      <c r="B4126" s="1832">
        <f>'Acct Summary 7-8'!G10</f>
        <v>181258</v>
      </c>
      <c r="C4126" s="2" t="s">
        <v>569</v>
      </c>
      <c r="D4126" s="2" t="str">
        <f t="shared" si="63"/>
        <v>Error?</v>
      </c>
    </row>
    <row r="4127" spans="1:4" x14ac:dyDescent="0.2">
      <c r="A4127" s="5">
        <v>4066</v>
      </c>
      <c r="B4127" s="1832">
        <f>'Acct Summary 7-8'!H10</f>
        <v>127359</v>
      </c>
      <c r="C4127" s="2" t="s">
        <v>569</v>
      </c>
      <c r="D4127" s="2" t="str">
        <f t="shared" si="63"/>
        <v>Error?</v>
      </c>
    </row>
    <row r="4128" spans="1:4" x14ac:dyDescent="0.2">
      <c r="A4128" s="5">
        <v>4067</v>
      </c>
      <c r="B4128" s="1832">
        <f>'Acct Summary 7-8'!I10</f>
        <v>28828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28030</v>
      </c>
      <c r="C4130" s="2" t="s">
        <v>569</v>
      </c>
      <c r="D4130" s="2" t="str">
        <f t="shared" si="63"/>
        <v>Error?</v>
      </c>
    </row>
    <row r="4131" spans="1:4" x14ac:dyDescent="0.2">
      <c r="A4131" s="5">
        <v>4070</v>
      </c>
      <c r="B4131" s="1832">
        <f>'Acct Summary 7-8'!C18</f>
        <v>2723230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9509706</v>
      </c>
      <c r="C4136" s="2" t="s">
        <v>569</v>
      </c>
      <c r="D4136" s="2" t="str">
        <f t="shared" si="63"/>
        <v>Error?</v>
      </c>
    </row>
    <row r="4137" spans="1:4" x14ac:dyDescent="0.2">
      <c r="A4137" s="5">
        <v>4076</v>
      </c>
      <c r="B4137" s="1832">
        <f>'Acct Summary 7-8'!D19</f>
        <v>481608</v>
      </c>
      <c r="C4137" s="2" t="s">
        <v>569</v>
      </c>
      <c r="D4137" s="2" t="str">
        <f t="shared" si="63"/>
        <v>Error?</v>
      </c>
    </row>
    <row r="4138" spans="1:4" x14ac:dyDescent="0.2">
      <c r="A4138" s="5">
        <v>4077</v>
      </c>
      <c r="B4138" s="1832">
        <f>'Acct Summary 7-8'!E19</f>
        <v>928247</v>
      </c>
      <c r="C4138" s="2" t="s">
        <v>569</v>
      </c>
      <c r="D4138" s="2" t="str">
        <f t="shared" si="63"/>
        <v>Error?</v>
      </c>
    </row>
    <row r="4139" spans="1:4" x14ac:dyDescent="0.2">
      <c r="A4139" s="5">
        <v>4078</v>
      </c>
      <c r="B4139" s="1832">
        <f>'Acct Summary 7-8'!F19</f>
        <v>399188</v>
      </c>
      <c r="C4139" s="2" t="s">
        <v>569</v>
      </c>
      <c r="D4139" s="2" t="str">
        <f t="shared" si="63"/>
        <v>Error?</v>
      </c>
    </row>
    <row r="4140" spans="1:4" x14ac:dyDescent="0.2">
      <c r="A4140" s="5">
        <v>4079</v>
      </c>
      <c r="B4140" s="1832">
        <f>'Acct Summary 7-8'!G19</f>
        <v>267652</v>
      </c>
      <c r="C4140" s="2" t="s">
        <v>569</v>
      </c>
      <c r="D4140" s="2" t="str">
        <f t="shared" si="63"/>
        <v>Error?</v>
      </c>
    </row>
    <row r="4141" spans="1:4" x14ac:dyDescent="0.2">
      <c r="A4141" s="5">
        <v>4080</v>
      </c>
      <c r="B4141" s="1832">
        <f>'Acct Summary 7-8'!H19</f>
        <v>2567597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313375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12835400</v>
      </c>
      <c r="C4171" s="2" t="s">
        <v>569</v>
      </c>
      <c r="D4171" s="2" t="str">
        <f t="shared" si="64"/>
        <v>Error?</v>
      </c>
    </row>
    <row r="4172" spans="1:4" x14ac:dyDescent="0.2">
      <c r="A4172" s="5">
        <v>4111</v>
      </c>
      <c r="B4172" s="1832">
        <f>'Short-Term Long-Term Debt 24'!J49</f>
        <v>12711847</v>
      </c>
      <c r="C4172" s="2" t="s">
        <v>569</v>
      </c>
      <c r="D4172" s="2" t="str">
        <f t="shared" si="64"/>
        <v>Error?</v>
      </c>
    </row>
    <row r="4173" spans="1:4" x14ac:dyDescent="0.2">
      <c r="A4173" s="5">
        <v>4112</v>
      </c>
      <c r="B4173" s="1832">
        <f>'Short-Term Long-Term Debt 24'!H49</f>
        <v>475000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3170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3870</v>
      </c>
      <c r="C4268" s="2" t="s">
        <v>569</v>
      </c>
      <c r="D4268" s="2" t="str">
        <f t="shared" si="65"/>
        <v>Error?</v>
      </c>
    </row>
    <row r="4269" spans="1:5" x14ac:dyDescent="0.2">
      <c r="A4269" s="12">
        <v>4208</v>
      </c>
      <c r="B4269" s="1832">
        <f>'FP Info 3'!J16</f>
        <v>3595872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7563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25606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15841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46350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32446</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98771371</v>
      </c>
      <c r="D4995" s="2" t="str">
        <f t="shared" si="77"/>
        <v>Error?</v>
      </c>
    </row>
    <row r="4996" spans="1:4" x14ac:dyDescent="0.2">
      <c r="A4996" s="12">
        <v>4935</v>
      </c>
      <c r="B4996" s="1832">
        <f>'FP Info 3'!H31</f>
        <v>13630449.198000001</v>
      </c>
      <c r="D4996" s="2" t="str">
        <f t="shared" si="77"/>
        <v>Error?</v>
      </c>
    </row>
    <row r="4997" spans="1:4" x14ac:dyDescent="0.2">
      <c r="A4997" s="12">
        <v>4936</v>
      </c>
      <c r="B4997" s="1832">
        <f>'FP Info 3'!H37</f>
        <v>12835400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27730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1758065</v>
      </c>
      <c r="D5061" s="2" t="str">
        <f t="shared" si="78"/>
        <v>Error?</v>
      </c>
    </row>
    <row r="5062" spans="1:4" x14ac:dyDescent="0.2">
      <c r="A5062" s="10">
        <v>5001</v>
      </c>
      <c r="B5062" s="1832"/>
      <c r="D5062" s="2" t="str">
        <f t="shared" si="78"/>
        <v>OK</v>
      </c>
    </row>
    <row r="5063" spans="1:4" x14ac:dyDescent="0.2">
      <c r="A5063" s="5">
        <v>5002</v>
      </c>
      <c r="B5063" s="1832">
        <f>'Revenues 9-14'!C7</f>
        <v>22184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1807979</v>
      </c>
      <c r="C5066" s="2" t="s">
        <v>569</v>
      </c>
      <c r="D5066" s="2" t="str">
        <f t="shared" si="78"/>
        <v>Error?</v>
      </c>
    </row>
    <row r="5067" spans="1:4" x14ac:dyDescent="0.2">
      <c r="A5067" s="5">
        <v>5006</v>
      </c>
      <c r="B5067" s="1832">
        <f>'Revenues 9-14'!C14</f>
        <v>272</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275818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276090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3822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3822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3303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92529</v>
      </c>
      <c r="C5096" s="2" t="s">
        <v>569</v>
      </c>
      <c r="D5096" s="2" t="str">
        <f t="shared" si="78"/>
        <v>Error?</v>
      </c>
    </row>
    <row r="5097" spans="1:4" x14ac:dyDescent="0.2">
      <c r="A5097" s="5">
        <v>5036</v>
      </c>
      <c r="B5097" s="1832">
        <f>'Revenues 9-14'!C77</f>
        <v>16679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98024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4792</v>
      </c>
      <c r="D5101" s="2" t="str">
        <f t="shared" si="78"/>
        <v>Error?</v>
      </c>
    </row>
    <row r="5102" spans="1:4" x14ac:dyDescent="0.2">
      <c r="A5102" s="5">
        <v>5041</v>
      </c>
      <c r="B5102" s="1832">
        <f>'Revenues 9-14'!C82</f>
        <v>119495</v>
      </c>
      <c r="C5102" s="2" t="s">
        <v>569</v>
      </c>
      <c r="D5102" s="2" t="str">
        <f t="shared" si="78"/>
        <v>Error?</v>
      </c>
    </row>
    <row r="5103" spans="1:4" x14ac:dyDescent="0.2">
      <c r="A5103" s="5">
        <v>5042</v>
      </c>
      <c r="B5103" s="1832">
        <f>'Revenues 9-14'!C84</f>
        <v>37695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37695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15678</v>
      </c>
      <c r="D5114" s="2" t="str">
        <f t="shared" si="78"/>
        <v>Error?</v>
      </c>
    </row>
    <row r="5115" spans="1:4" x14ac:dyDescent="0.2">
      <c r="A5115" s="5">
        <v>5054</v>
      </c>
      <c r="B5115" s="1832">
        <f>'Revenues 9-14'!C98</f>
        <v>145961</v>
      </c>
      <c r="D5115" s="2" t="str">
        <f t="shared" si="78"/>
        <v>Error?</v>
      </c>
    </row>
    <row r="5116" spans="1:4" x14ac:dyDescent="0.2">
      <c r="A5116" s="5">
        <v>5055</v>
      </c>
      <c r="B5116" s="1832">
        <f>'Revenues 9-14'!C99</f>
        <v>10139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90737</v>
      </c>
      <c r="D5118" s="2" t="str">
        <f t="shared" si="78"/>
        <v>Error?</v>
      </c>
    </row>
    <row r="5119" spans="1:4" x14ac:dyDescent="0.2">
      <c r="A5119" s="5">
        <v>5058</v>
      </c>
      <c r="B5119" s="1832">
        <f>'Revenues 9-14'!C107</f>
        <v>246</v>
      </c>
      <c r="D5119" s="2" t="str">
        <f t="shared" ref="D5119:D5182" si="79">IF(ISBLANK(B5119),"OK",IF(A5119-B5119=0,"OK","Error?"))</f>
        <v>Error?</v>
      </c>
    </row>
    <row r="5120" spans="1:4" x14ac:dyDescent="0.2">
      <c r="A5120" s="5">
        <v>5059</v>
      </c>
      <c r="B5120" s="1832">
        <f>'Revenues 9-14'!C108</f>
        <v>468521</v>
      </c>
      <c r="C5120" s="2" t="s">
        <v>569</v>
      </c>
      <c r="D5120" s="2" t="str">
        <f t="shared" si="79"/>
        <v>Error?</v>
      </c>
    </row>
    <row r="5121" spans="1:4" x14ac:dyDescent="0.2">
      <c r="A5121" s="5">
        <v>5060</v>
      </c>
      <c r="B5121" s="1832">
        <f>'Revenues 9-14'!C109</f>
        <v>2806131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1867278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1867278</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62571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62571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11747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863</v>
      </c>
      <c r="D5167" s="2" t="str">
        <f t="shared" si="79"/>
        <v>Error?</v>
      </c>
    </row>
    <row r="5168" spans="1:4" x14ac:dyDescent="0.2">
      <c r="A5168" s="5">
        <v>5107</v>
      </c>
      <c r="B5168" s="1832">
        <f>'Revenues 9-14'!C148</f>
        <v>8245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130526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1997804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346797</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379243</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57549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11224</v>
      </c>
      <c r="D5241" s="2" t="str">
        <f t="shared" si="80"/>
        <v>Error?</v>
      </c>
    </row>
    <row r="5242" spans="1:4" x14ac:dyDescent="0.2">
      <c r="A5242" s="5">
        <v>5181</v>
      </c>
      <c r="B5242" s="1832">
        <f>'Revenues 9-14'!C194</f>
        <v>53858</v>
      </c>
      <c r="D5242" s="2" t="str">
        <f t="shared" si="80"/>
        <v>Error?</v>
      </c>
    </row>
    <row r="5243" spans="1:4" x14ac:dyDescent="0.2">
      <c r="A5243" s="5">
        <v>5182</v>
      </c>
      <c r="B5243" s="1832">
        <f>'Revenues 9-14'!C195</f>
        <v>11072</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133703</v>
      </c>
      <c r="C5246" s="2" t="s">
        <v>569</v>
      </c>
      <c r="D5246" s="2" t="str">
        <f t="shared" si="80"/>
        <v>Error?</v>
      </c>
    </row>
    <row r="5247" spans="1:4" x14ac:dyDescent="0.2">
      <c r="A5247" s="5">
        <v>5186</v>
      </c>
      <c r="B5247" s="1832">
        <f>'Revenues 9-14'!C200</f>
        <v>88172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101768</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189940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129279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129279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501932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881175</v>
      </c>
      <c r="C5326" s="2" t="s">
        <v>569</v>
      </c>
      <c r="D5326" s="2" t="str">
        <f t="shared" si="82"/>
        <v>Error?</v>
      </c>
    </row>
    <row r="5327" spans="1:5" x14ac:dyDescent="0.2">
      <c r="A5327" s="5">
        <v>5266</v>
      </c>
      <c r="B5327" s="1832">
        <f>'Revenues 9-14'!C268</f>
        <v>5685110</v>
      </c>
      <c r="C5327" s="2" t="s">
        <v>569</v>
      </c>
      <c r="D5327" s="2" t="str">
        <f t="shared" si="82"/>
        <v>Error?</v>
      </c>
    </row>
    <row r="5328" spans="1:5" x14ac:dyDescent="0.2">
      <c r="A5328" s="5">
        <v>5267</v>
      </c>
      <c r="B5328" s="1832">
        <f>'Revenues 9-14'!D5</f>
        <v>277298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277298</v>
      </c>
      <c r="C5334" s="2" t="s">
        <v>569</v>
      </c>
      <c r="D5334" s="2" t="str">
        <f t="shared" si="82"/>
        <v>Error?</v>
      </c>
    </row>
    <row r="5335" spans="1:4" x14ac:dyDescent="0.2">
      <c r="A5335" s="5">
        <v>5274</v>
      </c>
      <c r="B5335" s="1832">
        <f>'Revenues 9-14'!D14</f>
        <v>42</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42</v>
      </c>
      <c r="C5339" s="2" t="s">
        <v>569</v>
      </c>
      <c r="D5339" s="2" t="str">
        <f t="shared" si="82"/>
        <v>Error?</v>
      </c>
    </row>
    <row r="5340" spans="1:4" x14ac:dyDescent="0.2">
      <c r="A5340" s="5">
        <v>5279</v>
      </c>
      <c r="B5340" s="1832">
        <f>'Revenues 9-14'!D65</f>
        <v>1249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1249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35910</v>
      </c>
      <c r="D5354" s="2" t="str">
        <f t="shared" si="82"/>
        <v>Error?</v>
      </c>
    </row>
    <row r="5355" spans="1:4" x14ac:dyDescent="0.2">
      <c r="A5355" s="5">
        <v>5294</v>
      </c>
      <c r="B5355" s="1832">
        <f>'Revenues 9-14'!D108</f>
        <v>35910</v>
      </c>
      <c r="C5355" s="2" t="s">
        <v>569</v>
      </c>
      <c r="D5355" s="2" t="str">
        <f t="shared" si="82"/>
        <v>Error?</v>
      </c>
    </row>
    <row r="5356" spans="1:4" x14ac:dyDescent="0.2">
      <c r="A5356" s="5">
        <v>5295</v>
      </c>
      <c r="B5356" s="1832">
        <f>'Revenues 9-14'!D109</f>
        <v>314499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314499</v>
      </c>
      <c r="C5508" s="2" t="s">
        <v>569</v>
      </c>
      <c r="D5508" s="2" t="str">
        <f t="shared" si="85"/>
        <v>Error?</v>
      </c>
    </row>
    <row r="5509" spans="1:4" x14ac:dyDescent="0.2">
      <c r="A5509" s="5">
        <v>5448</v>
      </c>
      <c r="B5509" s="1832">
        <f>'Revenues 9-14'!E5</f>
        <v>436869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436869</v>
      </c>
      <c r="C5513" s="2" t="s">
        <v>569</v>
      </c>
      <c r="D5513" s="2" t="str">
        <f t="shared" si="85"/>
        <v>Error?</v>
      </c>
    </row>
    <row r="5514" spans="1:4" x14ac:dyDescent="0.2">
      <c r="A5514" s="5">
        <v>5453</v>
      </c>
      <c r="B5514" s="1832">
        <f>'Revenues 9-14'!E14</f>
        <v>65</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65</v>
      </c>
      <c r="C5518" s="2" t="s">
        <v>569</v>
      </c>
      <c r="D5518" s="2" t="str">
        <f t="shared" si="85"/>
        <v>Error?</v>
      </c>
    </row>
    <row r="5519" spans="1:4" x14ac:dyDescent="0.2">
      <c r="A5519" s="5">
        <v>5458</v>
      </c>
      <c r="B5519" s="1832">
        <f>'Revenues 9-14'!E65</f>
        <v>1939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1939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147690</v>
      </c>
      <c r="C5526" s="2" t="s">
        <v>569</v>
      </c>
      <c r="D5526" s="2" t="str">
        <f t="shared" si="85"/>
        <v>Error?</v>
      </c>
    </row>
    <row r="5527" spans="1:4" x14ac:dyDescent="0.2">
      <c r="A5527" s="5">
        <v>5466</v>
      </c>
      <c r="B5527" s="1832">
        <f>'Revenues 9-14'!E109</f>
        <v>586563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586563</v>
      </c>
      <c r="C5552" s="2" t="s">
        <v>569</v>
      </c>
      <c r="D5552" s="2" t="str">
        <f t="shared" si="85"/>
        <v>Error?</v>
      </c>
    </row>
    <row r="5553" spans="1:4" x14ac:dyDescent="0.2">
      <c r="A5553" s="5">
        <v>5492</v>
      </c>
      <c r="B5553" s="1832">
        <f>'Revenues 9-14'!F5</f>
        <v>110919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110919</v>
      </c>
      <c r="C5557" s="2" t="s">
        <v>569</v>
      </c>
      <c r="D5557" s="2" t="str">
        <f t="shared" si="85"/>
        <v>Error?</v>
      </c>
    </row>
    <row r="5558" spans="1:4" x14ac:dyDescent="0.2">
      <c r="A5558" s="5">
        <v>5497</v>
      </c>
      <c r="B5558" s="1832">
        <f>'Revenues 9-14'!F14</f>
        <v>17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17</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772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772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111708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129959</v>
      </c>
      <c r="D5615" s="2" t="str">
        <f t="shared" si="86"/>
        <v>Error?</v>
      </c>
    </row>
    <row r="5616" spans="1:4" x14ac:dyDescent="0.2">
      <c r="A5616" s="10">
        <v>5555</v>
      </c>
      <c r="B5616" s="1832"/>
      <c r="D5616" s="2" t="str">
        <f t="shared" si="86"/>
        <v>OK</v>
      </c>
    </row>
    <row r="5617" spans="1:5" x14ac:dyDescent="0.2">
      <c r="A5617" s="5">
        <v>5556</v>
      </c>
      <c r="B5617" s="1832">
        <f>'Revenues 9-14'!F153</f>
        <v>78596</v>
      </c>
      <c r="D5617" s="2" t="str">
        <f t="shared" si="86"/>
        <v>Error?</v>
      </c>
    </row>
    <row r="5618" spans="1:5" x14ac:dyDescent="0.2">
      <c r="A5618" s="5">
        <v>5557</v>
      </c>
      <c r="B5618" s="1832">
        <f>'Revenues 9-14'!F155</f>
        <v>208555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208555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208555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320263</v>
      </c>
      <c r="C5720" s="2" t="s">
        <v>569</v>
      </c>
      <c r="D5720" s="2" t="str">
        <f t="shared" si="88"/>
        <v>Error?</v>
      </c>
    </row>
    <row r="5721" spans="1:4" x14ac:dyDescent="0.2">
      <c r="A5721" s="5">
        <v>5660</v>
      </c>
      <c r="B5721" s="1832">
        <f>'Revenues 9-14'!G5</f>
        <v>66627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95592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162219</v>
      </c>
      <c r="C5725" s="2" t="s">
        <v>569</v>
      </c>
      <c r="D5725" s="2" t="str">
        <f t="shared" si="88"/>
        <v>Error?</v>
      </c>
    </row>
    <row r="5726" spans="1:4" x14ac:dyDescent="0.2">
      <c r="A5726" s="5">
        <v>5665</v>
      </c>
      <c r="B5726" s="1832">
        <f>'Revenues 9-14'!G14</f>
        <v>24</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17939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17963</v>
      </c>
      <c r="C5730" s="2" t="s">
        <v>569</v>
      </c>
      <c r="D5730" s="2" t="str">
        <f t="shared" si="88"/>
        <v>Error?</v>
      </c>
    </row>
    <row r="5731" spans="1:4" x14ac:dyDescent="0.2">
      <c r="A5731" s="5">
        <v>5670</v>
      </c>
      <c r="B5731" s="1832">
        <f>'Revenues 9-14'!G65</f>
        <v>1076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1076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181258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77359</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127359</v>
      </c>
      <c r="C5915" s="2" t="s">
        <v>569</v>
      </c>
      <c r="D5915" s="2" t="str">
        <f t="shared" si="91"/>
        <v>Error?</v>
      </c>
    </row>
    <row r="5916" spans="1:4" x14ac:dyDescent="0.2">
      <c r="A5916" s="5">
        <v>5855</v>
      </c>
      <c r="B5916" s="1832">
        <f>'Revenues 9-14'!I5</f>
        <v>27730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27730</v>
      </c>
      <c r="C5918" s="2" t="s">
        <v>569</v>
      </c>
      <c r="D5918" s="2" t="str">
        <f t="shared" si="91"/>
        <v>Error?</v>
      </c>
    </row>
    <row r="5919" spans="1:4" x14ac:dyDescent="0.2">
      <c r="A5919" s="5">
        <v>5858</v>
      </c>
      <c r="B5919" s="1832">
        <f>'Revenues 9-14'!I14</f>
        <v>4</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4</v>
      </c>
      <c r="C5923" s="2" t="s">
        <v>569</v>
      </c>
      <c r="D5923" s="2" t="str">
        <f t="shared" si="91"/>
        <v>Error?</v>
      </c>
    </row>
    <row r="5924" spans="1:4" x14ac:dyDescent="0.2">
      <c r="A5924" s="5">
        <v>5863</v>
      </c>
      <c r="B5924" s="1832">
        <f>'Revenues 9-14'!I65</f>
        <v>1094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1094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28828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27730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27730</v>
      </c>
      <c r="C5987" s="2" t="s">
        <v>569</v>
      </c>
      <c r="D5987" s="2" t="str">
        <f t="shared" si="92"/>
        <v>Error?</v>
      </c>
    </row>
    <row r="5988" spans="1:4" x14ac:dyDescent="0.2">
      <c r="A5988" s="5">
        <v>5927</v>
      </c>
      <c r="B5988" s="1832">
        <f>'Revenues 9-14'!K14</f>
        <v>4</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4</v>
      </c>
      <c r="C5992" s="2" t="s">
        <v>569</v>
      </c>
      <c r="D5992" s="2" t="str">
        <f t="shared" si="92"/>
        <v>Error?</v>
      </c>
    </row>
    <row r="5993" spans="1:4" x14ac:dyDescent="0.2">
      <c r="A5993" s="5">
        <v>5932</v>
      </c>
      <c r="B5993" s="1832">
        <f>'Revenues 9-14'!K65</f>
        <v>296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296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28030</v>
      </c>
      <c r="C6023" s="2" t="s">
        <v>569</v>
      </c>
      <c r="D6023" s="2" t="str">
        <f t="shared" si="93"/>
        <v>Error?</v>
      </c>
    </row>
    <row r="6024" spans="1:5" x14ac:dyDescent="0.2">
      <c r="A6024" s="5">
        <v>5963</v>
      </c>
      <c r="B6024" s="1832">
        <f>'Revenues 9-14'!G109</f>
        <v>181258</v>
      </c>
      <c r="C6024" s="2" t="s">
        <v>569</v>
      </c>
      <c r="D6024" s="2" t="str">
        <f t="shared" si="93"/>
        <v>Error?</v>
      </c>
    </row>
    <row r="6025" spans="1:5" x14ac:dyDescent="0.2">
      <c r="A6025" s="5">
        <v>5964</v>
      </c>
      <c r="B6025" s="1832">
        <f>'Revenues 9-14'!H109</f>
        <v>77359</v>
      </c>
      <c r="C6025" s="2" t="s">
        <v>569</v>
      </c>
      <c r="D6025" s="2" t="str">
        <f t="shared" si="93"/>
        <v>Error?</v>
      </c>
    </row>
    <row r="6026" spans="1:5" x14ac:dyDescent="0.2">
      <c r="A6026" s="5">
        <v>5965</v>
      </c>
      <c r="B6026" s="1832">
        <f>'Revenues 9-14'!I109</f>
        <v>28828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28030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89226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18789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719.5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118514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118514</v>
      </c>
      <c r="D6215" s="2" t="str">
        <f t="shared" si="96"/>
        <v>Error?</v>
      </c>
      <c r="E6215" s="2" t="s">
        <v>189</v>
      </c>
    </row>
    <row r="6216" spans="1:5" x14ac:dyDescent="0.2">
      <c r="A6216">
        <v>6155</v>
      </c>
      <c r="B6216" s="1832">
        <f>'Assets-Liab 5-6'!J41</f>
        <v>118514</v>
      </c>
      <c r="D6216" s="2" t="str">
        <f t="shared" si="96"/>
        <v>Error?</v>
      </c>
      <c r="E6216" s="2" t="s">
        <v>189</v>
      </c>
    </row>
    <row r="6217" spans="1:5" x14ac:dyDescent="0.2">
      <c r="A6217">
        <v>6156</v>
      </c>
      <c r="B6217" s="1832">
        <f>'Assets-Liab 5-6'!J4</f>
        <v>6675</v>
      </c>
      <c r="D6217" s="2" t="str">
        <f t="shared" si="96"/>
        <v>Error?</v>
      </c>
      <c r="E6217" s="2" t="s">
        <v>189</v>
      </c>
    </row>
    <row r="6218" spans="1:5" x14ac:dyDescent="0.2">
      <c r="A6218">
        <v>6157</v>
      </c>
      <c r="B6218" s="1832">
        <f>'Assets-Liab 5-6'!J5</f>
        <v>111839</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212029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212029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212029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200368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200368</v>
      </c>
      <c r="D6229" s="2" t="str">
        <f t="shared" si="96"/>
        <v>Error?</v>
      </c>
      <c r="E6229" s="2" t="s">
        <v>189</v>
      </c>
    </row>
    <row r="6230" spans="1:5" x14ac:dyDescent="0.2">
      <c r="A6230">
        <v>6169</v>
      </c>
      <c r="B6230" s="1832">
        <f>'Acct Summary 7-8'!J20</f>
        <v>11661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11661</v>
      </c>
      <c r="D6263" s="2" t="str">
        <f t="shared" si="96"/>
        <v>Error?</v>
      </c>
      <c r="E6263" s="2" t="s">
        <v>189</v>
      </c>
    </row>
    <row r="6264" spans="1:5" x14ac:dyDescent="0.2">
      <c r="A6264">
        <v>6203</v>
      </c>
      <c r="B6264" s="1832">
        <f>'Acct Summary 7-8'!J79</f>
        <v>106853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118514</v>
      </c>
      <c r="D6266" s="2" t="str">
        <f t="shared" si="96"/>
        <v>Error?</v>
      </c>
      <c r="E6266" s="2" t="s">
        <v>189</v>
      </c>
    </row>
    <row r="6267" spans="1:5" x14ac:dyDescent="0.2">
      <c r="A6267">
        <v>6206</v>
      </c>
      <c r="B6267" s="1832">
        <f>'Acct Summary 7-8'!C82</f>
        <v>-701366</v>
      </c>
      <c r="D6267" s="2" t="str">
        <f t="shared" si="96"/>
        <v>Error?</v>
      </c>
      <c r="E6267" s="2" t="s">
        <v>189</v>
      </c>
    </row>
    <row r="6268" spans="1:5" x14ac:dyDescent="0.2">
      <c r="A6268">
        <v>6207</v>
      </c>
      <c r="B6268" s="1832">
        <f>'Acct Summary 7-8'!D82</f>
        <v>-167109</v>
      </c>
      <c r="D6268" s="2" t="str">
        <f t="shared" si="96"/>
        <v>Error?</v>
      </c>
      <c r="E6268" s="2" t="s">
        <v>189</v>
      </c>
    </row>
    <row r="6269" spans="1:5" x14ac:dyDescent="0.2">
      <c r="A6269">
        <v>6208</v>
      </c>
      <c r="B6269" s="1832">
        <f>'Acct Summary 7-8'!E82</f>
        <v>-315061</v>
      </c>
      <c r="D6269" s="2" t="str">
        <f t="shared" si="96"/>
        <v>Error?</v>
      </c>
      <c r="E6269" s="2" t="s">
        <v>189</v>
      </c>
    </row>
    <row r="6270" spans="1:5" x14ac:dyDescent="0.2">
      <c r="A6270">
        <v>6209</v>
      </c>
      <c r="B6270" s="1832">
        <f>'Acct Summary 7-8'!F82</f>
        <v>-78925</v>
      </c>
      <c r="D6270" s="2" t="str">
        <f t="shared" si="96"/>
        <v>Error?</v>
      </c>
      <c r="E6270" s="2" t="s">
        <v>189</v>
      </c>
    </row>
    <row r="6271" spans="1:5" x14ac:dyDescent="0.2">
      <c r="A6271">
        <v>6210</v>
      </c>
      <c r="B6271" s="1832">
        <f>'Acct Summary 7-8'!G82</f>
        <v>-86394</v>
      </c>
      <c r="D6271" s="2" t="str">
        <f t="shared" ref="D6271:D6334" si="97">IF(ISBLANK(B6271),"OK",IF(A6271-B6271=0,"OK","Error?"))</f>
        <v>Error?</v>
      </c>
      <c r="E6271" s="2" t="s">
        <v>189</v>
      </c>
    </row>
    <row r="6272" spans="1:5" x14ac:dyDescent="0.2">
      <c r="A6272">
        <v>6211</v>
      </c>
      <c r="B6272" s="1832">
        <f>'Acct Summary 7-8'!H82</f>
        <v>-1340238</v>
      </c>
      <c r="D6272" s="2" t="str">
        <f t="shared" si="97"/>
        <v>Error?</v>
      </c>
      <c r="E6272" s="2" t="s">
        <v>189</v>
      </c>
    </row>
    <row r="6273" spans="1:5" x14ac:dyDescent="0.2">
      <c r="A6273">
        <v>6212</v>
      </c>
      <c r="B6273" s="1832">
        <f>'Acct Summary 7-8'!I82</f>
        <v>287605</v>
      </c>
      <c r="D6273" s="2" t="str">
        <f t="shared" si="97"/>
        <v>Error?</v>
      </c>
      <c r="E6273" s="2" t="s">
        <v>189</v>
      </c>
    </row>
    <row r="6274" spans="1:5" x14ac:dyDescent="0.2">
      <c r="A6274">
        <v>6213</v>
      </c>
      <c r="B6274" s="1832">
        <f>'Acct Summary 7-8'!J82</f>
        <v>11661</v>
      </c>
      <c r="D6274" s="2" t="str">
        <f t="shared" si="97"/>
        <v>Error?</v>
      </c>
      <c r="E6274" s="2" t="s">
        <v>189</v>
      </c>
    </row>
    <row r="6275" spans="1:5" x14ac:dyDescent="0.2">
      <c r="A6275">
        <v>6214</v>
      </c>
      <c r="B6275" s="1832">
        <f>'Acct Summary 7-8'!K82</f>
        <v>-285345</v>
      </c>
      <c r="D6275" s="2" t="str">
        <f t="shared" si="97"/>
        <v>Error?</v>
      </c>
      <c r="E6275" s="2" t="s">
        <v>189</v>
      </c>
    </row>
    <row r="6276" spans="1:5" x14ac:dyDescent="0.2">
      <c r="A6276">
        <v>6215</v>
      </c>
      <c r="B6276" s="1832">
        <f>'Acct Summary 7-8'!C83</f>
        <v>-0.37054769117626857</v>
      </c>
      <c r="D6276" s="2" t="str">
        <f t="shared" si="97"/>
        <v>Error?</v>
      </c>
      <c r="E6276" s="2" t="s">
        <v>189</v>
      </c>
    </row>
    <row r="6277" spans="1:5" x14ac:dyDescent="0.2">
      <c r="A6277">
        <v>6216</v>
      </c>
      <c r="B6277" s="1832">
        <f>'Acct Summary 7-8'!D83</f>
        <v>-0.38131236494488269</v>
      </c>
      <c r="D6277" s="2" t="str">
        <f t="shared" si="97"/>
        <v>Error?</v>
      </c>
      <c r="E6277" s="2" t="s">
        <v>189</v>
      </c>
    </row>
    <row r="6278" spans="1:5" x14ac:dyDescent="0.2">
      <c r="A6278">
        <v>6217</v>
      </c>
      <c r="B6278" s="1832">
        <f>'Acct Summary 7-8'!E83</f>
        <v>-2.5500068796386977</v>
      </c>
      <c r="D6278" s="2" t="str">
        <f t="shared" si="97"/>
        <v>Error?</v>
      </c>
      <c r="E6278" s="2" t="s">
        <v>189</v>
      </c>
    </row>
    <row r="6279" spans="1:5" x14ac:dyDescent="0.2">
      <c r="A6279">
        <v>6218</v>
      </c>
      <c r="B6279" s="1832">
        <f>'Acct Summary 7-8'!F83</f>
        <v>-0.18570369760355759</v>
      </c>
      <c r="D6279" s="2" t="str">
        <f t="shared" si="97"/>
        <v>Error?</v>
      </c>
      <c r="E6279" s="2" t="s">
        <v>189</v>
      </c>
    </row>
    <row r="6280" spans="1:5" x14ac:dyDescent="0.2">
      <c r="A6280">
        <v>6219</v>
      </c>
      <c r="B6280" s="1832">
        <f>'Acct Summary 7-8'!G83</f>
        <v>-0.20844150204113146</v>
      </c>
      <c r="D6280" s="2" t="str">
        <f t="shared" si="97"/>
        <v>Error?</v>
      </c>
      <c r="E6280" s="2" t="s">
        <v>189</v>
      </c>
    </row>
    <row r="6281" spans="1:5" x14ac:dyDescent="0.2">
      <c r="A6281">
        <v>6220</v>
      </c>
      <c r="B6281" s="1832">
        <f>'Acct Summary 7-8'!H83</f>
        <v>-2.8960961506048308</v>
      </c>
      <c r="D6281" s="2" t="str">
        <f t="shared" si="97"/>
        <v>Error?</v>
      </c>
      <c r="E6281" s="2" t="s">
        <v>189</v>
      </c>
    </row>
    <row r="6282" spans="1:5" x14ac:dyDescent="0.2">
      <c r="A6282">
        <v>6221</v>
      </c>
      <c r="B6282" s="1832">
        <f>'Acct Summary 7-8'!I83</f>
        <v>0.3424529492592619</v>
      </c>
      <c r="D6282" s="2" t="str">
        <f t="shared" si="97"/>
        <v>Error?</v>
      </c>
      <c r="E6282" s="2" t="s">
        <v>189</v>
      </c>
    </row>
    <row r="6283" spans="1:5" x14ac:dyDescent="0.2">
      <c r="A6283">
        <v>6222</v>
      </c>
      <c r="B6283" s="1832">
        <f>'Acct Summary 7-8'!J83</f>
        <v>9.8393438749852333E-2</v>
      </c>
      <c r="D6283" s="2" t="str">
        <f t="shared" si="97"/>
        <v>Error?</v>
      </c>
      <c r="E6283" s="2" t="s">
        <v>189</v>
      </c>
    </row>
    <row r="6284" spans="1:5" x14ac:dyDescent="0.2">
      <c r="A6284">
        <v>6223</v>
      </c>
      <c r="B6284" s="1832">
        <f>'Acct Summary 7-8'!K83</f>
        <v>-6635.9302325581393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211452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211452</v>
      </c>
      <c r="D6301" s="2" t="str">
        <f t="shared" si="97"/>
        <v>Error?</v>
      </c>
      <c r="E6301" s="2" t="s">
        <v>189</v>
      </c>
    </row>
    <row r="6302" spans="1:5" x14ac:dyDescent="0.2">
      <c r="A6302">
        <v>6241</v>
      </c>
      <c r="B6302" s="1832">
        <f>'Revenues 9-14'!J14</f>
        <v>32</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32</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545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545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205760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212029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11747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750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118275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135191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252726</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840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2850</v>
      </c>
      <c r="D6894" s="2" t="str">
        <f t="shared" si="106"/>
        <v>Error?</v>
      </c>
    </row>
    <row r="6895" spans="1:4" x14ac:dyDescent="0.2">
      <c r="A6895">
        <v>6834</v>
      </c>
      <c r="B6895" s="1832">
        <f>'Expenditures 15-22'!K29</f>
        <v>2850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389183</v>
      </c>
      <c r="D6983" s="2" t="str">
        <f t="shared" si="108"/>
        <v>Error?</v>
      </c>
    </row>
    <row r="6984" spans="1:4" x14ac:dyDescent="0.2">
      <c r="A6984">
        <v>6923</v>
      </c>
      <c r="B6984" s="1832">
        <f>'Expenditures 15-22'!K86</f>
        <v>389183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389183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200368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212029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6156</v>
      </c>
      <c r="D7073" s="2" t="str">
        <f t="shared" si="109"/>
        <v>Error?</v>
      </c>
    </row>
    <row r="7074" spans="1:4" x14ac:dyDescent="0.2">
      <c r="A7074">
        <v>7013</v>
      </c>
      <c r="B7074" s="1832">
        <f>'Expenditures 15-22'!K216</f>
        <v>6156</v>
      </c>
      <c r="D7074" s="2" t="str">
        <f t="shared" si="109"/>
        <v>Error?</v>
      </c>
    </row>
    <row r="7075" spans="1:4" x14ac:dyDescent="0.2">
      <c r="A7075">
        <v>7014</v>
      </c>
      <c r="B7075" s="1832">
        <f>'Expenditures 15-22'!D218</f>
        <v>15162</v>
      </c>
      <c r="D7075" s="2" t="str">
        <f t="shared" si="109"/>
        <v>Error?</v>
      </c>
    </row>
    <row r="7076" spans="1:4" x14ac:dyDescent="0.2">
      <c r="A7076">
        <v>7015</v>
      </c>
      <c r="B7076" s="1832">
        <f>'Expenditures 15-22'!K218</f>
        <v>15162</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10</v>
      </c>
      <c r="D7079" s="2" t="str">
        <f t="shared" si="109"/>
        <v>Error?</v>
      </c>
    </row>
    <row r="7080" spans="1:4" x14ac:dyDescent="0.2">
      <c r="A7080">
        <v>7019</v>
      </c>
      <c r="B7080" s="1832">
        <f>'Expenditures 15-22'!K226</f>
        <v>10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4773</v>
      </c>
      <c r="D7093" s="2" t="str">
        <f t="shared" si="109"/>
        <v>Error?</v>
      </c>
    </row>
    <row r="7094" spans="1:4" x14ac:dyDescent="0.2">
      <c r="A7094">
        <v>7033</v>
      </c>
      <c r="B7094" s="1832">
        <f>'Expenditures 15-22'!K254</f>
        <v>4773</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41216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41216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3264</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3264</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67769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67769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39291</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39291</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32705</v>
      </c>
      <c r="D7172" s="2" t="str">
        <f t="shared" si="111"/>
        <v>Error?</v>
      </c>
    </row>
    <row r="7173" spans="1:4" x14ac:dyDescent="0.2">
      <c r="A7173">
        <v>7112</v>
      </c>
      <c r="B7173" s="1832">
        <f>'Expenditures 15-22'!D325</f>
        <v>13413</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46118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2710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2710</v>
      </c>
      <c r="D7198" s="2" t="str">
        <f t="shared" si="111"/>
        <v>Error?</v>
      </c>
    </row>
    <row r="7199" spans="1:4" x14ac:dyDescent="0.2">
      <c r="A7199">
        <v>7138</v>
      </c>
      <c r="B7199" s="1832">
        <f>'Expenditures 15-22'!C330</f>
        <v>32705</v>
      </c>
      <c r="D7199" s="2" t="str">
        <f t="shared" si="111"/>
        <v>Error?</v>
      </c>
    </row>
    <row r="7200" spans="1:4" x14ac:dyDescent="0.2">
      <c r="A7200">
        <v>7139</v>
      </c>
      <c r="B7200" s="1832">
        <f>'Expenditures 15-22'!D330</f>
        <v>13413</v>
      </c>
      <c r="D7200" s="2" t="str">
        <f t="shared" si="111"/>
        <v>Error?</v>
      </c>
    </row>
    <row r="7201" spans="1:4" x14ac:dyDescent="0.2">
      <c r="A7201">
        <v>7140</v>
      </c>
      <c r="B7201" s="1832">
        <f>'Expenditures 15-22'!E330</f>
        <v>154250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200368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32705</v>
      </c>
      <c r="D7216" s="2" t="str">
        <f t="shared" si="111"/>
        <v>Error?</v>
      </c>
    </row>
    <row r="7217" spans="1:4" x14ac:dyDescent="0.2">
      <c r="A7217">
        <v>7156</v>
      </c>
      <c r="B7217" s="1832">
        <f>'Expenditures 15-22'!D342</f>
        <v>13413</v>
      </c>
      <c r="D7217" s="2" t="str">
        <f t="shared" si="111"/>
        <v>Error?</v>
      </c>
    </row>
    <row r="7218" spans="1:4" x14ac:dyDescent="0.2">
      <c r="A7218">
        <v>7157</v>
      </c>
      <c r="B7218" s="1832">
        <f>'Expenditures 15-22'!E342</f>
        <v>154250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200368</v>
      </c>
      <c r="D7224" s="2" t="str">
        <f t="shared" si="111"/>
        <v>Error?</v>
      </c>
    </row>
    <row r="7225" spans="1:4" x14ac:dyDescent="0.2">
      <c r="A7225">
        <v>7164</v>
      </c>
      <c r="B7225" s="1832">
        <f>'Expenditures 15-22'!K343</f>
        <v>11661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16859</v>
      </c>
      <c r="D7246" s="2" t="str">
        <f t="shared" si="112"/>
        <v>Error?</v>
      </c>
    </row>
    <row r="7247" spans="1:4" x14ac:dyDescent="0.2">
      <c r="A7247">
        <f t="shared" si="113"/>
        <v>7186</v>
      </c>
      <c r="B7247" s="1832">
        <f>'Expenditures 15-22'!E7</f>
        <v>57</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81717</v>
      </c>
      <c r="D7251" s="2" t="str">
        <f t="shared" si="112"/>
        <v>Error?</v>
      </c>
    </row>
    <row r="7252" spans="1:4" x14ac:dyDescent="0.2">
      <c r="A7252">
        <f t="shared" si="113"/>
        <v>7191</v>
      </c>
      <c r="B7252" s="1832">
        <f>'Expenditures 15-22'!D9</f>
        <v>3573</v>
      </c>
      <c r="D7252" s="2" t="str">
        <f t="shared" si="112"/>
        <v>Error?</v>
      </c>
    </row>
    <row r="7253" spans="1:4" x14ac:dyDescent="0.2">
      <c r="A7253">
        <f t="shared" si="113"/>
        <v>7192</v>
      </c>
      <c r="B7253" s="1832">
        <f>'Expenditures 15-22'!E9</f>
        <v>67455</v>
      </c>
      <c r="D7253" s="2" t="str">
        <f t="shared" si="112"/>
        <v>Error?</v>
      </c>
    </row>
    <row r="7254" spans="1:4" x14ac:dyDescent="0.2">
      <c r="A7254">
        <f t="shared" si="113"/>
        <v>7193</v>
      </c>
      <c r="B7254" s="1832">
        <f>'Expenditures 15-22'!F9</f>
        <v>35056</v>
      </c>
      <c r="D7254" s="2" t="str">
        <f t="shared" si="112"/>
        <v>Error?</v>
      </c>
    </row>
    <row r="7255" spans="1:4" x14ac:dyDescent="0.2">
      <c r="A7255">
        <f t="shared" si="113"/>
        <v>7194</v>
      </c>
      <c r="B7255" s="1832">
        <f>'Expenditures 15-22'!G9</f>
        <v>64925</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742</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98</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2009</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2009</v>
      </c>
      <c r="D7609" s="2" t="str">
        <f t="shared" si="122"/>
        <v>Error?</v>
      </c>
      <c r="E7609" s="2" t="s">
        <v>19</v>
      </c>
    </row>
    <row r="7610" spans="1:5" x14ac:dyDescent="0.2">
      <c r="A7610">
        <f t="shared" si="123"/>
        <v>7549</v>
      </c>
      <c r="B7610" s="1832">
        <f>'Cap Outlay Deprec 26'!H9</f>
        <v>300</v>
      </c>
      <c r="D7610" s="2" t="str">
        <f t="shared" si="122"/>
        <v>Error?</v>
      </c>
      <c r="E7610" s="2" t="s">
        <v>19</v>
      </c>
    </row>
    <row r="7611" spans="1:5" x14ac:dyDescent="0.2">
      <c r="A7611">
        <f t="shared" si="123"/>
        <v>7550</v>
      </c>
      <c r="B7611" s="1832">
        <f>'Cap Outlay Deprec 26'!I9</f>
        <v>100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400</v>
      </c>
      <c r="D7613" s="2" t="str">
        <f t="shared" si="122"/>
        <v>Error?</v>
      </c>
      <c r="E7613" s="2" t="s">
        <v>19</v>
      </c>
    </row>
    <row r="7614" spans="1:5" x14ac:dyDescent="0.2">
      <c r="A7614">
        <f t="shared" si="123"/>
        <v>7553</v>
      </c>
      <c r="B7614" s="1832">
        <f>'Cap Outlay Deprec 26'!L9</f>
        <v>1609</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448583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1651731</v>
      </c>
      <c r="D7708" s="2" t="str">
        <f t="shared" si="126"/>
        <v>Error?</v>
      </c>
      <c r="E7708" s="2" t="s">
        <v>822</v>
      </c>
    </row>
    <row r="7709" spans="1:5" x14ac:dyDescent="0.2">
      <c r="A7709">
        <v>7648</v>
      </c>
      <c r="B7709" s="1832">
        <f>'Rest Tax Levies-Tort Im 25'!K3</f>
        <v>50114</v>
      </c>
      <c r="D7709" s="2" t="str">
        <f t="shared" si="126"/>
        <v>Error?</v>
      </c>
      <c r="E7709" s="2" t="s">
        <v>822</v>
      </c>
    </row>
    <row r="7710" spans="1:5" x14ac:dyDescent="0.2">
      <c r="A7710">
        <v>7649</v>
      </c>
      <c r="B7710" s="1832">
        <f>'Rest Tax Levies-Tort Im 25'!J6</f>
        <v>2643</v>
      </c>
      <c r="D7710" s="2" t="str">
        <f t="shared" si="126"/>
        <v>Error?</v>
      </c>
      <c r="E7710" s="2" t="s">
        <v>822</v>
      </c>
    </row>
    <row r="7711" spans="1:5" x14ac:dyDescent="0.2">
      <c r="A7711">
        <v>7650</v>
      </c>
      <c r="B7711" s="1832">
        <f>'Rest Tax Levies-Tort Im 25'!K6</f>
        <v>126</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77359</v>
      </c>
      <c r="D7713" s="2" t="str">
        <f t="shared" si="126"/>
        <v>Error?</v>
      </c>
      <c r="E7713" s="2" t="s">
        <v>822</v>
      </c>
    </row>
    <row r="7714" spans="1:6" x14ac:dyDescent="0.2">
      <c r="A7714">
        <v>7653</v>
      </c>
      <c r="B7714" s="1832">
        <f>'Rest Tax Levies-Tort Im 25'!K9</f>
        <v>8245</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80002</v>
      </c>
      <c r="D7718" s="2" t="str">
        <f t="shared" si="126"/>
        <v>Error?</v>
      </c>
      <c r="E7718" s="2" t="s">
        <v>822</v>
      </c>
    </row>
    <row r="7719" spans="1:6" x14ac:dyDescent="0.2">
      <c r="A7719">
        <v>7658</v>
      </c>
      <c r="B7719" s="1832">
        <f>'Rest Tax Levies-Tort Im 25'!K12</f>
        <v>8371</v>
      </c>
      <c r="D7719" s="2" t="str">
        <f t="shared" si="126"/>
        <v>Error?</v>
      </c>
      <c r="E7719" s="2" t="s">
        <v>822</v>
      </c>
    </row>
    <row r="7720" spans="1:6" x14ac:dyDescent="0.2">
      <c r="A7720">
        <v>7659</v>
      </c>
      <c r="B7720" s="1832">
        <f>'Rest Tax Levies-Tort Im 25'!H14</f>
        <v>22215</v>
      </c>
      <c r="D7720" s="2" t="str">
        <f t="shared" si="126"/>
        <v>Error?</v>
      </c>
      <c r="E7720" s="2" t="s">
        <v>822</v>
      </c>
    </row>
    <row r="7721" spans="1:6" x14ac:dyDescent="0.2">
      <c r="A7721">
        <v>7660</v>
      </c>
      <c r="B7721" s="1832">
        <f>'Rest Tax Levies-Tort Im 25'!K14</f>
        <v>840</v>
      </c>
      <c r="D7721" s="2" t="str">
        <f t="shared" si="126"/>
        <v>Error?</v>
      </c>
      <c r="E7721" s="2" t="s">
        <v>822</v>
      </c>
    </row>
    <row r="7722" spans="1:6" x14ac:dyDescent="0.2">
      <c r="A7722">
        <v>7661</v>
      </c>
      <c r="B7722" s="1832">
        <f>'Rest Tax Levies-Tort Im 25'!J15</f>
        <v>1731733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147690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1731733</v>
      </c>
      <c r="D7730" s="2" t="str">
        <f t="shared" si="126"/>
        <v>Error?</v>
      </c>
      <c r="E7730" s="2" t="s">
        <v>822</v>
      </c>
    </row>
    <row r="7731" spans="1:6" x14ac:dyDescent="0.2">
      <c r="A7731">
        <v>7670</v>
      </c>
      <c r="B7731" s="1832">
        <f>'Revenues 9-14'!H103</f>
        <v>77359</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57645</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57645</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400000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1100000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1993</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840</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14685400</v>
      </c>
      <c r="D7817" s="2" t="str">
        <f t="shared" si="128"/>
        <v>Error?</v>
      </c>
      <c r="E7817" s="4" t="s">
        <v>1962</v>
      </c>
    </row>
    <row r="7818" spans="1:5" x14ac:dyDescent="0.2">
      <c r="A7818">
        <v>7757</v>
      </c>
      <c r="B7818" s="1832">
        <f>'PCTC-OEPP 27-28'!F172</f>
        <v>141592.29999999999</v>
      </c>
      <c r="D7818" s="2" t="str">
        <f t="shared" si="128"/>
        <v>Error?</v>
      </c>
      <c r="E7818" s="4" t="s">
        <v>1976</v>
      </c>
    </row>
    <row r="7819" spans="1:5" x14ac:dyDescent="0.2">
      <c r="A7819">
        <v>7758</v>
      </c>
      <c r="B7819" s="1832">
        <f>'PCTC-OEPP 27-28'!F173</f>
        <v>3315.57</v>
      </c>
      <c r="D7819" s="2" t="str">
        <f t="shared" si="128"/>
        <v>Error?</v>
      </c>
      <c r="E7819" s="4" t="s">
        <v>1976</v>
      </c>
    </row>
    <row r="7820" spans="1:5" x14ac:dyDescent="0.2">
      <c r="A7820">
        <v>7759</v>
      </c>
      <c r="B7820" s="1832">
        <f>'ICR Computation 30'!E40</f>
        <v>-149955</v>
      </c>
      <c r="D7820" s="2" t="str">
        <f t="shared" si="128"/>
        <v>Error?</v>
      </c>
    </row>
    <row r="7821" spans="1:5" x14ac:dyDescent="0.2">
      <c r="A7821">
        <v>7760</v>
      </c>
      <c r="B7821" s="1832">
        <f>'ICR Computation 30'!G40</f>
        <v>-149955</v>
      </c>
      <c r="D7821" s="2" t="str">
        <f t="shared" si="128"/>
        <v>Error?</v>
      </c>
    </row>
    <row r="7822" spans="1:5" x14ac:dyDescent="0.2">
      <c r="A7822" s="1">
        <v>7761</v>
      </c>
      <c r="B7822" s="1832">
        <f>'PCTC-OEPP 27-28'!F14</f>
        <v>9063539</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135191</v>
      </c>
      <c r="D7826" s="2" t="str">
        <f t="shared" si="129"/>
        <v>Error?</v>
      </c>
      <c r="E7826" s="4" t="s">
        <v>1994</v>
      </c>
    </row>
    <row r="7827" spans="1:5" x14ac:dyDescent="0.2">
      <c r="A7827">
        <v>7766</v>
      </c>
      <c r="B7827" s="1832">
        <f>'PCTC-OEPP 27-28'!F35</f>
        <v>187801</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0</v>
      </c>
      <c r="D7830" s="2" t="str">
        <f t="shared" si="129"/>
        <v>Error?</v>
      </c>
      <c r="E7830" s="4" t="s">
        <v>1994</v>
      </c>
    </row>
    <row r="7831" spans="1:5" x14ac:dyDescent="0.2">
      <c r="A7831">
        <v>7770</v>
      </c>
      <c r="B7831" s="1832">
        <f>'PCTC-OEPP 27-28'!F52</f>
        <v>3750</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1373414</v>
      </c>
      <c r="D7834" s="2" t="str">
        <f t="shared" si="129"/>
        <v>Error?</v>
      </c>
      <c r="E7834" s="4" t="s">
        <v>1994</v>
      </c>
    </row>
    <row r="7835" spans="1:5" x14ac:dyDescent="0.2">
      <c r="A7835">
        <v>7774</v>
      </c>
      <c r="B7835" s="1832">
        <f>'PCTC-OEPP 27-28'!F78</f>
        <v>7690125</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10688.151494093121</v>
      </c>
      <c r="D7837" s="2" t="str">
        <f t="shared" si="129"/>
        <v>Error?</v>
      </c>
      <c r="E7837" s="4" t="s">
        <v>1994</v>
      </c>
    </row>
    <row r="7838" spans="1:5" x14ac:dyDescent="0.2">
      <c r="A7838">
        <v>7777</v>
      </c>
      <c r="B7838" s="1832">
        <f>'PCTC-OEPP 27-28'!F96</f>
        <v>119495</v>
      </c>
      <c r="D7838" s="2" t="str">
        <f t="shared" si="129"/>
        <v>Error?</v>
      </c>
      <c r="E7838" s="4" t="s">
        <v>1994</v>
      </c>
    </row>
    <row r="7839" spans="1:5" x14ac:dyDescent="0.2">
      <c r="A7839">
        <v>7778</v>
      </c>
      <c r="B7839" s="1832">
        <f>'PCTC-OEPP 27-28'!F102</f>
        <v>0</v>
      </c>
      <c r="D7839" s="2" t="str">
        <f t="shared" si="129"/>
        <v>Error?</v>
      </c>
      <c r="E7839" s="4" t="s">
        <v>1994</v>
      </c>
    </row>
    <row r="7840" spans="1:5" x14ac:dyDescent="0.2">
      <c r="A7840">
        <v>7779</v>
      </c>
      <c r="B7840" s="1832">
        <f>'PCTC-OEPP 27-28'!F103</f>
        <v>145961</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62571</v>
      </c>
      <c r="D7842" s="2" t="str">
        <f t="shared" si="129"/>
        <v>Error?</v>
      </c>
      <c r="E7842" s="4" t="s">
        <v>1994</v>
      </c>
    </row>
    <row r="7843" spans="1:5" x14ac:dyDescent="0.2">
      <c r="A7843">
        <v>7782</v>
      </c>
      <c r="B7843" s="1832">
        <f>'PCTC-OEPP 27-28'!F107</f>
        <v>11747</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8245</v>
      </c>
      <c r="D7846" s="2" t="str">
        <f t="shared" si="129"/>
        <v>Error?</v>
      </c>
      <c r="E7846" s="4" t="s">
        <v>1994</v>
      </c>
    </row>
    <row r="7847" spans="1:5" x14ac:dyDescent="0.2">
      <c r="A7847">
        <v>7786</v>
      </c>
      <c r="B7847" s="1832">
        <f>'PCTC-OEPP 27-28'!F112</f>
        <v>208555</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750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46350</v>
      </c>
      <c r="D7855" s="2" t="str">
        <f t="shared" si="129"/>
        <v>Error?</v>
      </c>
      <c r="E7855" s="4" t="s">
        <v>1994</v>
      </c>
    </row>
    <row r="7856" spans="1:5" x14ac:dyDescent="0.2">
      <c r="A7856">
        <v>7795</v>
      </c>
      <c r="B7856" s="1832">
        <f>'PCTC-OEPP 27-28'!F124</f>
        <v>379243</v>
      </c>
      <c r="D7856" s="2" t="str">
        <f t="shared" si="129"/>
        <v>Error?</v>
      </c>
      <c r="E7856" s="4" t="s">
        <v>1994</v>
      </c>
    </row>
    <row r="7857" spans="1:5" x14ac:dyDescent="0.2">
      <c r="A7857">
        <v>7796</v>
      </c>
      <c r="B7857" s="1832">
        <f>'PCTC-OEPP 27-28'!F125</f>
        <v>0</v>
      </c>
      <c r="D7857" s="2" t="str">
        <f t="shared" si="129"/>
        <v>Error?</v>
      </c>
      <c r="E7857" s="4" t="s">
        <v>1994</v>
      </c>
    </row>
    <row r="7858" spans="1:5" x14ac:dyDescent="0.2">
      <c r="A7858">
        <v>7797</v>
      </c>
      <c r="B7858" s="1832">
        <f>'PCTC-OEPP 27-28'!F126</f>
        <v>133703</v>
      </c>
      <c r="D7858" s="2" t="str">
        <f t="shared" si="129"/>
        <v>Error?</v>
      </c>
      <c r="E7858" s="4" t="s">
        <v>1994</v>
      </c>
    </row>
    <row r="7859" spans="1:5" x14ac:dyDescent="0.2">
      <c r="A7859">
        <v>7798</v>
      </c>
      <c r="B7859" s="1832">
        <f>'PCTC-OEPP 27-28'!F127</f>
        <v>189940</v>
      </c>
      <c r="D7859" s="2" t="str">
        <f t="shared" si="129"/>
        <v>Error?</v>
      </c>
      <c r="E7859" s="4" t="s">
        <v>1994</v>
      </c>
    </row>
    <row r="7860" spans="1:5" x14ac:dyDescent="0.2">
      <c r="A7860">
        <v>7799</v>
      </c>
      <c r="B7860" s="1832">
        <f>'PCTC-OEPP 27-28'!F128</f>
        <v>0</v>
      </c>
      <c r="D7860" s="2" t="str">
        <f t="shared" si="129"/>
        <v>Error?</v>
      </c>
      <c r="E7860" s="4" t="s">
        <v>1994</v>
      </c>
    </row>
    <row r="7861" spans="1:5" x14ac:dyDescent="0.2">
      <c r="A7861">
        <v>7800</v>
      </c>
      <c r="B7861" s="1832">
        <f>'PCTC-OEPP 27-28'!F129</f>
        <v>129279</v>
      </c>
      <c r="D7861" s="2" t="str">
        <f t="shared" si="129"/>
        <v>Error?</v>
      </c>
      <c r="E7861" s="4" t="s">
        <v>1994</v>
      </c>
    </row>
    <row r="7862" spans="1:5" x14ac:dyDescent="0.2">
      <c r="A7862">
        <v>7801</v>
      </c>
      <c r="B7862" s="1832">
        <f>'PCTC-OEPP 27-28'!F130</f>
        <v>0</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0</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0</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15841</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7563</v>
      </c>
      <c r="D7874" s="2" t="str">
        <f t="shared" si="129"/>
        <v>Error?</v>
      </c>
      <c r="E7874" s="4" t="s">
        <v>1994</v>
      </c>
    </row>
    <row r="7875" spans="1:5" x14ac:dyDescent="0.2">
      <c r="A7875">
        <v>7814</v>
      </c>
      <c r="B7875" s="1832">
        <f>'PCTC-OEPP 27-28'!F170</f>
        <v>25606</v>
      </c>
      <c r="D7875" s="2" t="str">
        <f t="shared" si="129"/>
        <v>Error?</v>
      </c>
      <c r="E7875" s="4" t="s">
        <v>1994</v>
      </c>
    </row>
    <row r="7876" spans="1:5" x14ac:dyDescent="0.2">
      <c r="A7876">
        <v>7815</v>
      </c>
      <c r="B7876" s="1832">
        <f>'PCTC-OEPP 27-28'!F171</f>
        <v>0</v>
      </c>
      <c r="D7876" s="2" t="str">
        <f t="shared" si="129"/>
        <v>Error?</v>
      </c>
      <c r="E7876" s="4" t="s">
        <v>1994</v>
      </c>
    </row>
    <row r="7877" spans="1:5" x14ac:dyDescent="0.2">
      <c r="A7877">
        <v>7816</v>
      </c>
      <c r="B7877" s="1832">
        <f>'PCTC-OEPP 27-28'!F175</f>
        <v>1504783.87</v>
      </c>
      <c r="D7877" s="2" t="str">
        <f t="shared" si="129"/>
        <v>Error?</v>
      </c>
      <c r="E7877" s="4" t="s">
        <v>1994</v>
      </c>
    </row>
    <row r="7878" spans="1:5" x14ac:dyDescent="0.2">
      <c r="A7878">
        <v>7817</v>
      </c>
      <c r="B7878" s="1832">
        <f>'PCTC-OEPP 27-28'!F176</f>
        <v>6185341.1299999999</v>
      </c>
      <c r="D7878" s="2" t="str">
        <f t="shared" si="129"/>
        <v>Error?</v>
      </c>
      <c r="E7878" s="4" t="s">
        <v>1994</v>
      </c>
    </row>
    <row r="7879" spans="1:5" x14ac:dyDescent="0.2">
      <c r="A7879">
        <v>7818</v>
      </c>
      <c r="B7879" s="1832">
        <f>'PCTC-OEPP 27-28'!F178</f>
        <v>6633924.1299999999</v>
      </c>
      <c r="D7879" s="2" t="str">
        <f t="shared" si="129"/>
        <v>Error?</v>
      </c>
      <c r="E7879" s="4" t="s">
        <v>1994</v>
      </c>
    </row>
    <row r="7880" spans="1:5" x14ac:dyDescent="0.2">
      <c r="A7880">
        <v>7819</v>
      </c>
      <c r="B7880" s="1832">
        <f>'PCTC-OEPP 27-28'!F180</f>
        <v>9220.1864211257816</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38" t="s">
        <v>1181</v>
      </c>
      <c r="B2" s="2638"/>
      <c r="C2" s="2638"/>
      <c r="D2" s="2638"/>
      <c r="E2" s="2638"/>
      <c r="F2" s="2638"/>
      <c r="G2" s="2638"/>
      <c r="H2" s="2638"/>
      <c r="I2" s="2638"/>
      <c r="J2" s="2638"/>
      <c r="K2" s="2638"/>
      <c r="L2" s="2638"/>
    </row>
    <row r="3" spans="1:29" ht="13.5" customHeight="1" x14ac:dyDescent="0.2">
      <c r="A3" s="2624" t="s">
        <v>1180</v>
      </c>
      <c r="B3" s="2624"/>
      <c r="C3" s="2624"/>
      <c r="D3" s="2624"/>
      <c r="E3" s="2624"/>
      <c r="F3" s="2624"/>
      <c r="G3" s="2624"/>
      <c r="H3" s="2624"/>
      <c r="I3" s="2624"/>
      <c r="J3" s="2624"/>
      <c r="K3" s="2624"/>
      <c r="L3" s="2624"/>
    </row>
    <row r="4" spans="1:29" ht="13.5" customHeight="1" x14ac:dyDescent="0.2">
      <c r="A4" s="2655" t="str">
        <f>"Year Ending June 30, "&amp;'AFR20'!E2</f>
        <v>Year Ending June 30, 2020</v>
      </c>
      <c r="B4" s="2656"/>
      <c r="C4" s="2656"/>
      <c r="D4" s="2656"/>
      <c r="E4" s="2656"/>
      <c r="F4" s="2656"/>
      <c r="G4" s="2656"/>
      <c r="H4" s="2656"/>
      <c r="I4" s="2656"/>
      <c r="J4" s="2656"/>
      <c r="K4" s="2656"/>
      <c r="L4" s="26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18" t="str">
        <f>COVER!A17</f>
        <v xml:space="preserve">  Princeville CUSD 326</v>
      </c>
      <c r="B7" s="2619"/>
      <c r="C7" s="2619"/>
      <c r="D7" s="2657"/>
      <c r="E7" s="2658">
        <f>COVER!A13</f>
        <v>48072326026</v>
      </c>
      <c r="F7" s="2659"/>
      <c r="G7" s="2625" t="str">
        <f>COVER!T23</f>
        <v>066-005027</v>
      </c>
      <c r="H7" s="2626"/>
      <c r="I7" s="2626"/>
      <c r="J7" s="2626"/>
      <c r="K7" s="2626"/>
      <c r="L7" s="26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28"/>
      <c r="B9" s="2629"/>
      <c r="C9" s="2629"/>
      <c r="D9" s="2629"/>
      <c r="E9" s="2629"/>
      <c r="F9" s="2630"/>
      <c r="G9" s="2631" t="str">
        <f>COVER!T13</f>
        <v>Gorenz and Associates, Ltd.</v>
      </c>
      <c r="H9" s="2632"/>
      <c r="I9" s="2632"/>
      <c r="J9" s="2632"/>
      <c r="K9" s="2632"/>
      <c r="L9" s="2633"/>
    </row>
    <row r="10" spans="1:29" ht="13.5" customHeight="1" x14ac:dyDescent="0.2">
      <c r="A10" s="2615" t="str">
        <f>COVER!A38</f>
        <v>Shannon Duling</v>
      </c>
      <c r="B10" s="2616"/>
      <c r="C10" s="2616"/>
      <c r="D10" s="2616"/>
      <c r="E10" s="2616"/>
      <c r="F10" s="2617"/>
      <c r="G10" s="2631" t="str">
        <f>COVER!T17</f>
        <v>4200 N Knoxville Ave.</v>
      </c>
      <c r="H10" s="2644"/>
      <c r="I10" s="2644"/>
      <c r="J10" s="2644"/>
      <c r="K10" s="2644"/>
      <c r="L10" s="2645"/>
    </row>
    <row r="11" spans="1:29" ht="13.5" customHeight="1" x14ac:dyDescent="0.2">
      <c r="A11" s="963" t="s">
        <v>1502</v>
      </c>
      <c r="B11" s="964"/>
      <c r="C11" s="965"/>
      <c r="D11" s="970"/>
      <c r="E11" s="965"/>
      <c r="F11" s="969"/>
      <c r="G11" s="2631" t="str">
        <f>COVER!T19</f>
        <v>Peoria</v>
      </c>
      <c r="H11" s="2644"/>
      <c r="I11" s="2644"/>
      <c r="J11" s="2644"/>
      <c r="K11" s="2644"/>
      <c r="L11" s="2645"/>
    </row>
    <row r="12" spans="1:29" ht="13.5" customHeight="1" x14ac:dyDescent="0.2">
      <c r="A12" s="2649" t="s">
        <v>1501</v>
      </c>
      <c r="B12" s="2650"/>
      <c r="C12" s="2650"/>
      <c r="D12" s="2650"/>
      <c r="E12" s="2650"/>
      <c r="F12" s="2651"/>
      <c r="G12" s="2646"/>
      <c r="H12" s="2647"/>
      <c r="I12" s="2647"/>
      <c r="J12" s="2647"/>
      <c r="K12" s="2647"/>
      <c r="L12" s="2648"/>
    </row>
    <row r="13" spans="1:29" ht="13.5" customHeight="1" x14ac:dyDescent="0.2">
      <c r="A13" s="2631"/>
      <c r="B13" s="2644"/>
      <c r="C13" s="2644"/>
      <c r="D13" s="2644"/>
      <c r="E13" s="2644"/>
      <c r="F13" s="2645"/>
      <c r="G13" s="2639" t="s">
        <v>1503</v>
      </c>
      <c r="H13" s="2640"/>
      <c r="I13" s="2652" t="str">
        <f>COVER!T25</f>
        <v>tcustis@gorenzcpa.com</v>
      </c>
      <c r="J13" s="2653"/>
      <c r="K13" s="2653"/>
      <c r="L13" s="2654"/>
    </row>
    <row r="14" spans="1:29" ht="13.5" customHeight="1" x14ac:dyDescent="0.2">
      <c r="A14" s="2631" t="str">
        <f>COVER!A19</f>
        <v>909 N. Town Avenue</v>
      </c>
      <c r="B14" s="2644"/>
      <c r="C14" s="2644"/>
      <c r="D14" s="2644"/>
      <c r="E14" s="2644"/>
      <c r="F14" s="2645"/>
      <c r="G14" s="974" t="s">
        <v>1175</v>
      </c>
      <c r="H14" s="972"/>
      <c r="I14" s="972"/>
      <c r="J14" s="972"/>
      <c r="K14" s="972"/>
      <c r="L14" s="973"/>
    </row>
    <row r="15" spans="1:29" ht="13.5" customHeight="1" x14ac:dyDescent="0.2">
      <c r="A15" s="2631" t="str">
        <f>COVER!A21</f>
        <v>Princeville</v>
      </c>
      <c r="B15" s="2644"/>
      <c r="C15" s="2644"/>
      <c r="D15" s="2644"/>
      <c r="E15" s="2644"/>
      <c r="F15" s="2645"/>
      <c r="G15" s="2641" t="str">
        <f>COVER!T15</f>
        <v>Tim Custis</v>
      </c>
      <c r="H15" s="2642"/>
      <c r="I15" s="2642"/>
      <c r="J15" s="2642"/>
      <c r="K15" s="2642"/>
      <c r="L15" s="2643"/>
    </row>
    <row r="16" spans="1:29" ht="12.2" customHeight="1" x14ac:dyDescent="0.2">
      <c r="A16" s="2621">
        <f>COVER!A25</f>
        <v>61559</v>
      </c>
      <c r="B16" s="2622"/>
      <c r="C16" s="2622"/>
      <c r="D16" s="2622"/>
      <c r="E16" s="2622"/>
      <c r="F16" s="2623"/>
      <c r="G16" s="2634"/>
      <c r="H16" s="2635"/>
      <c r="I16" s="2635"/>
      <c r="J16" s="2635"/>
      <c r="K16" s="2635"/>
      <c r="L16" s="2636"/>
    </row>
    <row r="17" spans="1:13" ht="12.2" customHeight="1" x14ac:dyDescent="0.2">
      <c r="A17" s="2637"/>
      <c r="B17" s="2622"/>
      <c r="C17" s="2622"/>
      <c r="D17" s="2622"/>
      <c r="E17" s="2622"/>
      <c r="F17" s="2623"/>
      <c r="G17" s="974" t="s">
        <v>1174</v>
      </c>
      <c r="H17" s="972"/>
      <c r="I17" s="972"/>
      <c r="J17" s="972"/>
      <c r="K17" s="976" t="s">
        <v>1173</v>
      </c>
      <c r="L17" s="969"/>
      <c r="M17" s="962"/>
    </row>
    <row r="18" spans="1:13" ht="12.2" customHeight="1" x14ac:dyDescent="0.2">
      <c r="A18" s="2615"/>
      <c r="B18" s="2616"/>
      <c r="C18" s="2616"/>
      <c r="D18" s="2616"/>
      <c r="E18" s="2616"/>
      <c r="F18" s="2617"/>
      <c r="G18" s="2618" t="str">
        <f>COVER!T21</f>
        <v>309-685-7621</v>
      </c>
      <c r="H18" s="2619"/>
      <c r="I18" s="2619"/>
      <c r="J18" s="2619"/>
      <c r="K18" s="2618" t="str">
        <f>COVER!X21</f>
        <v>309-685-4758</v>
      </c>
      <c r="L18" s="26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1675</v>
      </c>
    </row>
    <row r="22" spans="1:13" ht="12.2" customHeight="1" x14ac:dyDescent="0.2">
      <c r="A22" s="979"/>
    </row>
    <row r="23" spans="1:13" ht="12.2" customHeight="1" x14ac:dyDescent="0.2">
      <c r="A23" s="979"/>
      <c r="B23" s="980" t="s">
        <v>2087</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2087</v>
      </c>
      <c r="C26" s="981" t="s">
        <v>1676</v>
      </c>
    </row>
    <row r="27" spans="1:13" s="977" customFormat="1" ht="9" customHeight="1" x14ac:dyDescent="0.2">
      <c r="B27" s="982"/>
      <c r="C27" s="981"/>
    </row>
    <row r="28" spans="1:13" s="977" customFormat="1" ht="12.2" customHeight="1" x14ac:dyDescent="0.2">
      <c r="A28" s="984"/>
      <c r="B28" s="980" t="s">
        <v>2087</v>
      </c>
      <c r="C28" s="981" t="s">
        <v>1677</v>
      </c>
    </row>
    <row r="29" spans="1:13" s="977" customFormat="1" ht="9" customHeight="1" x14ac:dyDescent="0.2">
      <c r="A29" s="984"/>
      <c r="B29" s="982"/>
      <c r="C29" s="981"/>
    </row>
    <row r="30" spans="1:13" s="977" customFormat="1" ht="12.2" customHeight="1" x14ac:dyDescent="0.2">
      <c r="B30" s="980" t="s">
        <v>2087</v>
      </c>
      <c r="C30" s="981" t="s">
        <v>1544</v>
      </c>
      <c r="D30" s="975"/>
      <c r="E30" s="975"/>
    </row>
    <row r="31" spans="1:13" s="977" customFormat="1" ht="9" customHeight="1" x14ac:dyDescent="0.2">
      <c r="B31" s="982"/>
      <c r="C31" s="981"/>
      <c r="D31" s="975"/>
      <c r="E31" s="975"/>
    </row>
    <row r="32" spans="1:13" s="977" customFormat="1" ht="12.2" customHeight="1" x14ac:dyDescent="0.2">
      <c r="B32" s="980" t="s">
        <v>2087</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2087</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2087</v>
      </c>
      <c r="C38" s="981" t="s">
        <v>1548</v>
      </c>
    </row>
    <row r="39" spans="1:8" ht="9" customHeight="1" x14ac:dyDescent="0.2">
      <c r="B39" s="982"/>
      <c r="C39" s="985"/>
    </row>
    <row r="40" spans="1:8" s="977" customFormat="1" ht="13.5" customHeight="1" x14ac:dyDescent="0.2">
      <c r="B40" s="980" t="s">
        <v>2087</v>
      </c>
      <c r="C40" s="981" t="s">
        <v>1549</v>
      </c>
    </row>
    <row r="41" spans="1:8" ht="9" customHeight="1" x14ac:dyDescent="0.2">
      <c r="A41" s="986"/>
      <c r="B41" s="982"/>
      <c r="C41" s="985"/>
    </row>
    <row r="42" spans="1:8" s="977" customFormat="1" ht="13.5" customHeight="1" x14ac:dyDescent="0.2">
      <c r="B42" s="980" t="s">
        <v>2087</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60" t="str">
        <f>'Single Audit Cover'!A7</f>
        <v xml:space="preserve">  Princeville CUSD 326</v>
      </c>
      <c r="B1" s="2661"/>
      <c r="C1" s="2661"/>
      <c r="D1" s="2661"/>
    </row>
    <row r="2" spans="1:11" s="991" customFormat="1" ht="12.75" x14ac:dyDescent="0.2">
      <c r="A2" s="2662">
        <f>'Single Audit Cover'!E7</f>
        <v>48072326026</v>
      </c>
      <c r="B2" s="2663"/>
      <c r="C2" s="2663"/>
      <c r="D2" s="2663"/>
    </row>
    <row r="3" spans="1:11" s="991" customFormat="1" ht="12.75" x14ac:dyDescent="0.2">
      <c r="A3" s="2660" t="s">
        <v>1496</v>
      </c>
      <c r="B3" s="2661"/>
      <c r="C3" s="2661"/>
      <c r="D3" s="26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1965</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1199</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1198</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1197</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1196</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1190</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65" t="str">
        <f>'Single Audit Cover'!A7</f>
        <v xml:space="preserve">  Princeville CUSD 326</v>
      </c>
      <c r="B1" s="2665"/>
      <c r="C1" s="2665"/>
      <c r="D1" s="2665"/>
      <c r="E1" s="2665"/>
    </row>
    <row r="2" spans="1:5" x14ac:dyDescent="0.2">
      <c r="A2" s="2666">
        <f>'Single Audit Cover'!E7</f>
        <v>48072326026</v>
      </c>
      <c r="B2" s="2666"/>
      <c r="C2" s="2666"/>
      <c r="D2" s="2666"/>
      <c r="E2" s="2666"/>
    </row>
    <row r="3" spans="1:5" ht="4.5" customHeight="1" x14ac:dyDescent="0.2"/>
    <row r="4" spans="1:5" x14ac:dyDescent="0.2">
      <c r="A4" s="2665" t="s">
        <v>1234</v>
      </c>
      <c r="B4" s="2665"/>
      <c r="C4" s="2665"/>
      <c r="D4" s="2665"/>
      <c r="E4" s="2665"/>
    </row>
    <row r="5" spans="1:5" x14ac:dyDescent="0.2">
      <c r="A5" s="2668" t="str">
        <f>'Single Audit Cover'!A4</f>
        <v>Year Ending June 30, 2020</v>
      </c>
      <c r="B5" s="2668"/>
      <c r="C5" s="2668"/>
      <c r="D5" s="2668"/>
      <c r="E5" s="2668"/>
    </row>
    <row r="6" spans="1:5" x14ac:dyDescent="0.2">
      <c r="A6" s="2665" t="s">
        <v>1233</v>
      </c>
      <c r="B6" s="2665"/>
      <c r="C6" s="2665"/>
      <c r="D6" s="2665"/>
      <c r="E6" s="2665"/>
    </row>
    <row r="8" spans="1:5" x14ac:dyDescent="0.2">
      <c r="A8" s="1036" t="s">
        <v>1232</v>
      </c>
    </row>
    <row r="10" spans="1:5" x14ac:dyDescent="0.2">
      <c r="A10" s="1037" t="s">
        <v>1231</v>
      </c>
      <c r="B10" s="1038" t="s">
        <v>1230</v>
      </c>
      <c r="C10" s="1038"/>
      <c r="D10" s="1039">
        <f>SUM('Acct Summary 7-8'!C7:K7)</f>
        <v>881175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2000</v>
      </c>
      <c r="B14" s="1038"/>
      <c r="C14" s="1038"/>
      <c r="D14" s="1040">
        <f>'ICR Computation 30'!E11</f>
        <v>18789</v>
      </c>
    </row>
    <row r="15" spans="1:5" x14ac:dyDescent="0.2">
      <c r="A15" s="1037"/>
      <c r="B15" s="1038"/>
      <c r="C15" s="1038"/>
    </row>
    <row r="16" spans="1:5" x14ac:dyDescent="0.2">
      <c r="A16" s="1037" t="s">
        <v>1811</v>
      </c>
      <c r="B16" s="1038"/>
      <c r="C16" s="1038"/>
    </row>
    <row r="17" spans="1:4" x14ac:dyDescent="0.2">
      <c r="A17" s="1037" t="s">
        <v>1960</v>
      </c>
      <c r="B17" s="1038" t="s">
        <v>1225</v>
      </c>
      <c r="C17" s="1038"/>
      <c r="D17" s="1040">
        <f>-SUM('Revenues 9-14'!C264:D264,'Revenues 9-14'!F264:G264)</f>
        <v>-25606</v>
      </c>
    </row>
    <row r="19" spans="1:4" ht="13.5" thickBot="1" x14ac:dyDescent="0.25">
      <c r="A19" s="1041" t="s">
        <v>1224</v>
      </c>
      <c r="D19" s="1042">
        <f>SUM(D10:D17)</f>
        <v>874358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67"/>
      <c r="B24" s="2667"/>
      <c r="D24" s="1044"/>
    </row>
    <row r="25" spans="1:4" x14ac:dyDescent="0.2">
      <c r="A25" s="2664"/>
      <c r="B25" s="2664"/>
      <c r="D25" s="1044"/>
    </row>
    <row r="26" spans="1:4" x14ac:dyDescent="0.2">
      <c r="A26" s="2664"/>
      <c r="B26" s="2664"/>
      <c r="D26" s="1044"/>
    </row>
    <row r="27" spans="1:4" x14ac:dyDescent="0.2">
      <c r="A27" s="2664"/>
      <c r="B27" s="2664"/>
      <c r="D27" s="1044"/>
    </row>
    <row r="28" spans="1:4" x14ac:dyDescent="0.2">
      <c r="A28" s="2664"/>
      <c r="B28" s="2664"/>
      <c r="D28" s="1044"/>
    </row>
    <row r="29" spans="1:4" x14ac:dyDescent="0.2">
      <c r="A29" s="2664"/>
      <c r="B29" s="2664"/>
      <c r="D29" s="1044"/>
    </row>
    <row r="30" spans="1:4" x14ac:dyDescent="0.2">
      <c r="A30" s="2664"/>
      <c r="B30" s="2664"/>
      <c r="D30" s="1044"/>
    </row>
    <row r="32" spans="1:4" x14ac:dyDescent="0.2">
      <c r="A32" s="1036" t="s">
        <v>1222</v>
      </c>
      <c r="D32" s="1039">
        <f>SUM(D19:D30)</f>
        <v>874358</v>
      </c>
    </row>
    <row r="33" spans="1:4" x14ac:dyDescent="0.2">
      <c r="D33" s="1045"/>
    </row>
    <row r="34" spans="1:4" x14ac:dyDescent="0.2">
      <c r="A34" s="295" t="s">
        <v>1221</v>
      </c>
    </row>
    <row r="35" spans="1:4" x14ac:dyDescent="0.2">
      <c r="A35" s="295" t="s">
        <v>1220</v>
      </c>
      <c r="B35" s="1034" t="s">
        <v>1219</v>
      </c>
      <c r="D35" s="1046">
        <v>855569</v>
      </c>
    </row>
    <row r="37" spans="1:4" x14ac:dyDescent="0.2">
      <c r="A37" s="1036" t="s">
        <v>1218</v>
      </c>
    </row>
    <row r="39" spans="1:4" ht="13.35" customHeight="1" x14ac:dyDescent="0.2">
      <c r="A39" s="1043" t="s">
        <v>1217</v>
      </c>
    </row>
    <row r="40" spans="1:4" x14ac:dyDescent="0.2">
      <c r="A40" s="2664" t="s">
        <v>2235</v>
      </c>
      <c r="B40" s="2664"/>
      <c r="D40" s="1044">
        <v>18789</v>
      </c>
    </row>
    <row r="41" spans="1:4" x14ac:dyDescent="0.2">
      <c r="A41" s="2664"/>
      <c r="B41" s="2664"/>
      <c r="D41" s="1047"/>
    </row>
    <row r="42" spans="1:4" x14ac:dyDescent="0.2">
      <c r="A42" s="2664"/>
      <c r="B42" s="2664"/>
      <c r="D42" s="1047"/>
    </row>
    <row r="43" spans="1:4" x14ac:dyDescent="0.2">
      <c r="A43" s="2664"/>
      <c r="B43" s="2664"/>
      <c r="D43" s="1047"/>
    </row>
    <row r="44" spans="1:4" x14ac:dyDescent="0.2">
      <c r="A44" s="2664"/>
      <c r="B44" s="2664"/>
      <c r="D44" s="1047"/>
    </row>
    <row r="45" spans="1:4" x14ac:dyDescent="0.2">
      <c r="A45" s="2664"/>
      <c r="B45" s="2664"/>
      <c r="D45" s="1047"/>
    </row>
    <row r="47" spans="1:4" x14ac:dyDescent="0.2">
      <c r="B47" s="1048" t="s">
        <v>1216</v>
      </c>
      <c r="C47" s="1048"/>
      <c r="D47" s="1049">
        <f>SUM(D35:D45)</f>
        <v>874358</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24" t="str">
        <f>'Single Audit Cover'!A7</f>
        <v xml:space="preserve">  Princeville CUSD 326</v>
      </c>
      <c r="C1" s="2669"/>
      <c r="D1" s="2669"/>
      <c r="E1" s="2669"/>
      <c r="F1" s="2669"/>
      <c r="G1" s="2669"/>
      <c r="H1" s="2669"/>
      <c r="I1" s="2669"/>
      <c r="J1" s="2669"/>
      <c r="K1" s="2669"/>
      <c r="L1" s="2669"/>
      <c r="M1" s="2669"/>
    </row>
    <row r="2" spans="2:14" ht="15" x14ac:dyDescent="0.2">
      <c r="B2" s="2670">
        <f>'Single Audit Cover'!E7</f>
        <v>48072326026</v>
      </c>
      <c r="C2" s="2670"/>
      <c r="D2" s="2670"/>
      <c r="E2" s="2670"/>
      <c r="F2" s="2670"/>
      <c r="G2" s="2670"/>
      <c r="H2" s="2670"/>
      <c r="I2" s="2670"/>
      <c r="J2" s="2670"/>
      <c r="K2" s="2670"/>
      <c r="L2" s="2670"/>
      <c r="M2" s="2670"/>
      <c r="N2" s="1078"/>
    </row>
    <row r="3" spans="2:14" ht="15" x14ac:dyDescent="0.2">
      <c r="B3" s="2671" t="s">
        <v>1208</v>
      </c>
      <c r="C3" s="2671"/>
      <c r="D3" s="2671"/>
      <c r="E3" s="2671"/>
      <c r="F3" s="2671"/>
      <c r="G3" s="2671"/>
      <c r="H3" s="2671"/>
      <c r="I3" s="2671"/>
      <c r="J3" s="2671"/>
      <c r="K3" s="2671"/>
      <c r="L3" s="2671"/>
      <c r="M3" s="2671"/>
      <c r="N3" s="1078"/>
    </row>
    <row r="4" spans="2:14" ht="15" x14ac:dyDescent="0.2">
      <c r="B4" s="2672" t="str">
        <f>'Single Audit Cover'!A4</f>
        <v>Year Ending June 30, 2020</v>
      </c>
      <c r="C4" s="2672"/>
      <c r="D4" s="2672"/>
      <c r="E4" s="2672"/>
      <c r="F4" s="2672"/>
      <c r="G4" s="2672"/>
      <c r="H4" s="2672"/>
      <c r="I4" s="2672"/>
      <c r="J4" s="2672"/>
      <c r="K4" s="2672"/>
      <c r="L4" s="2672"/>
      <c r="M4" s="2672"/>
      <c r="N4" s="1078"/>
    </row>
    <row r="5" spans="2:14" x14ac:dyDescent="0.2">
      <c r="H5" s="1915"/>
      <c r="J5" s="1915"/>
    </row>
    <row r="6" spans="2:14" x14ac:dyDescent="0.2">
      <c r="B6" s="1079"/>
      <c r="C6" s="1080"/>
      <c r="D6" s="1081" t="s">
        <v>1254</v>
      </c>
      <c r="E6" s="1082" t="s">
        <v>524</v>
      </c>
      <c r="F6" s="1083"/>
      <c r="G6" s="1084" t="s">
        <v>1707</v>
      </c>
      <c r="H6" s="1082"/>
      <c r="I6" s="1082"/>
      <c r="J6" s="1916"/>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2055</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98056-F308-4502-9577-C09A85C8377C}">
  <sheetPr transitionEvaluation="1"/>
  <dimension ref="A1:O127"/>
  <sheetViews>
    <sheetView showGridLines="0" zoomScale="70" zoomScaleNormal="70" zoomScaleSheetLayoutView="70" workbookViewId="0">
      <pane xSplit="1" ySplit="11" topLeftCell="B12" activePane="bottomRight" state="frozen"/>
      <selection pane="topRight" activeCell="C1" sqref="C1"/>
      <selection pane="bottomLeft" activeCell="A14" sqref="A14"/>
      <selection pane="bottomRight" activeCell="B12" sqref="B12"/>
    </sheetView>
  </sheetViews>
  <sheetFormatPr defaultColWidth="16.7109375" defaultRowHeight="12" x14ac:dyDescent="0.2"/>
  <cols>
    <col min="1" max="1" width="50.7109375" style="2063" customWidth="1"/>
    <col min="2" max="2" width="9.85546875" style="2063" customWidth="1"/>
    <col min="3" max="3" width="13" style="2063" customWidth="1"/>
    <col min="4" max="4" width="5.28515625" style="2123" customWidth="1"/>
    <col min="5" max="5" width="12.85546875" style="2063" customWidth="1"/>
    <col min="6" max="6" width="13.85546875" style="2063" customWidth="1"/>
    <col min="7" max="7" width="4.140625" style="2063" bestFit="1" customWidth="1"/>
    <col min="8" max="8" width="13.140625" style="2063" bestFit="1" customWidth="1"/>
    <col min="9" max="9" width="12.28515625" style="2063" customWidth="1"/>
    <col min="10" max="10" width="1.85546875" style="2063" customWidth="1"/>
    <col min="11" max="11" width="11" style="2063" customWidth="1"/>
    <col min="12" max="12" width="4.5703125" style="2123" bestFit="1" customWidth="1"/>
    <col min="13" max="13" width="13.28515625" style="2063" bestFit="1" customWidth="1"/>
    <col min="14" max="14" width="12.42578125" style="2063" bestFit="1" customWidth="1"/>
    <col min="15" max="248" width="16.7109375" style="2063"/>
    <col min="249" max="249" width="50.7109375" style="2063" customWidth="1"/>
    <col min="250" max="250" width="9.85546875" style="2063" customWidth="1"/>
    <col min="251" max="251" width="13" style="2063" customWidth="1"/>
    <col min="252" max="252" width="5.28515625" style="2063" customWidth="1"/>
    <col min="253" max="253" width="12.85546875" style="2063" customWidth="1"/>
    <col min="254" max="254" width="13.85546875" style="2063" customWidth="1"/>
    <col min="255" max="255" width="4.140625" style="2063" bestFit="1" customWidth="1"/>
    <col min="256" max="256" width="13.140625" style="2063" bestFit="1" customWidth="1"/>
    <col min="257" max="257" width="12.28515625" style="2063" customWidth="1"/>
    <col min="258" max="258" width="1.85546875" style="2063" customWidth="1"/>
    <col min="259" max="259" width="11" style="2063" customWidth="1"/>
    <col min="260" max="260" width="4.5703125" style="2063" bestFit="1" customWidth="1"/>
    <col min="261" max="261" width="13.28515625" style="2063" bestFit="1" customWidth="1"/>
    <col min="262" max="262" width="12.42578125" style="2063" bestFit="1" customWidth="1"/>
    <col min="263" max="504" width="16.7109375" style="2063"/>
    <col min="505" max="505" width="50.7109375" style="2063" customWidth="1"/>
    <col min="506" max="506" width="9.85546875" style="2063" customWidth="1"/>
    <col min="507" max="507" width="13" style="2063" customWidth="1"/>
    <col min="508" max="508" width="5.28515625" style="2063" customWidth="1"/>
    <col min="509" max="509" width="12.85546875" style="2063" customWidth="1"/>
    <col min="510" max="510" width="13.85546875" style="2063" customWidth="1"/>
    <col min="511" max="511" width="4.140625" style="2063" bestFit="1" customWidth="1"/>
    <col min="512" max="512" width="13.140625" style="2063" bestFit="1" customWidth="1"/>
    <col min="513" max="513" width="12.28515625" style="2063" customWidth="1"/>
    <col min="514" max="514" width="1.85546875" style="2063" customWidth="1"/>
    <col min="515" max="515" width="11" style="2063" customWidth="1"/>
    <col min="516" max="516" width="4.5703125" style="2063" bestFit="1" customWidth="1"/>
    <col min="517" max="517" width="13.28515625" style="2063" bestFit="1" customWidth="1"/>
    <col min="518" max="518" width="12.42578125" style="2063" bestFit="1" customWidth="1"/>
    <col min="519" max="760" width="16.7109375" style="2063"/>
    <col min="761" max="761" width="50.7109375" style="2063" customWidth="1"/>
    <col min="762" max="762" width="9.85546875" style="2063" customWidth="1"/>
    <col min="763" max="763" width="13" style="2063" customWidth="1"/>
    <col min="764" max="764" width="5.28515625" style="2063" customWidth="1"/>
    <col min="765" max="765" width="12.85546875" style="2063" customWidth="1"/>
    <col min="766" max="766" width="13.85546875" style="2063" customWidth="1"/>
    <col min="767" max="767" width="4.140625" style="2063" bestFit="1" customWidth="1"/>
    <col min="768" max="768" width="13.140625" style="2063" bestFit="1" customWidth="1"/>
    <col min="769" max="769" width="12.28515625" style="2063" customWidth="1"/>
    <col min="770" max="770" width="1.85546875" style="2063" customWidth="1"/>
    <col min="771" max="771" width="11" style="2063" customWidth="1"/>
    <col min="772" max="772" width="4.5703125" style="2063" bestFit="1" customWidth="1"/>
    <col min="773" max="773" width="13.28515625" style="2063" bestFit="1" customWidth="1"/>
    <col min="774" max="774" width="12.42578125" style="2063" bestFit="1" customWidth="1"/>
    <col min="775" max="1016" width="16.7109375" style="2063"/>
    <col min="1017" max="1017" width="50.7109375" style="2063" customWidth="1"/>
    <col min="1018" max="1018" width="9.85546875" style="2063" customWidth="1"/>
    <col min="1019" max="1019" width="13" style="2063" customWidth="1"/>
    <col min="1020" max="1020" width="5.28515625" style="2063" customWidth="1"/>
    <col min="1021" max="1021" width="12.85546875" style="2063" customWidth="1"/>
    <col min="1022" max="1022" width="13.85546875" style="2063" customWidth="1"/>
    <col min="1023" max="1023" width="4.140625" style="2063" bestFit="1" customWidth="1"/>
    <col min="1024" max="1024" width="13.140625" style="2063" bestFit="1" customWidth="1"/>
    <col min="1025" max="1025" width="12.28515625" style="2063" customWidth="1"/>
    <col min="1026" max="1026" width="1.85546875" style="2063" customWidth="1"/>
    <col min="1027" max="1027" width="11" style="2063" customWidth="1"/>
    <col min="1028" max="1028" width="4.5703125" style="2063" bestFit="1" customWidth="1"/>
    <col min="1029" max="1029" width="13.28515625" style="2063" bestFit="1" customWidth="1"/>
    <col min="1030" max="1030" width="12.42578125" style="2063" bestFit="1" customWidth="1"/>
    <col min="1031" max="1272" width="16.7109375" style="2063"/>
    <col min="1273" max="1273" width="50.7109375" style="2063" customWidth="1"/>
    <col min="1274" max="1274" width="9.85546875" style="2063" customWidth="1"/>
    <col min="1275" max="1275" width="13" style="2063" customWidth="1"/>
    <col min="1276" max="1276" width="5.28515625" style="2063" customWidth="1"/>
    <col min="1277" max="1277" width="12.85546875" style="2063" customWidth="1"/>
    <col min="1278" max="1278" width="13.85546875" style="2063" customWidth="1"/>
    <col min="1279" max="1279" width="4.140625" style="2063" bestFit="1" customWidth="1"/>
    <col min="1280" max="1280" width="13.140625" style="2063" bestFit="1" customWidth="1"/>
    <col min="1281" max="1281" width="12.28515625" style="2063" customWidth="1"/>
    <col min="1282" max="1282" width="1.85546875" style="2063" customWidth="1"/>
    <col min="1283" max="1283" width="11" style="2063" customWidth="1"/>
    <col min="1284" max="1284" width="4.5703125" style="2063" bestFit="1" customWidth="1"/>
    <col min="1285" max="1285" width="13.28515625" style="2063" bestFit="1" customWidth="1"/>
    <col min="1286" max="1286" width="12.42578125" style="2063" bestFit="1" customWidth="1"/>
    <col min="1287" max="1528" width="16.7109375" style="2063"/>
    <col min="1529" max="1529" width="50.7109375" style="2063" customWidth="1"/>
    <col min="1530" max="1530" width="9.85546875" style="2063" customWidth="1"/>
    <col min="1531" max="1531" width="13" style="2063" customWidth="1"/>
    <col min="1532" max="1532" width="5.28515625" style="2063" customWidth="1"/>
    <col min="1533" max="1533" width="12.85546875" style="2063" customWidth="1"/>
    <col min="1534" max="1534" width="13.85546875" style="2063" customWidth="1"/>
    <col min="1535" max="1535" width="4.140625" style="2063" bestFit="1" customWidth="1"/>
    <col min="1536" max="1536" width="13.140625" style="2063" bestFit="1" customWidth="1"/>
    <col min="1537" max="1537" width="12.28515625" style="2063" customWidth="1"/>
    <col min="1538" max="1538" width="1.85546875" style="2063" customWidth="1"/>
    <col min="1539" max="1539" width="11" style="2063" customWidth="1"/>
    <col min="1540" max="1540" width="4.5703125" style="2063" bestFit="1" customWidth="1"/>
    <col min="1541" max="1541" width="13.28515625" style="2063" bestFit="1" customWidth="1"/>
    <col min="1542" max="1542" width="12.42578125" style="2063" bestFit="1" customWidth="1"/>
    <col min="1543" max="1784" width="16.7109375" style="2063"/>
    <col min="1785" max="1785" width="50.7109375" style="2063" customWidth="1"/>
    <col min="1786" max="1786" width="9.85546875" style="2063" customWidth="1"/>
    <col min="1787" max="1787" width="13" style="2063" customWidth="1"/>
    <col min="1788" max="1788" width="5.28515625" style="2063" customWidth="1"/>
    <col min="1789" max="1789" width="12.85546875" style="2063" customWidth="1"/>
    <col min="1790" max="1790" width="13.85546875" style="2063" customWidth="1"/>
    <col min="1791" max="1791" width="4.140625" style="2063" bestFit="1" customWidth="1"/>
    <col min="1792" max="1792" width="13.140625" style="2063" bestFit="1" customWidth="1"/>
    <col min="1793" max="1793" width="12.28515625" style="2063" customWidth="1"/>
    <col min="1794" max="1794" width="1.85546875" style="2063" customWidth="1"/>
    <col min="1795" max="1795" width="11" style="2063" customWidth="1"/>
    <col min="1796" max="1796" width="4.5703125" style="2063" bestFit="1" customWidth="1"/>
    <col min="1797" max="1797" width="13.28515625" style="2063" bestFit="1" customWidth="1"/>
    <col min="1798" max="1798" width="12.42578125" style="2063" bestFit="1" customWidth="1"/>
    <col min="1799" max="2040" width="16.7109375" style="2063"/>
    <col min="2041" max="2041" width="50.7109375" style="2063" customWidth="1"/>
    <col min="2042" max="2042" width="9.85546875" style="2063" customWidth="1"/>
    <col min="2043" max="2043" width="13" style="2063" customWidth="1"/>
    <col min="2044" max="2044" width="5.28515625" style="2063" customWidth="1"/>
    <col min="2045" max="2045" width="12.85546875" style="2063" customWidth="1"/>
    <col min="2046" max="2046" width="13.85546875" style="2063" customWidth="1"/>
    <col min="2047" max="2047" width="4.140625" style="2063" bestFit="1" customWidth="1"/>
    <col min="2048" max="2048" width="13.140625" style="2063" bestFit="1" customWidth="1"/>
    <col min="2049" max="2049" width="12.28515625" style="2063" customWidth="1"/>
    <col min="2050" max="2050" width="1.85546875" style="2063" customWidth="1"/>
    <col min="2051" max="2051" width="11" style="2063" customWidth="1"/>
    <col min="2052" max="2052" width="4.5703125" style="2063" bestFit="1" customWidth="1"/>
    <col min="2053" max="2053" width="13.28515625" style="2063" bestFit="1" customWidth="1"/>
    <col min="2054" max="2054" width="12.42578125" style="2063" bestFit="1" customWidth="1"/>
    <col min="2055" max="2296" width="16.7109375" style="2063"/>
    <col min="2297" max="2297" width="50.7109375" style="2063" customWidth="1"/>
    <col min="2298" max="2298" width="9.85546875" style="2063" customWidth="1"/>
    <col min="2299" max="2299" width="13" style="2063" customWidth="1"/>
    <col min="2300" max="2300" width="5.28515625" style="2063" customWidth="1"/>
    <col min="2301" max="2301" width="12.85546875" style="2063" customWidth="1"/>
    <col min="2302" max="2302" width="13.85546875" style="2063" customWidth="1"/>
    <col min="2303" max="2303" width="4.140625" style="2063" bestFit="1" customWidth="1"/>
    <col min="2304" max="2304" width="13.140625" style="2063" bestFit="1" customWidth="1"/>
    <col min="2305" max="2305" width="12.28515625" style="2063" customWidth="1"/>
    <col min="2306" max="2306" width="1.85546875" style="2063" customWidth="1"/>
    <col min="2307" max="2307" width="11" style="2063" customWidth="1"/>
    <col min="2308" max="2308" width="4.5703125" style="2063" bestFit="1" customWidth="1"/>
    <col min="2309" max="2309" width="13.28515625" style="2063" bestFit="1" customWidth="1"/>
    <col min="2310" max="2310" width="12.42578125" style="2063" bestFit="1" customWidth="1"/>
    <col min="2311" max="2552" width="16.7109375" style="2063"/>
    <col min="2553" max="2553" width="50.7109375" style="2063" customWidth="1"/>
    <col min="2554" max="2554" width="9.85546875" style="2063" customWidth="1"/>
    <col min="2555" max="2555" width="13" style="2063" customWidth="1"/>
    <col min="2556" max="2556" width="5.28515625" style="2063" customWidth="1"/>
    <col min="2557" max="2557" width="12.85546875" style="2063" customWidth="1"/>
    <col min="2558" max="2558" width="13.85546875" style="2063" customWidth="1"/>
    <col min="2559" max="2559" width="4.140625" style="2063" bestFit="1" customWidth="1"/>
    <col min="2560" max="2560" width="13.140625" style="2063" bestFit="1" customWidth="1"/>
    <col min="2561" max="2561" width="12.28515625" style="2063" customWidth="1"/>
    <col min="2562" max="2562" width="1.85546875" style="2063" customWidth="1"/>
    <col min="2563" max="2563" width="11" style="2063" customWidth="1"/>
    <col min="2564" max="2564" width="4.5703125" style="2063" bestFit="1" customWidth="1"/>
    <col min="2565" max="2565" width="13.28515625" style="2063" bestFit="1" customWidth="1"/>
    <col min="2566" max="2566" width="12.42578125" style="2063" bestFit="1" customWidth="1"/>
    <col min="2567" max="2808" width="16.7109375" style="2063"/>
    <col min="2809" max="2809" width="50.7109375" style="2063" customWidth="1"/>
    <col min="2810" max="2810" width="9.85546875" style="2063" customWidth="1"/>
    <col min="2811" max="2811" width="13" style="2063" customWidth="1"/>
    <col min="2812" max="2812" width="5.28515625" style="2063" customWidth="1"/>
    <col min="2813" max="2813" width="12.85546875" style="2063" customWidth="1"/>
    <col min="2814" max="2814" width="13.85546875" style="2063" customWidth="1"/>
    <col min="2815" max="2815" width="4.140625" style="2063" bestFit="1" customWidth="1"/>
    <col min="2816" max="2816" width="13.140625" style="2063" bestFit="1" customWidth="1"/>
    <col min="2817" max="2817" width="12.28515625" style="2063" customWidth="1"/>
    <col min="2818" max="2818" width="1.85546875" style="2063" customWidth="1"/>
    <col min="2819" max="2819" width="11" style="2063" customWidth="1"/>
    <col min="2820" max="2820" width="4.5703125" style="2063" bestFit="1" customWidth="1"/>
    <col min="2821" max="2821" width="13.28515625" style="2063" bestFit="1" customWidth="1"/>
    <col min="2822" max="2822" width="12.42578125" style="2063" bestFit="1" customWidth="1"/>
    <col min="2823" max="3064" width="16.7109375" style="2063"/>
    <col min="3065" max="3065" width="50.7109375" style="2063" customWidth="1"/>
    <col min="3066" max="3066" width="9.85546875" style="2063" customWidth="1"/>
    <col min="3067" max="3067" width="13" style="2063" customWidth="1"/>
    <col min="3068" max="3068" width="5.28515625" style="2063" customWidth="1"/>
    <col min="3069" max="3069" width="12.85546875" style="2063" customWidth="1"/>
    <col min="3070" max="3070" width="13.85546875" style="2063" customWidth="1"/>
    <col min="3071" max="3071" width="4.140625" style="2063" bestFit="1" customWidth="1"/>
    <col min="3072" max="3072" width="13.140625" style="2063" bestFit="1" customWidth="1"/>
    <col min="3073" max="3073" width="12.28515625" style="2063" customWidth="1"/>
    <col min="3074" max="3074" width="1.85546875" style="2063" customWidth="1"/>
    <col min="3075" max="3075" width="11" style="2063" customWidth="1"/>
    <col min="3076" max="3076" width="4.5703125" style="2063" bestFit="1" customWidth="1"/>
    <col min="3077" max="3077" width="13.28515625" style="2063" bestFit="1" customWidth="1"/>
    <col min="3078" max="3078" width="12.42578125" style="2063" bestFit="1" customWidth="1"/>
    <col min="3079" max="3320" width="16.7109375" style="2063"/>
    <col min="3321" max="3321" width="50.7109375" style="2063" customWidth="1"/>
    <col min="3322" max="3322" width="9.85546875" style="2063" customWidth="1"/>
    <col min="3323" max="3323" width="13" style="2063" customWidth="1"/>
    <col min="3324" max="3324" width="5.28515625" style="2063" customWidth="1"/>
    <col min="3325" max="3325" width="12.85546875" style="2063" customWidth="1"/>
    <col min="3326" max="3326" width="13.85546875" style="2063" customWidth="1"/>
    <col min="3327" max="3327" width="4.140625" style="2063" bestFit="1" customWidth="1"/>
    <col min="3328" max="3328" width="13.140625" style="2063" bestFit="1" customWidth="1"/>
    <col min="3329" max="3329" width="12.28515625" style="2063" customWidth="1"/>
    <col min="3330" max="3330" width="1.85546875" style="2063" customWidth="1"/>
    <col min="3331" max="3331" width="11" style="2063" customWidth="1"/>
    <col min="3332" max="3332" width="4.5703125" style="2063" bestFit="1" customWidth="1"/>
    <col min="3333" max="3333" width="13.28515625" style="2063" bestFit="1" customWidth="1"/>
    <col min="3334" max="3334" width="12.42578125" style="2063" bestFit="1" customWidth="1"/>
    <col min="3335" max="3576" width="16.7109375" style="2063"/>
    <col min="3577" max="3577" width="50.7109375" style="2063" customWidth="1"/>
    <col min="3578" max="3578" width="9.85546875" style="2063" customWidth="1"/>
    <col min="3579" max="3579" width="13" style="2063" customWidth="1"/>
    <col min="3580" max="3580" width="5.28515625" style="2063" customWidth="1"/>
    <col min="3581" max="3581" width="12.85546875" style="2063" customWidth="1"/>
    <col min="3582" max="3582" width="13.85546875" style="2063" customWidth="1"/>
    <col min="3583" max="3583" width="4.140625" style="2063" bestFit="1" customWidth="1"/>
    <col min="3584" max="3584" width="13.140625" style="2063" bestFit="1" customWidth="1"/>
    <col min="3585" max="3585" width="12.28515625" style="2063" customWidth="1"/>
    <col min="3586" max="3586" width="1.85546875" style="2063" customWidth="1"/>
    <col min="3587" max="3587" width="11" style="2063" customWidth="1"/>
    <col min="3588" max="3588" width="4.5703125" style="2063" bestFit="1" customWidth="1"/>
    <col min="3589" max="3589" width="13.28515625" style="2063" bestFit="1" customWidth="1"/>
    <col min="3590" max="3590" width="12.42578125" style="2063" bestFit="1" customWidth="1"/>
    <col min="3591" max="3832" width="16.7109375" style="2063"/>
    <col min="3833" max="3833" width="50.7109375" style="2063" customWidth="1"/>
    <col min="3834" max="3834" width="9.85546875" style="2063" customWidth="1"/>
    <col min="3835" max="3835" width="13" style="2063" customWidth="1"/>
    <col min="3836" max="3836" width="5.28515625" style="2063" customWidth="1"/>
    <col min="3837" max="3837" width="12.85546875" style="2063" customWidth="1"/>
    <col min="3838" max="3838" width="13.85546875" style="2063" customWidth="1"/>
    <col min="3839" max="3839" width="4.140625" style="2063" bestFit="1" customWidth="1"/>
    <col min="3840" max="3840" width="13.140625" style="2063" bestFit="1" customWidth="1"/>
    <col min="3841" max="3841" width="12.28515625" style="2063" customWidth="1"/>
    <col min="3842" max="3842" width="1.85546875" style="2063" customWidth="1"/>
    <col min="3843" max="3843" width="11" style="2063" customWidth="1"/>
    <col min="3844" max="3844" width="4.5703125" style="2063" bestFit="1" customWidth="1"/>
    <col min="3845" max="3845" width="13.28515625" style="2063" bestFit="1" customWidth="1"/>
    <col min="3846" max="3846" width="12.42578125" style="2063" bestFit="1" customWidth="1"/>
    <col min="3847" max="4088" width="16.7109375" style="2063"/>
    <col min="4089" max="4089" width="50.7109375" style="2063" customWidth="1"/>
    <col min="4090" max="4090" width="9.85546875" style="2063" customWidth="1"/>
    <col min="4091" max="4091" width="13" style="2063" customWidth="1"/>
    <col min="4092" max="4092" width="5.28515625" style="2063" customWidth="1"/>
    <col min="4093" max="4093" width="12.85546875" style="2063" customWidth="1"/>
    <col min="4094" max="4094" width="13.85546875" style="2063" customWidth="1"/>
    <col min="4095" max="4095" width="4.140625" style="2063" bestFit="1" customWidth="1"/>
    <col min="4096" max="4096" width="13.140625" style="2063" bestFit="1" customWidth="1"/>
    <col min="4097" max="4097" width="12.28515625" style="2063" customWidth="1"/>
    <col min="4098" max="4098" width="1.85546875" style="2063" customWidth="1"/>
    <col min="4099" max="4099" width="11" style="2063" customWidth="1"/>
    <col min="4100" max="4100" width="4.5703125" style="2063" bestFit="1" customWidth="1"/>
    <col min="4101" max="4101" width="13.28515625" style="2063" bestFit="1" customWidth="1"/>
    <col min="4102" max="4102" width="12.42578125" style="2063" bestFit="1" customWidth="1"/>
    <col min="4103" max="4344" width="16.7109375" style="2063"/>
    <col min="4345" max="4345" width="50.7109375" style="2063" customWidth="1"/>
    <col min="4346" max="4346" width="9.85546875" style="2063" customWidth="1"/>
    <col min="4347" max="4347" width="13" style="2063" customWidth="1"/>
    <col min="4348" max="4348" width="5.28515625" style="2063" customWidth="1"/>
    <col min="4349" max="4349" width="12.85546875" style="2063" customWidth="1"/>
    <col min="4350" max="4350" width="13.85546875" style="2063" customWidth="1"/>
    <col min="4351" max="4351" width="4.140625" style="2063" bestFit="1" customWidth="1"/>
    <col min="4352" max="4352" width="13.140625" style="2063" bestFit="1" customWidth="1"/>
    <col min="4353" max="4353" width="12.28515625" style="2063" customWidth="1"/>
    <col min="4354" max="4354" width="1.85546875" style="2063" customWidth="1"/>
    <col min="4355" max="4355" width="11" style="2063" customWidth="1"/>
    <col min="4356" max="4356" width="4.5703125" style="2063" bestFit="1" customWidth="1"/>
    <col min="4357" max="4357" width="13.28515625" style="2063" bestFit="1" customWidth="1"/>
    <col min="4358" max="4358" width="12.42578125" style="2063" bestFit="1" customWidth="1"/>
    <col min="4359" max="4600" width="16.7109375" style="2063"/>
    <col min="4601" max="4601" width="50.7109375" style="2063" customWidth="1"/>
    <col min="4602" max="4602" width="9.85546875" style="2063" customWidth="1"/>
    <col min="4603" max="4603" width="13" style="2063" customWidth="1"/>
    <col min="4604" max="4604" width="5.28515625" style="2063" customWidth="1"/>
    <col min="4605" max="4605" width="12.85546875" style="2063" customWidth="1"/>
    <col min="4606" max="4606" width="13.85546875" style="2063" customWidth="1"/>
    <col min="4607" max="4607" width="4.140625" style="2063" bestFit="1" customWidth="1"/>
    <col min="4608" max="4608" width="13.140625" style="2063" bestFit="1" customWidth="1"/>
    <col min="4609" max="4609" width="12.28515625" style="2063" customWidth="1"/>
    <col min="4610" max="4610" width="1.85546875" style="2063" customWidth="1"/>
    <col min="4611" max="4611" width="11" style="2063" customWidth="1"/>
    <col min="4612" max="4612" width="4.5703125" style="2063" bestFit="1" customWidth="1"/>
    <col min="4613" max="4613" width="13.28515625" style="2063" bestFit="1" customWidth="1"/>
    <col min="4614" max="4614" width="12.42578125" style="2063" bestFit="1" customWidth="1"/>
    <col min="4615" max="4856" width="16.7109375" style="2063"/>
    <col min="4857" max="4857" width="50.7109375" style="2063" customWidth="1"/>
    <col min="4858" max="4858" width="9.85546875" style="2063" customWidth="1"/>
    <col min="4859" max="4859" width="13" style="2063" customWidth="1"/>
    <col min="4860" max="4860" width="5.28515625" style="2063" customWidth="1"/>
    <col min="4861" max="4861" width="12.85546875" style="2063" customWidth="1"/>
    <col min="4862" max="4862" width="13.85546875" style="2063" customWidth="1"/>
    <col min="4863" max="4863" width="4.140625" style="2063" bestFit="1" customWidth="1"/>
    <col min="4864" max="4864" width="13.140625" style="2063" bestFit="1" customWidth="1"/>
    <col min="4865" max="4865" width="12.28515625" style="2063" customWidth="1"/>
    <col min="4866" max="4866" width="1.85546875" style="2063" customWidth="1"/>
    <col min="4867" max="4867" width="11" style="2063" customWidth="1"/>
    <col min="4868" max="4868" width="4.5703125" style="2063" bestFit="1" customWidth="1"/>
    <col min="4869" max="4869" width="13.28515625" style="2063" bestFit="1" customWidth="1"/>
    <col min="4870" max="4870" width="12.42578125" style="2063" bestFit="1" customWidth="1"/>
    <col min="4871" max="5112" width="16.7109375" style="2063"/>
    <col min="5113" max="5113" width="50.7109375" style="2063" customWidth="1"/>
    <col min="5114" max="5114" width="9.85546875" style="2063" customWidth="1"/>
    <col min="5115" max="5115" width="13" style="2063" customWidth="1"/>
    <col min="5116" max="5116" width="5.28515625" style="2063" customWidth="1"/>
    <col min="5117" max="5117" width="12.85546875" style="2063" customWidth="1"/>
    <col min="5118" max="5118" width="13.85546875" style="2063" customWidth="1"/>
    <col min="5119" max="5119" width="4.140625" style="2063" bestFit="1" customWidth="1"/>
    <col min="5120" max="5120" width="13.140625" style="2063" bestFit="1" customWidth="1"/>
    <col min="5121" max="5121" width="12.28515625" style="2063" customWidth="1"/>
    <col min="5122" max="5122" width="1.85546875" style="2063" customWidth="1"/>
    <col min="5123" max="5123" width="11" style="2063" customWidth="1"/>
    <col min="5124" max="5124" width="4.5703125" style="2063" bestFit="1" customWidth="1"/>
    <col min="5125" max="5125" width="13.28515625" style="2063" bestFit="1" customWidth="1"/>
    <col min="5126" max="5126" width="12.42578125" style="2063" bestFit="1" customWidth="1"/>
    <col min="5127" max="5368" width="16.7109375" style="2063"/>
    <col min="5369" max="5369" width="50.7109375" style="2063" customWidth="1"/>
    <col min="5370" max="5370" width="9.85546875" style="2063" customWidth="1"/>
    <col min="5371" max="5371" width="13" style="2063" customWidth="1"/>
    <col min="5372" max="5372" width="5.28515625" style="2063" customWidth="1"/>
    <col min="5373" max="5373" width="12.85546875" style="2063" customWidth="1"/>
    <col min="5374" max="5374" width="13.85546875" style="2063" customWidth="1"/>
    <col min="5375" max="5375" width="4.140625" style="2063" bestFit="1" customWidth="1"/>
    <col min="5376" max="5376" width="13.140625" style="2063" bestFit="1" customWidth="1"/>
    <col min="5377" max="5377" width="12.28515625" style="2063" customWidth="1"/>
    <col min="5378" max="5378" width="1.85546875" style="2063" customWidth="1"/>
    <col min="5379" max="5379" width="11" style="2063" customWidth="1"/>
    <col min="5380" max="5380" width="4.5703125" style="2063" bestFit="1" customWidth="1"/>
    <col min="5381" max="5381" width="13.28515625" style="2063" bestFit="1" customWidth="1"/>
    <col min="5382" max="5382" width="12.42578125" style="2063" bestFit="1" customWidth="1"/>
    <col min="5383" max="5624" width="16.7109375" style="2063"/>
    <col min="5625" max="5625" width="50.7109375" style="2063" customWidth="1"/>
    <col min="5626" max="5626" width="9.85546875" style="2063" customWidth="1"/>
    <col min="5627" max="5627" width="13" style="2063" customWidth="1"/>
    <col min="5628" max="5628" width="5.28515625" style="2063" customWidth="1"/>
    <col min="5629" max="5629" width="12.85546875" style="2063" customWidth="1"/>
    <col min="5630" max="5630" width="13.85546875" style="2063" customWidth="1"/>
    <col min="5631" max="5631" width="4.140625" style="2063" bestFit="1" customWidth="1"/>
    <col min="5632" max="5632" width="13.140625" style="2063" bestFit="1" customWidth="1"/>
    <col min="5633" max="5633" width="12.28515625" style="2063" customWidth="1"/>
    <col min="5634" max="5634" width="1.85546875" style="2063" customWidth="1"/>
    <col min="5635" max="5635" width="11" style="2063" customWidth="1"/>
    <col min="5636" max="5636" width="4.5703125" style="2063" bestFit="1" customWidth="1"/>
    <col min="5637" max="5637" width="13.28515625" style="2063" bestFit="1" customWidth="1"/>
    <col min="5638" max="5638" width="12.42578125" style="2063" bestFit="1" customWidth="1"/>
    <col min="5639" max="5880" width="16.7109375" style="2063"/>
    <col min="5881" max="5881" width="50.7109375" style="2063" customWidth="1"/>
    <col min="5882" max="5882" width="9.85546875" style="2063" customWidth="1"/>
    <col min="5883" max="5883" width="13" style="2063" customWidth="1"/>
    <col min="5884" max="5884" width="5.28515625" style="2063" customWidth="1"/>
    <col min="5885" max="5885" width="12.85546875" style="2063" customWidth="1"/>
    <col min="5886" max="5886" width="13.85546875" style="2063" customWidth="1"/>
    <col min="5887" max="5887" width="4.140625" style="2063" bestFit="1" customWidth="1"/>
    <col min="5888" max="5888" width="13.140625" style="2063" bestFit="1" customWidth="1"/>
    <col min="5889" max="5889" width="12.28515625" style="2063" customWidth="1"/>
    <col min="5890" max="5890" width="1.85546875" style="2063" customWidth="1"/>
    <col min="5891" max="5891" width="11" style="2063" customWidth="1"/>
    <col min="5892" max="5892" width="4.5703125" style="2063" bestFit="1" customWidth="1"/>
    <col min="5893" max="5893" width="13.28515625" style="2063" bestFit="1" customWidth="1"/>
    <col min="5894" max="5894" width="12.42578125" style="2063" bestFit="1" customWidth="1"/>
    <col min="5895" max="6136" width="16.7109375" style="2063"/>
    <col min="6137" max="6137" width="50.7109375" style="2063" customWidth="1"/>
    <col min="6138" max="6138" width="9.85546875" style="2063" customWidth="1"/>
    <col min="6139" max="6139" width="13" style="2063" customWidth="1"/>
    <col min="6140" max="6140" width="5.28515625" style="2063" customWidth="1"/>
    <col min="6141" max="6141" width="12.85546875" style="2063" customWidth="1"/>
    <col min="6142" max="6142" width="13.85546875" style="2063" customWidth="1"/>
    <col min="6143" max="6143" width="4.140625" style="2063" bestFit="1" customWidth="1"/>
    <col min="6144" max="6144" width="13.140625" style="2063" bestFit="1" customWidth="1"/>
    <col min="6145" max="6145" width="12.28515625" style="2063" customWidth="1"/>
    <col min="6146" max="6146" width="1.85546875" style="2063" customWidth="1"/>
    <col min="6147" max="6147" width="11" style="2063" customWidth="1"/>
    <col min="6148" max="6148" width="4.5703125" style="2063" bestFit="1" customWidth="1"/>
    <col min="6149" max="6149" width="13.28515625" style="2063" bestFit="1" customWidth="1"/>
    <col min="6150" max="6150" width="12.42578125" style="2063" bestFit="1" customWidth="1"/>
    <col min="6151" max="6392" width="16.7109375" style="2063"/>
    <col min="6393" max="6393" width="50.7109375" style="2063" customWidth="1"/>
    <col min="6394" max="6394" width="9.85546875" style="2063" customWidth="1"/>
    <col min="6395" max="6395" width="13" style="2063" customWidth="1"/>
    <col min="6396" max="6396" width="5.28515625" style="2063" customWidth="1"/>
    <col min="6397" max="6397" width="12.85546875" style="2063" customWidth="1"/>
    <col min="6398" max="6398" width="13.85546875" style="2063" customWidth="1"/>
    <col min="6399" max="6399" width="4.140625" style="2063" bestFit="1" customWidth="1"/>
    <col min="6400" max="6400" width="13.140625" style="2063" bestFit="1" customWidth="1"/>
    <col min="6401" max="6401" width="12.28515625" style="2063" customWidth="1"/>
    <col min="6402" max="6402" width="1.85546875" style="2063" customWidth="1"/>
    <col min="6403" max="6403" width="11" style="2063" customWidth="1"/>
    <col min="6404" max="6404" width="4.5703125" style="2063" bestFit="1" customWidth="1"/>
    <col min="6405" max="6405" width="13.28515625" style="2063" bestFit="1" customWidth="1"/>
    <col min="6406" max="6406" width="12.42578125" style="2063" bestFit="1" customWidth="1"/>
    <col min="6407" max="6648" width="16.7109375" style="2063"/>
    <col min="6649" max="6649" width="50.7109375" style="2063" customWidth="1"/>
    <col min="6650" max="6650" width="9.85546875" style="2063" customWidth="1"/>
    <col min="6651" max="6651" width="13" style="2063" customWidth="1"/>
    <col min="6652" max="6652" width="5.28515625" style="2063" customWidth="1"/>
    <col min="6653" max="6653" width="12.85546875" style="2063" customWidth="1"/>
    <col min="6654" max="6654" width="13.85546875" style="2063" customWidth="1"/>
    <col min="6655" max="6655" width="4.140625" style="2063" bestFit="1" customWidth="1"/>
    <col min="6656" max="6656" width="13.140625" style="2063" bestFit="1" customWidth="1"/>
    <col min="6657" max="6657" width="12.28515625" style="2063" customWidth="1"/>
    <col min="6658" max="6658" width="1.85546875" style="2063" customWidth="1"/>
    <col min="6659" max="6659" width="11" style="2063" customWidth="1"/>
    <col min="6660" max="6660" width="4.5703125" style="2063" bestFit="1" customWidth="1"/>
    <col min="6661" max="6661" width="13.28515625" style="2063" bestFit="1" customWidth="1"/>
    <col min="6662" max="6662" width="12.42578125" style="2063" bestFit="1" customWidth="1"/>
    <col min="6663" max="6904" width="16.7109375" style="2063"/>
    <col min="6905" max="6905" width="50.7109375" style="2063" customWidth="1"/>
    <col min="6906" max="6906" width="9.85546875" style="2063" customWidth="1"/>
    <col min="6907" max="6907" width="13" style="2063" customWidth="1"/>
    <col min="6908" max="6908" width="5.28515625" style="2063" customWidth="1"/>
    <col min="6909" max="6909" width="12.85546875" style="2063" customWidth="1"/>
    <col min="6910" max="6910" width="13.85546875" style="2063" customWidth="1"/>
    <col min="6911" max="6911" width="4.140625" style="2063" bestFit="1" customWidth="1"/>
    <col min="6912" max="6912" width="13.140625" style="2063" bestFit="1" customWidth="1"/>
    <col min="6913" max="6913" width="12.28515625" style="2063" customWidth="1"/>
    <col min="6914" max="6914" width="1.85546875" style="2063" customWidth="1"/>
    <col min="6915" max="6915" width="11" style="2063" customWidth="1"/>
    <col min="6916" max="6916" width="4.5703125" style="2063" bestFit="1" customWidth="1"/>
    <col min="6917" max="6917" width="13.28515625" style="2063" bestFit="1" customWidth="1"/>
    <col min="6918" max="6918" width="12.42578125" style="2063" bestFit="1" customWidth="1"/>
    <col min="6919" max="7160" width="16.7109375" style="2063"/>
    <col min="7161" max="7161" width="50.7109375" style="2063" customWidth="1"/>
    <col min="7162" max="7162" width="9.85546875" style="2063" customWidth="1"/>
    <col min="7163" max="7163" width="13" style="2063" customWidth="1"/>
    <col min="7164" max="7164" width="5.28515625" style="2063" customWidth="1"/>
    <col min="7165" max="7165" width="12.85546875" style="2063" customWidth="1"/>
    <col min="7166" max="7166" width="13.85546875" style="2063" customWidth="1"/>
    <col min="7167" max="7167" width="4.140625" style="2063" bestFit="1" customWidth="1"/>
    <col min="7168" max="7168" width="13.140625" style="2063" bestFit="1" customWidth="1"/>
    <col min="7169" max="7169" width="12.28515625" style="2063" customWidth="1"/>
    <col min="7170" max="7170" width="1.85546875" style="2063" customWidth="1"/>
    <col min="7171" max="7171" width="11" style="2063" customWidth="1"/>
    <col min="7172" max="7172" width="4.5703125" style="2063" bestFit="1" customWidth="1"/>
    <col min="7173" max="7173" width="13.28515625" style="2063" bestFit="1" customWidth="1"/>
    <col min="7174" max="7174" width="12.42578125" style="2063" bestFit="1" customWidth="1"/>
    <col min="7175" max="7416" width="16.7109375" style="2063"/>
    <col min="7417" max="7417" width="50.7109375" style="2063" customWidth="1"/>
    <col min="7418" max="7418" width="9.85546875" style="2063" customWidth="1"/>
    <col min="7419" max="7419" width="13" style="2063" customWidth="1"/>
    <col min="7420" max="7420" width="5.28515625" style="2063" customWidth="1"/>
    <col min="7421" max="7421" width="12.85546875" style="2063" customWidth="1"/>
    <col min="7422" max="7422" width="13.85546875" style="2063" customWidth="1"/>
    <col min="7423" max="7423" width="4.140625" style="2063" bestFit="1" customWidth="1"/>
    <col min="7424" max="7424" width="13.140625" style="2063" bestFit="1" customWidth="1"/>
    <col min="7425" max="7425" width="12.28515625" style="2063" customWidth="1"/>
    <col min="7426" max="7426" width="1.85546875" style="2063" customWidth="1"/>
    <col min="7427" max="7427" width="11" style="2063" customWidth="1"/>
    <col min="7428" max="7428" width="4.5703125" style="2063" bestFit="1" customWidth="1"/>
    <col min="7429" max="7429" width="13.28515625" style="2063" bestFit="1" customWidth="1"/>
    <col min="7430" max="7430" width="12.42578125" style="2063" bestFit="1" customWidth="1"/>
    <col min="7431" max="7672" width="16.7109375" style="2063"/>
    <col min="7673" max="7673" width="50.7109375" style="2063" customWidth="1"/>
    <col min="7674" max="7674" width="9.85546875" style="2063" customWidth="1"/>
    <col min="7675" max="7675" width="13" style="2063" customWidth="1"/>
    <col min="7676" max="7676" width="5.28515625" style="2063" customWidth="1"/>
    <col min="7677" max="7677" width="12.85546875" style="2063" customWidth="1"/>
    <col min="7678" max="7678" width="13.85546875" style="2063" customWidth="1"/>
    <col min="7679" max="7679" width="4.140625" style="2063" bestFit="1" customWidth="1"/>
    <col min="7680" max="7680" width="13.140625" style="2063" bestFit="1" customWidth="1"/>
    <col min="7681" max="7681" width="12.28515625" style="2063" customWidth="1"/>
    <col min="7682" max="7682" width="1.85546875" style="2063" customWidth="1"/>
    <col min="7683" max="7683" width="11" style="2063" customWidth="1"/>
    <col min="7684" max="7684" width="4.5703125" style="2063" bestFit="1" customWidth="1"/>
    <col min="7685" max="7685" width="13.28515625" style="2063" bestFit="1" customWidth="1"/>
    <col min="7686" max="7686" width="12.42578125" style="2063" bestFit="1" customWidth="1"/>
    <col min="7687" max="7928" width="16.7109375" style="2063"/>
    <col min="7929" max="7929" width="50.7109375" style="2063" customWidth="1"/>
    <col min="7930" max="7930" width="9.85546875" style="2063" customWidth="1"/>
    <col min="7931" max="7931" width="13" style="2063" customWidth="1"/>
    <col min="7932" max="7932" width="5.28515625" style="2063" customWidth="1"/>
    <col min="7933" max="7933" width="12.85546875" style="2063" customWidth="1"/>
    <col min="7934" max="7934" width="13.85546875" style="2063" customWidth="1"/>
    <col min="7935" max="7935" width="4.140625" style="2063" bestFit="1" customWidth="1"/>
    <col min="7936" max="7936" width="13.140625" style="2063" bestFit="1" customWidth="1"/>
    <col min="7937" max="7937" width="12.28515625" style="2063" customWidth="1"/>
    <col min="7938" max="7938" width="1.85546875" style="2063" customWidth="1"/>
    <col min="7939" max="7939" width="11" style="2063" customWidth="1"/>
    <col min="7940" max="7940" width="4.5703125" style="2063" bestFit="1" customWidth="1"/>
    <col min="7941" max="7941" width="13.28515625" style="2063" bestFit="1" customWidth="1"/>
    <col min="7942" max="7942" width="12.42578125" style="2063" bestFit="1" customWidth="1"/>
    <col min="7943" max="8184" width="16.7109375" style="2063"/>
    <col min="8185" max="8185" width="50.7109375" style="2063" customWidth="1"/>
    <col min="8186" max="8186" width="9.85546875" style="2063" customWidth="1"/>
    <col min="8187" max="8187" width="13" style="2063" customWidth="1"/>
    <col min="8188" max="8188" width="5.28515625" style="2063" customWidth="1"/>
    <col min="8189" max="8189" width="12.85546875" style="2063" customWidth="1"/>
    <col min="8190" max="8190" width="13.85546875" style="2063" customWidth="1"/>
    <col min="8191" max="8191" width="4.140625" style="2063" bestFit="1" customWidth="1"/>
    <col min="8192" max="8192" width="13.140625" style="2063" bestFit="1" customWidth="1"/>
    <col min="8193" max="8193" width="12.28515625" style="2063" customWidth="1"/>
    <col min="8194" max="8194" width="1.85546875" style="2063" customWidth="1"/>
    <col min="8195" max="8195" width="11" style="2063" customWidth="1"/>
    <col min="8196" max="8196" width="4.5703125" style="2063" bestFit="1" customWidth="1"/>
    <col min="8197" max="8197" width="13.28515625" style="2063" bestFit="1" customWidth="1"/>
    <col min="8198" max="8198" width="12.42578125" style="2063" bestFit="1" customWidth="1"/>
    <col min="8199" max="8440" width="16.7109375" style="2063"/>
    <col min="8441" max="8441" width="50.7109375" style="2063" customWidth="1"/>
    <col min="8442" max="8442" width="9.85546875" style="2063" customWidth="1"/>
    <col min="8443" max="8443" width="13" style="2063" customWidth="1"/>
    <col min="8444" max="8444" width="5.28515625" style="2063" customWidth="1"/>
    <col min="8445" max="8445" width="12.85546875" style="2063" customWidth="1"/>
    <col min="8446" max="8446" width="13.85546875" style="2063" customWidth="1"/>
    <col min="8447" max="8447" width="4.140625" style="2063" bestFit="1" customWidth="1"/>
    <col min="8448" max="8448" width="13.140625" style="2063" bestFit="1" customWidth="1"/>
    <col min="8449" max="8449" width="12.28515625" style="2063" customWidth="1"/>
    <col min="8450" max="8450" width="1.85546875" style="2063" customWidth="1"/>
    <col min="8451" max="8451" width="11" style="2063" customWidth="1"/>
    <col min="8452" max="8452" width="4.5703125" style="2063" bestFit="1" customWidth="1"/>
    <col min="8453" max="8453" width="13.28515625" style="2063" bestFit="1" customWidth="1"/>
    <col min="8454" max="8454" width="12.42578125" style="2063" bestFit="1" customWidth="1"/>
    <col min="8455" max="8696" width="16.7109375" style="2063"/>
    <col min="8697" max="8697" width="50.7109375" style="2063" customWidth="1"/>
    <col min="8698" max="8698" width="9.85546875" style="2063" customWidth="1"/>
    <col min="8699" max="8699" width="13" style="2063" customWidth="1"/>
    <col min="8700" max="8700" width="5.28515625" style="2063" customWidth="1"/>
    <col min="8701" max="8701" width="12.85546875" style="2063" customWidth="1"/>
    <col min="8702" max="8702" width="13.85546875" style="2063" customWidth="1"/>
    <col min="8703" max="8703" width="4.140625" style="2063" bestFit="1" customWidth="1"/>
    <col min="8704" max="8704" width="13.140625" style="2063" bestFit="1" customWidth="1"/>
    <col min="8705" max="8705" width="12.28515625" style="2063" customWidth="1"/>
    <col min="8706" max="8706" width="1.85546875" style="2063" customWidth="1"/>
    <col min="8707" max="8707" width="11" style="2063" customWidth="1"/>
    <col min="8708" max="8708" width="4.5703125" style="2063" bestFit="1" customWidth="1"/>
    <col min="8709" max="8709" width="13.28515625" style="2063" bestFit="1" customWidth="1"/>
    <col min="8710" max="8710" width="12.42578125" style="2063" bestFit="1" customWidth="1"/>
    <col min="8711" max="8952" width="16.7109375" style="2063"/>
    <col min="8953" max="8953" width="50.7109375" style="2063" customWidth="1"/>
    <col min="8954" max="8954" width="9.85546875" style="2063" customWidth="1"/>
    <col min="8955" max="8955" width="13" style="2063" customWidth="1"/>
    <col min="8956" max="8956" width="5.28515625" style="2063" customWidth="1"/>
    <col min="8957" max="8957" width="12.85546875" style="2063" customWidth="1"/>
    <col min="8958" max="8958" width="13.85546875" style="2063" customWidth="1"/>
    <col min="8959" max="8959" width="4.140625" style="2063" bestFit="1" customWidth="1"/>
    <col min="8960" max="8960" width="13.140625" style="2063" bestFit="1" customWidth="1"/>
    <col min="8961" max="8961" width="12.28515625" style="2063" customWidth="1"/>
    <col min="8962" max="8962" width="1.85546875" style="2063" customWidth="1"/>
    <col min="8963" max="8963" width="11" style="2063" customWidth="1"/>
    <col min="8964" max="8964" width="4.5703125" style="2063" bestFit="1" customWidth="1"/>
    <col min="8965" max="8965" width="13.28515625" style="2063" bestFit="1" customWidth="1"/>
    <col min="8966" max="8966" width="12.42578125" style="2063" bestFit="1" customWidth="1"/>
    <col min="8967" max="9208" width="16.7109375" style="2063"/>
    <col min="9209" max="9209" width="50.7109375" style="2063" customWidth="1"/>
    <col min="9210" max="9210" width="9.85546875" style="2063" customWidth="1"/>
    <col min="9211" max="9211" width="13" style="2063" customWidth="1"/>
    <col min="9212" max="9212" width="5.28515625" style="2063" customWidth="1"/>
    <col min="9213" max="9213" width="12.85546875" style="2063" customWidth="1"/>
    <col min="9214" max="9214" width="13.85546875" style="2063" customWidth="1"/>
    <col min="9215" max="9215" width="4.140625" style="2063" bestFit="1" customWidth="1"/>
    <col min="9216" max="9216" width="13.140625" style="2063" bestFit="1" customWidth="1"/>
    <col min="9217" max="9217" width="12.28515625" style="2063" customWidth="1"/>
    <col min="9218" max="9218" width="1.85546875" style="2063" customWidth="1"/>
    <col min="9219" max="9219" width="11" style="2063" customWidth="1"/>
    <col min="9220" max="9220" width="4.5703125" style="2063" bestFit="1" customWidth="1"/>
    <col min="9221" max="9221" width="13.28515625" style="2063" bestFit="1" customWidth="1"/>
    <col min="9222" max="9222" width="12.42578125" style="2063" bestFit="1" customWidth="1"/>
    <col min="9223" max="9464" width="16.7109375" style="2063"/>
    <col min="9465" max="9465" width="50.7109375" style="2063" customWidth="1"/>
    <col min="9466" max="9466" width="9.85546875" style="2063" customWidth="1"/>
    <col min="9467" max="9467" width="13" style="2063" customWidth="1"/>
    <col min="9468" max="9468" width="5.28515625" style="2063" customWidth="1"/>
    <col min="9469" max="9469" width="12.85546875" style="2063" customWidth="1"/>
    <col min="9470" max="9470" width="13.85546875" style="2063" customWidth="1"/>
    <col min="9471" max="9471" width="4.140625" style="2063" bestFit="1" customWidth="1"/>
    <col min="9472" max="9472" width="13.140625" style="2063" bestFit="1" customWidth="1"/>
    <col min="9473" max="9473" width="12.28515625" style="2063" customWidth="1"/>
    <col min="9474" max="9474" width="1.85546875" style="2063" customWidth="1"/>
    <col min="9475" max="9475" width="11" style="2063" customWidth="1"/>
    <col min="9476" max="9476" width="4.5703125" style="2063" bestFit="1" customWidth="1"/>
    <col min="9477" max="9477" width="13.28515625" style="2063" bestFit="1" customWidth="1"/>
    <col min="9478" max="9478" width="12.42578125" style="2063" bestFit="1" customWidth="1"/>
    <col min="9479" max="9720" width="16.7109375" style="2063"/>
    <col min="9721" max="9721" width="50.7109375" style="2063" customWidth="1"/>
    <col min="9722" max="9722" width="9.85546875" style="2063" customWidth="1"/>
    <col min="9723" max="9723" width="13" style="2063" customWidth="1"/>
    <col min="9724" max="9724" width="5.28515625" style="2063" customWidth="1"/>
    <col min="9725" max="9725" width="12.85546875" style="2063" customWidth="1"/>
    <col min="9726" max="9726" width="13.85546875" style="2063" customWidth="1"/>
    <col min="9727" max="9727" width="4.140625" style="2063" bestFit="1" customWidth="1"/>
    <col min="9728" max="9728" width="13.140625" style="2063" bestFit="1" customWidth="1"/>
    <col min="9729" max="9729" width="12.28515625" style="2063" customWidth="1"/>
    <col min="9730" max="9730" width="1.85546875" style="2063" customWidth="1"/>
    <col min="9731" max="9731" width="11" style="2063" customWidth="1"/>
    <col min="9732" max="9732" width="4.5703125" style="2063" bestFit="1" customWidth="1"/>
    <col min="9733" max="9733" width="13.28515625" style="2063" bestFit="1" customWidth="1"/>
    <col min="9734" max="9734" width="12.42578125" style="2063" bestFit="1" customWidth="1"/>
    <col min="9735" max="9976" width="16.7109375" style="2063"/>
    <col min="9977" max="9977" width="50.7109375" style="2063" customWidth="1"/>
    <col min="9978" max="9978" width="9.85546875" style="2063" customWidth="1"/>
    <col min="9979" max="9979" width="13" style="2063" customWidth="1"/>
    <col min="9980" max="9980" width="5.28515625" style="2063" customWidth="1"/>
    <col min="9981" max="9981" width="12.85546875" style="2063" customWidth="1"/>
    <col min="9982" max="9982" width="13.85546875" style="2063" customWidth="1"/>
    <col min="9983" max="9983" width="4.140625" style="2063" bestFit="1" customWidth="1"/>
    <col min="9984" max="9984" width="13.140625" style="2063" bestFit="1" customWidth="1"/>
    <col min="9985" max="9985" width="12.28515625" style="2063" customWidth="1"/>
    <col min="9986" max="9986" width="1.85546875" style="2063" customWidth="1"/>
    <col min="9987" max="9987" width="11" style="2063" customWidth="1"/>
    <col min="9988" max="9988" width="4.5703125" style="2063" bestFit="1" customWidth="1"/>
    <col min="9989" max="9989" width="13.28515625" style="2063" bestFit="1" customWidth="1"/>
    <col min="9990" max="9990" width="12.42578125" style="2063" bestFit="1" customWidth="1"/>
    <col min="9991" max="10232" width="16.7109375" style="2063"/>
    <col min="10233" max="10233" width="50.7109375" style="2063" customWidth="1"/>
    <col min="10234" max="10234" width="9.85546875" style="2063" customWidth="1"/>
    <col min="10235" max="10235" width="13" style="2063" customWidth="1"/>
    <col min="10236" max="10236" width="5.28515625" style="2063" customWidth="1"/>
    <col min="10237" max="10237" width="12.85546875" style="2063" customWidth="1"/>
    <col min="10238" max="10238" width="13.85546875" style="2063" customWidth="1"/>
    <col min="10239" max="10239" width="4.140625" style="2063" bestFit="1" customWidth="1"/>
    <col min="10240" max="10240" width="13.140625" style="2063" bestFit="1" customWidth="1"/>
    <col min="10241" max="10241" width="12.28515625" style="2063" customWidth="1"/>
    <col min="10242" max="10242" width="1.85546875" style="2063" customWidth="1"/>
    <col min="10243" max="10243" width="11" style="2063" customWidth="1"/>
    <col min="10244" max="10244" width="4.5703125" style="2063" bestFit="1" customWidth="1"/>
    <col min="10245" max="10245" width="13.28515625" style="2063" bestFit="1" customWidth="1"/>
    <col min="10246" max="10246" width="12.42578125" style="2063" bestFit="1" customWidth="1"/>
    <col min="10247" max="10488" width="16.7109375" style="2063"/>
    <col min="10489" max="10489" width="50.7109375" style="2063" customWidth="1"/>
    <col min="10490" max="10490" width="9.85546875" style="2063" customWidth="1"/>
    <col min="10491" max="10491" width="13" style="2063" customWidth="1"/>
    <col min="10492" max="10492" width="5.28515625" style="2063" customWidth="1"/>
    <col min="10493" max="10493" width="12.85546875" style="2063" customWidth="1"/>
    <col min="10494" max="10494" width="13.85546875" style="2063" customWidth="1"/>
    <col min="10495" max="10495" width="4.140625" style="2063" bestFit="1" customWidth="1"/>
    <col min="10496" max="10496" width="13.140625" style="2063" bestFit="1" customWidth="1"/>
    <col min="10497" max="10497" width="12.28515625" style="2063" customWidth="1"/>
    <col min="10498" max="10498" width="1.85546875" style="2063" customWidth="1"/>
    <col min="10499" max="10499" width="11" style="2063" customWidth="1"/>
    <col min="10500" max="10500" width="4.5703125" style="2063" bestFit="1" customWidth="1"/>
    <col min="10501" max="10501" width="13.28515625" style="2063" bestFit="1" customWidth="1"/>
    <col min="10502" max="10502" width="12.42578125" style="2063" bestFit="1" customWidth="1"/>
    <col min="10503" max="10744" width="16.7109375" style="2063"/>
    <col min="10745" max="10745" width="50.7109375" style="2063" customWidth="1"/>
    <col min="10746" max="10746" width="9.85546875" style="2063" customWidth="1"/>
    <col min="10747" max="10747" width="13" style="2063" customWidth="1"/>
    <col min="10748" max="10748" width="5.28515625" style="2063" customWidth="1"/>
    <col min="10749" max="10749" width="12.85546875" style="2063" customWidth="1"/>
    <col min="10750" max="10750" width="13.85546875" style="2063" customWidth="1"/>
    <col min="10751" max="10751" width="4.140625" style="2063" bestFit="1" customWidth="1"/>
    <col min="10752" max="10752" width="13.140625" style="2063" bestFit="1" customWidth="1"/>
    <col min="10753" max="10753" width="12.28515625" style="2063" customWidth="1"/>
    <col min="10754" max="10754" width="1.85546875" style="2063" customWidth="1"/>
    <col min="10755" max="10755" width="11" style="2063" customWidth="1"/>
    <col min="10756" max="10756" width="4.5703125" style="2063" bestFit="1" customWidth="1"/>
    <col min="10757" max="10757" width="13.28515625" style="2063" bestFit="1" customWidth="1"/>
    <col min="10758" max="10758" width="12.42578125" style="2063" bestFit="1" customWidth="1"/>
    <col min="10759" max="11000" width="16.7109375" style="2063"/>
    <col min="11001" max="11001" width="50.7109375" style="2063" customWidth="1"/>
    <col min="11002" max="11002" width="9.85546875" style="2063" customWidth="1"/>
    <col min="11003" max="11003" width="13" style="2063" customWidth="1"/>
    <col min="11004" max="11004" width="5.28515625" style="2063" customWidth="1"/>
    <col min="11005" max="11005" width="12.85546875" style="2063" customWidth="1"/>
    <col min="11006" max="11006" width="13.85546875" style="2063" customWidth="1"/>
    <col min="11007" max="11007" width="4.140625" style="2063" bestFit="1" customWidth="1"/>
    <col min="11008" max="11008" width="13.140625" style="2063" bestFit="1" customWidth="1"/>
    <col min="11009" max="11009" width="12.28515625" style="2063" customWidth="1"/>
    <col min="11010" max="11010" width="1.85546875" style="2063" customWidth="1"/>
    <col min="11011" max="11011" width="11" style="2063" customWidth="1"/>
    <col min="11012" max="11012" width="4.5703125" style="2063" bestFit="1" customWidth="1"/>
    <col min="11013" max="11013" width="13.28515625" style="2063" bestFit="1" customWidth="1"/>
    <col min="11014" max="11014" width="12.42578125" style="2063" bestFit="1" customWidth="1"/>
    <col min="11015" max="11256" width="16.7109375" style="2063"/>
    <col min="11257" max="11257" width="50.7109375" style="2063" customWidth="1"/>
    <col min="11258" max="11258" width="9.85546875" style="2063" customWidth="1"/>
    <col min="11259" max="11259" width="13" style="2063" customWidth="1"/>
    <col min="11260" max="11260" width="5.28515625" style="2063" customWidth="1"/>
    <col min="11261" max="11261" width="12.85546875" style="2063" customWidth="1"/>
    <col min="11262" max="11262" width="13.85546875" style="2063" customWidth="1"/>
    <col min="11263" max="11263" width="4.140625" style="2063" bestFit="1" customWidth="1"/>
    <col min="11264" max="11264" width="13.140625" style="2063" bestFit="1" customWidth="1"/>
    <col min="11265" max="11265" width="12.28515625" style="2063" customWidth="1"/>
    <col min="11266" max="11266" width="1.85546875" style="2063" customWidth="1"/>
    <col min="11267" max="11267" width="11" style="2063" customWidth="1"/>
    <col min="11268" max="11268" width="4.5703125" style="2063" bestFit="1" customWidth="1"/>
    <col min="11269" max="11269" width="13.28515625" style="2063" bestFit="1" customWidth="1"/>
    <col min="11270" max="11270" width="12.42578125" style="2063" bestFit="1" customWidth="1"/>
    <col min="11271" max="11512" width="16.7109375" style="2063"/>
    <col min="11513" max="11513" width="50.7109375" style="2063" customWidth="1"/>
    <col min="11514" max="11514" width="9.85546875" style="2063" customWidth="1"/>
    <col min="11515" max="11515" width="13" style="2063" customWidth="1"/>
    <col min="11516" max="11516" width="5.28515625" style="2063" customWidth="1"/>
    <col min="11517" max="11517" width="12.85546875" style="2063" customWidth="1"/>
    <col min="11518" max="11518" width="13.85546875" style="2063" customWidth="1"/>
    <col min="11519" max="11519" width="4.140625" style="2063" bestFit="1" customWidth="1"/>
    <col min="11520" max="11520" width="13.140625" style="2063" bestFit="1" customWidth="1"/>
    <col min="11521" max="11521" width="12.28515625" style="2063" customWidth="1"/>
    <col min="11522" max="11522" width="1.85546875" style="2063" customWidth="1"/>
    <col min="11523" max="11523" width="11" style="2063" customWidth="1"/>
    <col min="11524" max="11524" width="4.5703125" style="2063" bestFit="1" customWidth="1"/>
    <col min="11525" max="11525" width="13.28515625" style="2063" bestFit="1" customWidth="1"/>
    <col min="11526" max="11526" width="12.42578125" style="2063" bestFit="1" customWidth="1"/>
    <col min="11527" max="11768" width="16.7109375" style="2063"/>
    <col min="11769" max="11769" width="50.7109375" style="2063" customWidth="1"/>
    <col min="11770" max="11770" width="9.85546875" style="2063" customWidth="1"/>
    <col min="11771" max="11771" width="13" style="2063" customWidth="1"/>
    <col min="11772" max="11772" width="5.28515625" style="2063" customWidth="1"/>
    <col min="11773" max="11773" width="12.85546875" style="2063" customWidth="1"/>
    <col min="11774" max="11774" width="13.85546875" style="2063" customWidth="1"/>
    <col min="11775" max="11775" width="4.140625" style="2063" bestFit="1" customWidth="1"/>
    <col min="11776" max="11776" width="13.140625" style="2063" bestFit="1" customWidth="1"/>
    <col min="11777" max="11777" width="12.28515625" style="2063" customWidth="1"/>
    <col min="11778" max="11778" width="1.85546875" style="2063" customWidth="1"/>
    <col min="11779" max="11779" width="11" style="2063" customWidth="1"/>
    <col min="11780" max="11780" width="4.5703125" style="2063" bestFit="1" customWidth="1"/>
    <col min="11781" max="11781" width="13.28515625" style="2063" bestFit="1" customWidth="1"/>
    <col min="11782" max="11782" width="12.42578125" style="2063" bestFit="1" customWidth="1"/>
    <col min="11783" max="12024" width="16.7109375" style="2063"/>
    <col min="12025" max="12025" width="50.7109375" style="2063" customWidth="1"/>
    <col min="12026" max="12026" width="9.85546875" style="2063" customWidth="1"/>
    <col min="12027" max="12027" width="13" style="2063" customWidth="1"/>
    <col min="12028" max="12028" width="5.28515625" style="2063" customWidth="1"/>
    <col min="12029" max="12029" width="12.85546875" style="2063" customWidth="1"/>
    <col min="12030" max="12030" width="13.85546875" style="2063" customWidth="1"/>
    <col min="12031" max="12031" width="4.140625" style="2063" bestFit="1" customWidth="1"/>
    <col min="12032" max="12032" width="13.140625" style="2063" bestFit="1" customWidth="1"/>
    <col min="12033" max="12033" width="12.28515625" style="2063" customWidth="1"/>
    <col min="12034" max="12034" width="1.85546875" style="2063" customWidth="1"/>
    <col min="12035" max="12035" width="11" style="2063" customWidth="1"/>
    <col min="12036" max="12036" width="4.5703125" style="2063" bestFit="1" customWidth="1"/>
    <col min="12037" max="12037" width="13.28515625" style="2063" bestFit="1" customWidth="1"/>
    <col min="12038" max="12038" width="12.42578125" style="2063" bestFit="1" customWidth="1"/>
    <col min="12039" max="12280" width="16.7109375" style="2063"/>
    <col min="12281" max="12281" width="50.7109375" style="2063" customWidth="1"/>
    <col min="12282" max="12282" width="9.85546875" style="2063" customWidth="1"/>
    <col min="12283" max="12283" width="13" style="2063" customWidth="1"/>
    <col min="12284" max="12284" width="5.28515625" style="2063" customWidth="1"/>
    <col min="12285" max="12285" width="12.85546875" style="2063" customWidth="1"/>
    <col min="12286" max="12286" width="13.85546875" style="2063" customWidth="1"/>
    <col min="12287" max="12287" width="4.140625" style="2063" bestFit="1" customWidth="1"/>
    <col min="12288" max="12288" width="13.140625" style="2063" bestFit="1" customWidth="1"/>
    <col min="12289" max="12289" width="12.28515625" style="2063" customWidth="1"/>
    <col min="12290" max="12290" width="1.85546875" style="2063" customWidth="1"/>
    <col min="12291" max="12291" width="11" style="2063" customWidth="1"/>
    <col min="12292" max="12292" width="4.5703125" style="2063" bestFit="1" customWidth="1"/>
    <col min="12293" max="12293" width="13.28515625" style="2063" bestFit="1" customWidth="1"/>
    <col min="12294" max="12294" width="12.42578125" style="2063" bestFit="1" customWidth="1"/>
    <col min="12295" max="12536" width="16.7109375" style="2063"/>
    <col min="12537" max="12537" width="50.7109375" style="2063" customWidth="1"/>
    <col min="12538" max="12538" width="9.85546875" style="2063" customWidth="1"/>
    <col min="12539" max="12539" width="13" style="2063" customWidth="1"/>
    <col min="12540" max="12540" width="5.28515625" style="2063" customWidth="1"/>
    <col min="12541" max="12541" width="12.85546875" style="2063" customWidth="1"/>
    <col min="12542" max="12542" width="13.85546875" style="2063" customWidth="1"/>
    <col min="12543" max="12543" width="4.140625" style="2063" bestFit="1" customWidth="1"/>
    <col min="12544" max="12544" width="13.140625" style="2063" bestFit="1" customWidth="1"/>
    <col min="12545" max="12545" width="12.28515625" style="2063" customWidth="1"/>
    <col min="12546" max="12546" width="1.85546875" style="2063" customWidth="1"/>
    <col min="12547" max="12547" width="11" style="2063" customWidth="1"/>
    <col min="12548" max="12548" width="4.5703125" style="2063" bestFit="1" customWidth="1"/>
    <col min="12549" max="12549" width="13.28515625" style="2063" bestFit="1" customWidth="1"/>
    <col min="12550" max="12550" width="12.42578125" style="2063" bestFit="1" customWidth="1"/>
    <col min="12551" max="12792" width="16.7109375" style="2063"/>
    <col min="12793" max="12793" width="50.7109375" style="2063" customWidth="1"/>
    <col min="12794" max="12794" width="9.85546875" style="2063" customWidth="1"/>
    <col min="12795" max="12795" width="13" style="2063" customWidth="1"/>
    <col min="12796" max="12796" width="5.28515625" style="2063" customWidth="1"/>
    <col min="12797" max="12797" width="12.85546875" style="2063" customWidth="1"/>
    <col min="12798" max="12798" width="13.85546875" style="2063" customWidth="1"/>
    <col min="12799" max="12799" width="4.140625" style="2063" bestFit="1" customWidth="1"/>
    <col min="12800" max="12800" width="13.140625" style="2063" bestFit="1" customWidth="1"/>
    <col min="12801" max="12801" width="12.28515625" style="2063" customWidth="1"/>
    <col min="12802" max="12802" width="1.85546875" style="2063" customWidth="1"/>
    <col min="12803" max="12803" width="11" style="2063" customWidth="1"/>
    <col min="12804" max="12804" width="4.5703125" style="2063" bestFit="1" customWidth="1"/>
    <col min="12805" max="12805" width="13.28515625" style="2063" bestFit="1" customWidth="1"/>
    <col min="12806" max="12806" width="12.42578125" style="2063" bestFit="1" customWidth="1"/>
    <col min="12807" max="13048" width="16.7109375" style="2063"/>
    <col min="13049" max="13049" width="50.7109375" style="2063" customWidth="1"/>
    <col min="13050" max="13050" width="9.85546875" style="2063" customWidth="1"/>
    <col min="13051" max="13051" width="13" style="2063" customWidth="1"/>
    <col min="13052" max="13052" width="5.28515625" style="2063" customWidth="1"/>
    <col min="13053" max="13053" width="12.85546875" style="2063" customWidth="1"/>
    <col min="13054" max="13054" width="13.85546875" style="2063" customWidth="1"/>
    <col min="13055" max="13055" width="4.140625" style="2063" bestFit="1" customWidth="1"/>
    <col min="13056" max="13056" width="13.140625" style="2063" bestFit="1" customWidth="1"/>
    <col min="13057" max="13057" width="12.28515625" style="2063" customWidth="1"/>
    <col min="13058" max="13058" width="1.85546875" style="2063" customWidth="1"/>
    <col min="13059" max="13059" width="11" style="2063" customWidth="1"/>
    <col min="13060" max="13060" width="4.5703125" style="2063" bestFit="1" customWidth="1"/>
    <col min="13061" max="13061" width="13.28515625" style="2063" bestFit="1" customWidth="1"/>
    <col min="13062" max="13062" width="12.42578125" style="2063" bestFit="1" customWidth="1"/>
    <col min="13063" max="13304" width="16.7109375" style="2063"/>
    <col min="13305" max="13305" width="50.7109375" style="2063" customWidth="1"/>
    <col min="13306" max="13306" width="9.85546875" style="2063" customWidth="1"/>
    <col min="13307" max="13307" width="13" style="2063" customWidth="1"/>
    <col min="13308" max="13308" width="5.28515625" style="2063" customWidth="1"/>
    <col min="13309" max="13309" width="12.85546875" style="2063" customWidth="1"/>
    <col min="13310" max="13310" width="13.85546875" style="2063" customWidth="1"/>
    <col min="13311" max="13311" width="4.140625" style="2063" bestFit="1" customWidth="1"/>
    <col min="13312" max="13312" width="13.140625" style="2063" bestFit="1" customWidth="1"/>
    <col min="13313" max="13313" width="12.28515625" style="2063" customWidth="1"/>
    <col min="13314" max="13314" width="1.85546875" style="2063" customWidth="1"/>
    <col min="13315" max="13315" width="11" style="2063" customWidth="1"/>
    <col min="13316" max="13316" width="4.5703125" style="2063" bestFit="1" customWidth="1"/>
    <col min="13317" max="13317" width="13.28515625" style="2063" bestFit="1" customWidth="1"/>
    <col min="13318" max="13318" width="12.42578125" style="2063" bestFit="1" customWidth="1"/>
    <col min="13319" max="13560" width="16.7109375" style="2063"/>
    <col min="13561" max="13561" width="50.7109375" style="2063" customWidth="1"/>
    <col min="13562" max="13562" width="9.85546875" style="2063" customWidth="1"/>
    <col min="13563" max="13563" width="13" style="2063" customWidth="1"/>
    <col min="13564" max="13564" width="5.28515625" style="2063" customWidth="1"/>
    <col min="13565" max="13565" width="12.85546875" style="2063" customWidth="1"/>
    <col min="13566" max="13566" width="13.85546875" style="2063" customWidth="1"/>
    <col min="13567" max="13567" width="4.140625" style="2063" bestFit="1" customWidth="1"/>
    <col min="13568" max="13568" width="13.140625" style="2063" bestFit="1" customWidth="1"/>
    <col min="13569" max="13569" width="12.28515625" style="2063" customWidth="1"/>
    <col min="13570" max="13570" width="1.85546875" style="2063" customWidth="1"/>
    <col min="13571" max="13571" width="11" style="2063" customWidth="1"/>
    <col min="13572" max="13572" width="4.5703125" style="2063" bestFit="1" customWidth="1"/>
    <col min="13573" max="13573" width="13.28515625" style="2063" bestFit="1" customWidth="1"/>
    <col min="13574" max="13574" width="12.42578125" style="2063" bestFit="1" customWidth="1"/>
    <col min="13575" max="13816" width="16.7109375" style="2063"/>
    <col min="13817" max="13817" width="50.7109375" style="2063" customWidth="1"/>
    <col min="13818" max="13818" width="9.85546875" style="2063" customWidth="1"/>
    <col min="13819" max="13819" width="13" style="2063" customWidth="1"/>
    <col min="13820" max="13820" width="5.28515625" style="2063" customWidth="1"/>
    <col min="13821" max="13821" width="12.85546875" style="2063" customWidth="1"/>
    <col min="13822" max="13822" width="13.85546875" style="2063" customWidth="1"/>
    <col min="13823" max="13823" width="4.140625" style="2063" bestFit="1" customWidth="1"/>
    <col min="13824" max="13824" width="13.140625" style="2063" bestFit="1" customWidth="1"/>
    <col min="13825" max="13825" width="12.28515625" style="2063" customWidth="1"/>
    <col min="13826" max="13826" width="1.85546875" style="2063" customWidth="1"/>
    <col min="13827" max="13827" width="11" style="2063" customWidth="1"/>
    <col min="13828" max="13828" width="4.5703125" style="2063" bestFit="1" customWidth="1"/>
    <col min="13829" max="13829" width="13.28515625" style="2063" bestFit="1" customWidth="1"/>
    <col min="13830" max="13830" width="12.42578125" style="2063" bestFit="1" customWidth="1"/>
    <col min="13831" max="14072" width="16.7109375" style="2063"/>
    <col min="14073" max="14073" width="50.7109375" style="2063" customWidth="1"/>
    <col min="14074" max="14074" width="9.85546875" style="2063" customWidth="1"/>
    <col min="14075" max="14075" width="13" style="2063" customWidth="1"/>
    <col min="14076" max="14076" width="5.28515625" style="2063" customWidth="1"/>
    <col min="14077" max="14077" width="12.85546875" style="2063" customWidth="1"/>
    <col min="14078" max="14078" width="13.85546875" style="2063" customWidth="1"/>
    <col min="14079" max="14079" width="4.140625" style="2063" bestFit="1" customWidth="1"/>
    <col min="14080" max="14080" width="13.140625" style="2063" bestFit="1" customWidth="1"/>
    <col min="14081" max="14081" width="12.28515625" style="2063" customWidth="1"/>
    <col min="14082" max="14082" width="1.85546875" style="2063" customWidth="1"/>
    <col min="14083" max="14083" width="11" style="2063" customWidth="1"/>
    <col min="14084" max="14084" width="4.5703125" style="2063" bestFit="1" customWidth="1"/>
    <col min="14085" max="14085" width="13.28515625" style="2063" bestFit="1" customWidth="1"/>
    <col min="14086" max="14086" width="12.42578125" style="2063" bestFit="1" customWidth="1"/>
    <col min="14087" max="14328" width="16.7109375" style="2063"/>
    <col min="14329" max="14329" width="50.7109375" style="2063" customWidth="1"/>
    <col min="14330" max="14330" width="9.85546875" style="2063" customWidth="1"/>
    <col min="14331" max="14331" width="13" style="2063" customWidth="1"/>
    <col min="14332" max="14332" width="5.28515625" style="2063" customWidth="1"/>
    <col min="14333" max="14333" width="12.85546875" style="2063" customWidth="1"/>
    <col min="14334" max="14334" width="13.85546875" style="2063" customWidth="1"/>
    <col min="14335" max="14335" width="4.140625" style="2063" bestFit="1" customWidth="1"/>
    <col min="14336" max="14336" width="13.140625" style="2063" bestFit="1" customWidth="1"/>
    <col min="14337" max="14337" width="12.28515625" style="2063" customWidth="1"/>
    <col min="14338" max="14338" width="1.85546875" style="2063" customWidth="1"/>
    <col min="14339" max="14339" width="11" style="2063" customWidth="1"/>
    <col min="14340" max="14340" width="4.5703125" style="2063" bestFit="1" customWidth="1"/>
    <col min="14341" max="14341" width="13.28515625" style="2063" bestFit="1" customWidth="1"/>
    <col min="14342" max="14342" width="12.42578125" style="2063" bestFit="1" customWidth="1"/>
    <col min="14343" max="14584" width="16.7109375" style="2063"/>
    <col min="14585" max="14585" width="50.7109375" style="2063" customWidth="1"/>
    <col min="14586" max="14586" width="9.85546875" style="2063" customWidth="1"/>
    <col min="14587" max="14587" width="13" style="2063" customWidth="1"/>
    <col min="14588" max="14588" width="5.28515625" style="2063" customWidth="1"/>
    <col min="14589" max="14589" width="12.85546875" style="2063" customWidth="1"/>
    <col min="14590" max="14590" width="13.85546875" style="2063" customWidth="1"/>
    <col min="14591" max="14591" width="4.140625" style="2063" bestFit="1" customWidth="1"/>
    <col min="14592" max="14592" width="13.140625" style="2063" bestFit="1" customWidth="1"/>
    <col min="14593" max="14593" width="12.28515625" style="2063" customWidth="1"/>
    <col min="14594" max="14594" width="1.85546875" style="2063" customWidth="1"/>
    <col min="14595" max="14595" width="11" style="2063" customWidth="1"/>
    <col min="14596" max="14596" width="4.5703125" style="2063" bestFit="1" customWidth="1"/>
    <col min="14597" max="14597" width="13.28515625" style="2063" bestFit="1" customWidth="1"/>
    <col min="14598" max="14598" width="12.42578125" style="2063" bestFit="1" customWidth="1"/>
    <col min="14599" max="14840" width="16.7109375" style="2063"/>
    <col min="14841" max="14841" width="50.7109375" style="2063" customWidth="1"/>
    <col min="14842" max="14842" width="9.85546875" style="2063" customWidth="1"/>
    <col min="14843" max="14843" width="13" style="2063" customWidth="1"/>
    <col min="14844" max="14844" width="5.28515625" style="2063" customWidth="1"/>
    <col min="14845" max="14845" width="12.85546875" style="2063" customWidth="1"/>
    <col min="14846" max="14846" width="13.85546875" style="2063" customWidth="1"/>
    <col min="14847" max="14847" width="4.140625" style="2063" bestFit="1" customWidth="1"/>
    <col min="14848" max="14848" width="13.140625" style="2063" bestFit="1" customWidth="1"/>
    <col min="14849" max="14849" width="12.28515625" style="2063" customWidth="1"/>
    <col min="14850" max="14850" width="1.85546875" style="2063" customWidth="1"/>
    <col min="14851" max="14851" width="11" style="2063" customWidth="1"/>
    <col min="14852" max="14852" width="4.5703125" style="2063" bestFit="1" customWidth="1"/>
    <col min="14853" max="14853" width="13.28515625" style="2063" bestFit="1" customWidth="1"/>
    <col min="14854" max="14854" width="12.42578125" style="2063" bestFit="1" customWidth="1"/>
    <col min="14855" max="15096" width="16.7109375" style="2063"/>
    <col min="15097" max="15097" width="50.7109375" style="2063" customWidth="1"/>
    <col min="15098" max="15098" width="9.85546875" style="2063" customWidth="1"/>
    <col min="15099" max="15099" width="13" style="2063" customWidth="1"/>
    <col min="15100" max="15100" width="5.28515625" style="2063" customWidth="1"/>
    <col min="15101" max="15101" width="12.85546875" style="2063" customWidth="1"/>
    <col min="15102" max="15102" width="13.85546875" style="2063" customWidth="1"/>
    <col min="15103" max="15103" width="4.140625" style="2063" bestFit="1" customWidth="1"/>
    <col min="15104" max="15104" width="13.140625" style="2063" bestFit="1" customWidth="1"/>
    <col min="15105" max="15105" width="12.28515625" style="2063" customWidth="1"/>
    <col min="15106" max="15106" width="1.85546875" style="2063" customWidth="1"/>
    <col min="15107" max="15107" width="11" style="2063" customWidth="1"/>
    <col min="15108" max="15108" width="4.5703125" style="2063" bestFit="1" customWidth="1"/>
    <col min="15109" max="15109" width="13.28515625" style="2063" bestFit="1" customWidth="1"/>
    <col min="15110" max="15110" width="12.42578125" style="2063" bestFit="1" customWidth="1"/>
    <col min="15111" max="15352" width="16.7109375" style="2063"/>
    <col min="15353" max="15353" width="50.7109375" style="2063" customWidth="1"/>
    <col min="15354" max="15354" width="9.85546875" style="2063" customWidth="1"/>
    <col min="15355" max="15355" width="13" style="2063" customWidth="1"/>
    <col min="15356" max="15356" width="5.28515625" style="2063" customWidth="1"/>
    <col min="15357" max="15357" width="12.85546875" style="2063" customWidth="1"/>
    <col min="15358" max="15358" width="13.85546875" style="2063" customWidth="1"/>
    <col min="15359" max="15359" width="4.140625" style="2063" bestFit="1" customWidth="1"/>
    <col min="15360" max="15360" width="13.140625" style="2063" bestFit="1" customWidth="1"/>
    <col min="15361" max="15361" width="12.28515625" style="2063" customWidth="1"/>
    <col min="15362" max="15362" width="1.85546875" style="2063" customWidth="1"/>
    <col min="15363" max="15363" width="11" style="2063" customWidth="1"/>
    <col min="15364" max="15364" width="4.5703125" style="2063" bestFit="1" customWidth="1"/>
    <col min="15365" max="15365" width="13.28515625" style="2063" bestFit="1" customWidth="1"/>
    <col min="15366" max="15366" width="12.42578125" style="2063" bestFit="1" customWidth="1"/>
    <col min="15367" max="15608" width="16.7109375" style="2063"/>
    <col min="15609" max="15609" width="50.7109375" style="2063" customWidth="1"/>
    <col min="15610" max="15610" width="9.85546875" style="2063" customWidth="1"/>
    <col min="15611" max="15611" width="13" style="2063" customWidth="1"/>
    <col min="15612" max="15612" width="5.28515625" style="2063" customWidth="1"/>
    <col min="15613" max="15613" width="12.85546875" style="2063" customWidth="1"/>
    <col min="15614" max="15614" width="13.85546875" style="2063" customWidth="1"/>
    <col min="15615" max="15615" width="4.140625" style="2063" bestFit="1" customWidth="1"/>
    <col min="15616" max="15616" width="13.140625" style="2063" bestFit="1" customWidth="1"/>
    <col min="15617" max="15617" width="12.28515625" style="2063" customWidth="1"/>
    <col min="15618" max="15618" width="1.85546875" style="2063" customWidth="1"/>
    <col min="15619" max="15619" width="11" style="2063" customWidth="1"/>
    <col min="15620" max="15620" width="4.5703125" style="2063" bestFit="1" customWidth="1"/>
    <col min="15621" max="15621" width="13.28515625" style="2063" bestFit="1" customWidth="1"/>
    <col min="15622" max="15622" width="12.42578125" style="2063" bestFit="1" customWidth="1"/>
    <col min="15623" max="15864" width="16.7109375" style="2063"/>
    <col min="15865" max="15865" width="50.7109375" style="2063" customWidth="1"/>
    <col min="15866" max="15866" width="9.85546875" style="2063" customWidth="1"/>
    <col min="15867" max="15867" width="13" style="2063" customWidth="1"/>
    <col min="15868" max="15868" width="5.28515625" style="2063" customWidth="1"/>
    <col min="15869" max="15869" width="12.85546875" style="2063" customWidth="1"/>
    <col min="15870" max="15870" width="13.85546875" style="2063" customWidth="1"/>
    <col min="15871" max="15871" width="4.140625" style="2063" bestFit="1" customWidth="1"/>
    <col min="15872" max="15872" width="13.140625" style="2063" bestFit="1" customWidth="1"/>
    <col min="15873" max="15873" width="12.28515625" style="2063" customWidth="1"/>
    <col min="15874" max="15874" width="1.85546875" style="2063" customWidth="1"/>
    <col min="15875" max="15875" width="11" style="2063" customWidth="1"/>
    <col min="15876" max="15876" width="4.5703125" style="2063" bestFit="1" customWidth="1"/>
    <col min="15877" max="15877" width="13.28515625" style="2063" bestFit="1" customWidth="1"/>
    <col min="15878" max="15878" width="12.42578125" style="2063" bestFit="1" customWidth="1"/>
    <col min="15879" max="16120" width="16.7109375" style="2063"/>
    <col min="16121" max="16121" width="50.7109375" style="2063" customWidth="1"/>
    <col min="16122" max="16122" width="9.85546875" style="2063" customWidth="1"/>
    <col min="16123" max="16123" width="13" style="2063" customWidth="1"/>
    <col min="16124" max="16124" width="5.28515625" style="2063" customWidth="1"/>
    <col min="16125" max="16125" width="12.85546875" style="2063" customWidth="1"/>
    <col min="16126" max="16126" width="13.85546875" style="2063" customWidth="1"/>
    <col min="16127" max="16127" width="4.140625" style="2063" bestFit="1" customWidth="1"/>
    <col min="16128" max="16128" width="13.140625" style="2063" bestFit="1" customWidth="1"/>
    <col min="16129" max="16129" width="12.28515625" style="2063" customWidth="1"/>
    <col min="16130" max="16130" width="1.85546875" style="2063" customWidth="1"/>
    <col min="16131" max="16131" width="11" style="2063" customWidth="1"/>
    <col min="16132" max="16132" width="4.5703125" style="2063" bestFit="1" customWidth="1"/>
    <col min="16133" max="16133" width="13.28515625" style="2063" bestFit="1" customWidth="1"/>
    <col min="16134" max="16134" width="12.42578125" style="2063" bestFit="1" customWidth="1"/>
    <col min="16135" max="16384" width="16.7109375" style="2063"/>
  </cols>
  <sheetData>
    <row r="1" spans="1:15" ht="15.75" x14ac:dyDescent="0.2">
      <c r="A1" s="2675" t="s">
        <v>2059</v>
      </c>
      <c r="B1" s="2675"/>
      <c r="C1" s="2675"/>
      <c r="D1" s="2675"/>
      <c r="E1" s="2675"/>
      <c r="F1" s="2675"/>
      <c r="G1" s="2675"/>
      <c r="H1" s="2675"/>
      <c r="I1" s="2675"/>
      <c r="J1" s="2675"/>
      <c r="K1" s="2675"/>
      <c r="L1" s="2675"/>
      <c r="M1" s="2675"/>
      <c r="N1" s="2675"/>
      <c r="O1" s="2062"/>
    </row>
    <row r="2" spans="1:15" ht="17.25" customHeight="1" x14ac:dyDescent="0.2">
      <c r="A2" s="2676" t="s">
        <v>2067</v>
      </c>
      <c r="B2" s="2676"/>
      <c r="C2" s="2676"/>
      <c r="D2" s="2676"/>
      <c r="E2" s="2676"/>
      <c r="F2" s="2676"/>
      <c r="G2" s="2676"/>
      <c r="H2" s="2676"/>
      <c r="I2" s="2676"/>
      <c r="J2" s="2676"/>
      <c r="K2" s="2676"/>
      <c r="L2" s="2676"/>
      <c r="M2" s="2676"/>
      <c r="N2" s="2676"/>
      <c r="O2" s="2062"/>
    </row>
    <row r="3" spans="1:15" ht="17.25" customHeight="1" x14ac:dyDescent="0.2">
      <c r="A3" s="2676" t="s">
        <v>1208</v>
      </c>
      <c r="B3" s="2676"/>
      <c r="C3" s="2676"/>
      <c r="D3" s="2676"/>
      <c r="E3" s="2676"/>
      <c r="F3" s="2676"/>
      <c r="G3" s="2676"/>
      <c r="H3" s="2676"/>
      <c r="I3" s="2676"/>
      <c r="J3" s="2676"/>
      <c r="K3" s="2676"/>
      <c r="L3" s="2676"/>
      <c r="M3" s="2676"/>
      <c r="N3" s="2676"/>
    </row>
    <row r="4" spans="1:15" ht="14.25" x14ac:dyDescent="0.2">
      <c r="A4" s="2673" t="s">
        <v>2138</v>
      </c>
      <c r="B4" s="2673"/>
      <c r="C4" s="2673"/>
      <c r="D4" s="2673"/>
      <c r="E4" s="2673"/>
      <c r="F4" s="2673"/>
      <c r="G4" s="2673"/>
      <c r="H4" s="2673"/>
      <c r="I4" s="2673"/>
      <c r="J4" s="2673"/>
      <c r="K4" s="2673"/>
      <c r="L4" s="2673"/>
      <c r="M4" s="2673"/>
      <c r="N4" s="2673"/>
    </row>
    <row r="5" spans="1:15" ht="12.75" x14ac:dyDescent="0.2">
      <c r="A5" s="2065"/>
      <c r="B5" s="2065"/>
      <c r="C5" s="2065"/>
      <c r="D5" s="2065"/>
      <c r="E5" s="2066"/>
      <c r="F5" s="2066"/>
      <c r="G5" s="2066"/>
      <c r="H5" s="2066"/>
      <c r="I5" s="2064"/>
      <c r="J5" s="2064"/>
      <c r="K5" s="2064"/>
      <c r="L5" s="2067"/>
      <c r="M5" s="2064"/>
      <c r="N5" s="2064"/>
    </row>
    <row r="6" spans="1:15" ht="12.75" x14ac:dyDescent="0.2">
      <c r="A6" s="2068"/>
      <c r="B6" s="2068"/>
      <c r="C6" s="2068"/>
      <c r="D6" s="2068"/>
      <c r="E6" s="2069"/>
      <c r="F6" s="2069"/>
      <c r="G6" s="2069"/>
      <c r="H6" s="2069"/>
      <c r="I6" s="2070"/>
      <c r="J6" s="2070"/>
      <c r="K6" s="2070"/>
      <c r="L6" s="2071"/>
      <c r="M6" s="2070"/>
      <c r="N6" s="2070"/>
    </row>
    <row r="7" spans="1:15" s="2075" customFormat="1" ht="17.25" x14ac:dyDescent="0.2">
      <c r="A7" s="2072"/>
      <c r="B7" s="2062"/>
      <c r="C7" s="2073" t="s">
        <v>2139</v>
      </c>
      <c r="D7" s="2073"/>
      <c r="E7" s="2674" t="s">
        <v>524</v>
      </c>
      <c r="F7" s="2674"/>
      <c r="G7" s="2074"/>
      <c r="H7" s="2674" t="s">
        <v>2140</v>
      </c>
      <c r="I7" s="2674"/>
      <c r="J7" s="2062"/>
      <c r="K7" s="2062"/>
      <c r="L7" s="2073"/>
      <c r="M7" s="2062"/>
      <c r="N7" s="2062"/>
    </row>
    <row r="8" spans="1:15" s="2075" customFormat="1" ht="15" x14ac:dyDescent="0.2">
      <c r="A8" s="2072"/>
      <c r="B8" s="2073" t="s">
        <v>1253</v>
      </c>
      <c r="C8" s="2073" t="s">
        <v>2141</v>
      </c>
      <c r="D8" s="2073"/>
      <c r="E8" s="2073" t="s">
        <v>2142</v>
      </c>
      <c r="F8" s="2076" t="s">
        <v>2143</v>
      </c>
      <c r="G8" s="2076"/>
      <c r="H8" s="2073" t="s">
        <v>2144</v>
      </c>
      <c r="I8" s="2076" t="str">
        <f>+F8</f>
        <v>7/01/2019</v>
      </c>
      <c r="J8" s="2062"/>
      <c r="K8" s="2073" t="s">
        <v>1250</v>
      </c>
      <c r="L8" s="2073"/>
      <c r="M8" s="2073" t="s">
        <v>2145</v>
      </c>
      <c r="N8" s="2072" t="s">
        <v>1159</v>
      </c>
    </row>
    <row r="9" spans="1:15" s="2075" customFormat="1" ht="15" x14ac:dyDescent="0.2">
      <c r="A9" s="2072" t="s">
        <v>2146</v>
      </c>
      <c r="B9" s="2073" t="s">
        <v>2147</v>
      </c>
      <c r="C9" s="2073" t="s">
        <v>2147</v>
      </c>
      <c r="D9" s="2073"/>
      <c r="E9" s="2077">
        <v>43647</v>
      </c>
      <c r="F9" s="2077">
        <v>44012</v>
      </c>
      <c r="G9" s="2077"/>
      <c r="H9" s="2077">
        <f>+E9</f>
        <v>43647</v>
      </c>
      <c r="I9" s="2077">
        <f>+F9</f>
        <v>44012</v>
      </c>
      <c r="J9" s="2062"/>
      <c r="K9" s="2073" t="s">
        <v>2148</v>
      </c>
      <c r="L9" s="2073"/>
      <c r="M9" s="2073" t="s">
        <v>1246</v>
      </c>
      <c r="N9" s="2073" t="s">
        <v>30</v>
      </c>
    </row>
    <row r="10" spans="1:15" s="2075" customFormat="1" ht="17.25" x14ac:dyDescent="0.2">
      <c r="A10" s="2078" t="s">
        <v>2149</v>
      </c>
      <c r="B10" s="2074" t="s">
        <v>1244</v>
      </c>
      <c r="C10" s="2074" t="s">
        <v>1243</v>
      </c>
      <c r="D10" s="2073"/>
      <c r="E10" s="2074" t="s">
        <v>1242</v>
      </c>
      <c r="F10" s="2074" t="s">
        <v>1241</v>
      </c>
      <c r="G10" s="2074"/>
      <c r="H10" s="2074" t="s">
        <v>1240</v>
      </c>
      <c r="I10" s="2074" t="s">
        <v>1239</v>
      </c>
      <c r="J10" s="2062"/>
      <c r="K10" s="2074" t="s">
        <v>1238</v>
      </c>
      <c r="L10" s="2073"/>
      <c r="M10" s="2074" t="s">
        <v>1237</v>
      </c>
      <c r="N10" s="2074" t="s">
        <v>1236</v>
      </c>
    </row>
    <row r="11" spans="1:15" s="2075" customFormat="1" ht="15" x14ac:dyDescent="0.25">
      <c r="A11" s="2079"/>
      <c r="B11" s="2080"/>
      <c r="C11" s="2080"/>
      <c r="D11" s="2081"/>
      <c r="E11" s="2080"/>
      <c r="F11" s="2080"/>
      <c r="G11" s="2080"/>
      <c r="H11" s="2080"/>
      <c r="I11" s="2080"/>
      <c r="J11" s="2079"/>
      <c r="K11" s="2080"/>
      <c r="L11" s="2081"/>
      <c r="M11" s="2080"/>
      <c r="N11" s="2080"/>
    </row>
    <row r="12" spans="1:15" s="2075" customFormat="1" ht="15" x14ac:dyDescent="0.25">
      <c r="A12" s="2082" t="s">
        <v>2150</v>
      </c>
      <c r="B12" s="2080"/>
      <c r="C12" s="2080"/>
      <c r="D12" s="2081"/>
      <c r="E12" s="2080"/>
      <c r="F12" s="2080"/>
      <c r="G12" s="2080"/>
      <c r="H12" s="2080"/>
      <c r="I12" s="2080"/>
      <c r="J12" s="2079"/>
      <c r="K12" s="2080"/>
      <c r="L12" s="2081"/>
      <c r="M12" s="2080"/>
      <c r="N12" s="2080"/>
    </row>
    <row r="13" spans="1:15" s="2075" customFormat="1" ht="15" x14ac:dyDescent="0.25">
      <c r="A13" s="2083" t="s">
        <v>2151</v>
      </c>
      <c r="B13" s="2080"/>
      <c r="C13" s="2080"/>
      <c r="D13" s="2081"/>
      <c r="E13" s="2080"/>
      <c r="F13" s="2080"/>
      <c r="G13" s="2080"/>
      <c r="H13" s="2080"/>
      <c r="I13" s="2080"/>
      <c r="J13" s="2079"/>
      <c r="K13" s="2080"/>
      <c r="L13" s="2081"/>
      <c r="M13" s="2080"/>
      <c r="N13" s="2080"/>
    </row>
    <row r="14" spans="1:15" s="2075" customFormat="1" ht="15" x14ac:dyDescent="0.25">
      <c r="A14" s="2083" t="s">
        <v>2091</v>
      </c>
      <c r="B14" s="2080"/>
      <c r="C14" s="2080"/>
      <c r="D14" s="2081"/>
      <c r="E14" s="2080"/>
      <c r="F14" s="2080"/>
      <c r="G14" s="2080"/>
      <c r="H14" s="2080"/>
      <c r="I14" s="2080"/>
      <c r="J14" s="2079"/>
      <c r="K14" s="2080"/>
      <c r="L14" s="2081"/>
      <c r="M14" s="2080"/>
      <c r="N14" s="2080"/>
    </row>
    <row r="15" spans="1:15" s="2075" customFormat="1" ht="15" x14ac:dyDescent="0.25">
      <c r="A15" s="2079"/>
      <c r="B15" s="2079"/>
      <c r="C15" s="2079"/>
      <c r="D15" s="2081"/>
      <c r="E15" s="2079"/>
      <c r="F15" s="2079"/>
      <c r="G15" s="2079"/>
      <c r="H15" s="2079"/>
      <c r="I15" s="2079"/>
      <c r="J15" s="2079"/>
      <c r="K15" s="2079"/>
      <c r="L15" s="2081"/>
      <c r="M15" s="2079"/>
      <c r="N15" s="2084"/>
    </row>
    <row r="16" spans="1:15" s="2075" customFormat="1" ht="15" x14ac:dyDescent="0.25">
      <c r="A16" s="2085" t="s">
        <v>2152</v>
      </c>
      <c r="B16" s="2086">
        <v>10.555</v>
      </c>
      <c r="C16" s="2081" t="s">
        <v>2153</v>
      </c>
      <c r="D16" s="2081"/>
      <c r="E16" s="2087">
        <v>54490</v>
      </c>
      <c r="F16" s="2087">
        <v>16089</v>
      </c>
      <c r="G16" s="2087"/>
      <c r="H16" s="2087">
        <v>54490</v>
      </c>
      <c r="I16" s="2087">
        <v>16089</v>
      </c>
      <c r="J16" s="2087"/>
      <c r="K16" s="2087"/>
      <c r="L16" s="2081"/>
      <c r="M16" s="2087">
        <f>H16+I16+K16</f>
        <v>70579</v>
      </c>
      <c r="N16" s="2088" t="s">
        <v>2154</v>
      </c>
    </row>
    <row r="17" spans="1:14" s="2075" customFormat="1" ht="15" x14ac:dyDescent="0.25">
      <c r="A17" s="2085" t="s">
        <v>2152</v>
      </c>
      <c r="B17" s="2086">
        <v>10.555</v>
      </c>
      <c r="C17" s="2081" t="s">
        <v>2155</v>
      </c>
      <c r="D17" s="2081"/>
      <c r="E17" s="2087"/>
      <c r="F17" s="2087">
        <v>41460</v>
      </c>
      <c r="G17" s="2087"/>
      <c r="H17" s="2087"/>
      <c r="I17" s="2087">
        <v>41460</v>
      </c>
      <c r="J17" s="2087"/>
      <c r="K17" s="2087"/>
      <c r="L17" s="2081">
        <v>-3</v>
      </c>
      <c r="M17" s="2087">
        <f>H17+I17+K17</f>
        <v>41460</v>
      </c>
      <c r="N17" s="2088" t="s">
        <v>2154</v>
      </c>
    </row>
    <row r="18" spans="1:14" s="2075" customFormat="1" ht="15" x14ac:dyDescent="0.25">
      <c r="A18" s="2085"/>
      <c r="B18" s="2086"/>
      <c r="C18" s="2081"/>
      <c r="D18" s="2081"/>
      <c r="E18" s="2087"/>
      <c r="F18" s="2087"/>
      <c r="G18" s="2087"/>
      <c r="H18" s="2087"/>
      <c r="I18" s="2087"/>
      <c r="J18" s="2087"/>
      <c r="K18" s="2079"/>
      <c r="L18" s="2088"/>
      <c r="M18" s="2087"/>
      <c r="N18" s="2089"/>
    </row>
    <row r="19" spans="1:14" s="2075" customFormat="1" ht="15" x14ac:dyDescent="0.25">
      <c r="A19" s="2085" t="s">
        <v>2156</v>
      </c>
      <c r="B19" s="2086"/>
      <c r="C19" s="2081"/>
      <c r="D19" s="2081"/>
      <c r="E19" s="2087"/>
      <c r="F19" s="2087"/>
      <c r="G19" s="2087"/>
      <c r="H19" s="2087"/>
      <c r="I19" s="2087"/>
      <c r="J19" s="2087"/>
      <c r="K19" s="2087"/>
      <c r="L19" s="2088"/>
      <c r="M19" s="2087"/>
      <c r="N19" s="2089"/>
    </row>
    <row r="20" spans="1:14" s="2075" customFormat="1" ht="15" x14ac:dyDescent="0.25">
      <c r="A20" s="2090" t="s">
        <v>2157</v>
      </c>
      <c r="B20" s="2086">
        <v>10.555</v>
      </c>
      <c r="C20" s="2081" t="s">
        <v>2158</v>
      </c>
      <c r="D20" s="2081"/>
      <c r="E20" s="2087"/>
      <c r="F20" s="2087"/>
      <c r="G20" s="2087"/>
      <c r="H20" s="2087">
        <v>2501</v>
      </c>
      <c r="I20" s="2087"/>
      <c r="J20" s="2087"/>
      <c r="K20" s="2087"/>
      <c r="L20" s="2088"/>
      <c r="M20" s="2087">
        <f>H20+I20+K20</f>
        <v>2501</v>
      </c>
      <c r="N20" s="2088" t="s">
        <v>2154</v>
      </c>
    </row>
    <row r="21" spans="1:14" s="2075" customFormat="1" ht="15" x14ac:dyDescent="0.25">
      <c r="A21" s="2090" t="s">
        <v>2157</v>
      </c>
      <c r="B21" s="2086">
        <v>10.555</v>
      </c>
      <c r="C21" s="2081" t="s">
        <v>2159</v>
      </c>
      <c r="D21" s="2081"/>
      <c r="E21" s="2087"/>
      <c r="F21" s="2087"/>
      <c r="G21" s="2087"/>
      <c r="H21" s="2087"/>
      <c r="I21" s="2087">
        <v>2277</v>
      </c>
      <c r="J21" s="2087"/>
      <c r="K21" s="2087"/>
      <c r="L21" s="2088"/>
      <c r="M21" s="2087">
        <f>H21+I21+K21</f>
        <v>2277</v>
      </c>
      <c r="N21" s="2088" t="s">
        <v>2154</v>
      </c>
    </row>
    <row r="22" spans="1:14" s="2075" customFormat="1" ht="15" x14ac:dyDescent="0.25">
      <c r="A22" s="2085"/>
      <c r="B22" s="2086"/>
      <c r="C22" s="2081"/>
      <c r="D22" s="2081"/>
      <c r="E22" s="2087"/>
      <c r="F22" s="2087"/>
      <c r="G22" s="2087"/>
      <c r="H22" s="2087"/>
      <c r="I22" s="2087"/>
      <c r="J22" s="2087"/>
      <c r="K22" s="2087"/>
      <c r="L22" s="2088"/>
      <c r="M22" s="2087"/>
      <c r="N22" s="2089"/>
    </row>
    <row r="23" spans="1:14" s="2075" customFormat="1" ht="17.25" x14ac:dyDescent="0.25">
      <c r="A23" s="2091" t="s">
        <v>2160</v>
      </c>
      <c r="B23" s="2092">
        <v>10.555</v>
      </c>
      <c r="C23" s="2081" t="s">
        <v>2158</v>
      </c>
      <c r="D23" s="2073"/>
      <c r="E23" s="2093"/>
      <c r="F23" s="2093"/>
      <c r="G23" s="2093"/>
      <c r="H23" s="2093">
        <v>15419</v>
      </c>
      <c r="I23" s="2087"/>
      <c r="J23" s="2094"/>
      <c r="K23" s="2093"/>
      <c r="L23" s="2094"/>
      <c r="M23" s="2093">
        <f>H23+I23+K23</f>
        <v>15419</v>
      </c>
      <c r="N23" s="2095" t="s">
        <v>2154</v>
      </c>
    </row>
    <row r="24" spans="1:14" s="2075" customFormat="1" ht="17.25" x14ac:dyDescent="0.25">
      <c r="A24" s="2091" t="s">
        <v>2160</v>
      </c>
      <c r="B24" s="2092">
        <v>10.555</v>
      </c>
      <c r="C24" s="2081" t="s">
        <v>2159</v>
      </c>
      <c r="D24" s="2073"/>
      <c r="E24" s="2094" t="s">
        <v>1159</v>
      </c>
      <c r="F24" s="2094" t="s">
        <v>1159</v>
      </c>
      <c r="G24" s="2094"/>
      <c r="H24" s="2094" t="s">
        <v>1159</v>
      </c>
      <c r="I24" s="2094">
        <v>16512</v>
      </c>
      <c r="J24" s="2094"/>
      <c r="K24" s="2094">
        <v>0</v>
      </c>
      <c r="L24" s="2094"/>
      <c r="M24" s="2094">
        <f>H24+I24+K24</f>
        <v>16512</v>
      </c>
      <c r="N24" s="2095" t="s">
        <v>2154</v>
      </c>
    </row>
    <row r="25" spans="1:14" s="2075" customFormat="1" ht="17.25" x14ac:dyDescent="0.25">
      <c r="A25" s="2091"/>
      <c r="B25" s="2096" t="s">
        <v>2161</v>
      </c>
      <c r="C25" s="2081"/>
      <c r="D25" s="2073"/>
      <c r="E25" s="2094">
        <f>SUM(E16:E24)</f>
        <v>54490</v>
      </c>
      <c r="F25" s="2094">
        <f>SUM(F16:F24)</f>
        <v>57549</v>
      </c>
      <c r="G25" s="2094"/>
      <c r="H25" s="2094">
        <f>SUM(H16:H24)</f>
        <v>72410</v>
      </c>
      <c r="I25" s="2094">
        <f>SUM(I16:I24)</f>
        <v>76338</v>
      </c>
      <c r="J25" s="2094"/>
      <c r="K25" s="2094">
        <f>SUM(K16:K24)</f>
        <v>0</v>
      </c>
      <c r="L25" s="2094"/>
      <c r="M25" s="2094">
        <f>SUM(M16:M24)</f>
        <v>148748</v>
      </c>
      <c r="N25" s="2095"/>
    </row>
    <row r="26" spans="1:14" s="2075" customFormat="1" ht="17.25" x14ac:dyDescent="0.25">
      <c r="A26" s="2091"/>
      <c r="B26" s="2092"/>
      <c r="C26" s="2081"/>
      <c r="D26" s="2073"/>
      <c r="E26" s="2094"/>
      <c r="F26" s="2094"/>
      <c r="G26" s="2094"/>
      <c r="H26" s="2094"/>
      <c r="I26" s="2094"/>
      <c r="J26" s="2094"/>
      <c r="K26" s="2094"/>
      <c r="L26" s="2094"/>
      <c r="M26" s="2094"/>
      <c r="N26" s="2095"/>
    </row>
    <row r="27" spans="1:14" s="2075" customFormat="1" ht="15" x14ac:dyDescent="0.25">
      <c r="A27" s="2085" t="s">
        <v>1050</v>
      </c>
      <c r="B27" s="2086">
        <v>10.553000000000001</v>
      </c>
      <c r="C27" s="2081" t="s">
        <v>2162</v>
      </c>
      <c r="D27" s="2081"/>
      <c r="E27" s="2087">
        <v>7840</v>
      </c>
      <c r="F27" s="2087">
        <v>3614</v>
      </c>
      <c r="G27" s="2087"/>
      <c r="H27" s="2087">
        <v>7840</v>
      </c>
      <c r="I27" s="2087">
        <v>3614</v>
      </c>
      <c r="J27" s="2087"/>
      <c r="K27" s="2087"/>
      <c r="L27" s="2081"/>
      <c r="M27" s="2087">
        <f>H27+I27+K27</f>
        <v>11454</v>
      </c>
      <c r="N27" s="2088" t="s">
        <v>2154</v>
      </c>
    </row>
    <row r="28" spans="1:14" s="2075" customFormat="1" ht="15" x14ac:dyDescent="0.25">
      <c r="A28" s="2085" t="s">
        <v>1050</v>
      </c>
      <c r="B28" s="2086">
        <v>10.553000000000001</v>
      </c>
      <c r="C28" s="2081" t="s">
        <v>2163</v>
      </c>
      <c r="D28" s="2081"/>
      <c r="E28" s="2087"/>
      <c r="F28" s="2087">
        <v>102</v>
      </c>
      <c r="G28" s="2087"/>
      <c r="H28" s="2087"/>
      <c r="I28" s="2087">
        <v>102</v>
      </c>
      <c r="J28" s="2087"/>
      <c r="K28" s="2087"/>
      <c r="L28" s="2081"/>
      <c r="M28" s="2087">
        <f>H28+I28+K28</f>
        <v>102</v>
      </c>
      <c r="N28" s="2088" t="s">
        <v>2154</v>
      </c>
    </row>
    <row r="29" spans="1:14" s="2075" customFormat="1" ht="17.25" x14ac:dyDescent="0.4">
      <c r="A29" s="2085" t="s">
        <v>1050</v>
      </c>
      <c r="B29" s="2086">
        <v>10.553000000000001</v>
      </c>
      <c r="C29" s="2081" t="s">
        <v>2164</v>
      </c>
      <c r="D29" s="2081"/>
      <c r="E29" s="2094" t="s">
        <v>1159</v>
      </c>
      <c r="F29" s="2094">
        <v>7508</v>
      </c>
      <c r="G29" s="2087"/>
      <c r="H29" s="2094" t="s">
        <v>1159</v>
      </c>
      <c r="I29" s="2097">
        <v>7508</v>
      </c>
      <c r="J29" s="2087"/>
      <c r="K29" s="2094" t="s">
        <v>1159</v>
      </c>
      <c r="L29" s="2081">
        <v>-3</v>
      </c>
      <c r="M29" s="2097">
        <f>H29+I29+K29</f>
        <v>7508</v>
      </c>
      <c r="N29" s="2088" t="s">
        <v>2154</v>
      </c>
    </row>
    <row r="30" spans="1:14" s="2075" customFormat="1" ht="17.25" x14ac:dyDescent="0.25">
      <c r="A30" s="2085"/>
      <c r="B30" s="2096" t="s">
        <v>2165</v>
      </c>
      <c r="C30" s="2081"/>
      <c r="D30" s="2081"/>
      <c r="E30" s="2094">
        <f>SUM(E27:E29)</f>
        <v>7840</v>
      </c>
      <c r="F30" s="2094">
        <f>SUM(F27:F29)</f>
        <v>11224</v>
      </c>
      <c r="G30" s="2087"/>
      <c r="H30" s="2094">
        <f>SUM(H27:H29)</f>
        <v>7840</v>
      </c>
      <c r="I30" s="2094">
        <f>SUM(I27:I29)</f>
        <v>11224</v>
      </c>
      <c r="J30" s="2087"/>
      <c r="K30" s="2094">
        <f>SUM(K27:K29)</f>
        <v>0</v>
      </c>
      <c r="L30" s="2081"/>
      <c r="M30" s="2094">
        <f>SUM(M27:M29)</f>
        <v>19064</v>
      </c>
      <c r="N30" s="2088"/>
    </row>
    <row r="31" spans="1:14" s="2075" customFormat="1" ht="15" x14ac:dyDescent="0.25">
      <c r="A31" s="2085"/>
      <c r="B31" s="2086"/>
      <c r="C31" s="2081"/>
      <c r="D31" s="2081"/>
      <c r="E31" s="2087"/>
      <c r="F31" s="2087"/>
      <c r="G31" s="2087"/>
      <c r="H31" s="2087"/>
      <c r="I31" s="2087"/>
      <c r="J31" s="2087"/>
      <c r="K31" s="2087"/>
      <c r="L31" s="2081"/>
      <c r="M31" s="2087"/>
      <c r="N31" s="2088"/>
    </row>
    <row r="32" spans="1:14" s="2075" customFormat="1" ht="17.25" x14ac:dyDescent="0.25">
      <c r="A32" s="2085" t="s">
        <v>2166</v>
      </c>
      <c r="B32" s="2086">
        <v>10.558999999999999</v>
      </c>
      <c r="C32" s="2081" t="s">
        <v>2167</v>
      </c>
      <c r="D32" s="2081"/>
      <c r="E32" s="2094" t="s">
        <v>1159</v>
      </c>
      <c r="F32" s="2094">
        <v>53858</v>
      </c>
      <c r="G32" s="2087"/>
      <c r="H32" s="2094" t="s">
        <v>1159</v>
      </c>
      <c r="I32" s="2094">
        <v>53858</v>
      </c>
      <c r="J32" s="2087"/>
      <c r="K32" s="2094" t="s">
        <v>1159</v>
      </c>
      <c r="L32" s="2081"/>
      <c r="M32" s="2094">
        <f>H32+I32+K32</f>
        <v>53858</v>
      </c>
      <c r="N32" s="2088" t="s">
        <v>2154</v>
      </c>
    </row>
    <row r="33" spans="1:14" s="2075" customFormat="1" ht="14.25" customHeight="1" x14ac:dyDescent="0.25">
      <c r="A33" s="2085"/>
      <c r="B33" s="2086"/>
      <c r="C33" s="2081"/>
      <c r="D33" s="2081"/>
      <c r="E33" s="2087"/>
      <c r="F33" s="2087"/>
      <c r="G33" s="2087"/>
      <c r="H33" s="2087"/>
      <c r="I33" s="2087"/>
      <c r="J33" s="2087"/>
      <c r="K33" s="2087"/>
      <c r="L33" s="2081"/>
      <c r="M33" s="2087"/>
      <c r="N33" s="2088"/>
    </row>
    <row r="34" spans="1:14" s="2075" customFormat="1" ht="17.25" x14ac:dyDescent="0.4">
      <c r="A34" s="2085"/>
      <c r="B34" s="2086" t="s">
        <v>2168</v>
      </c>
      <c r="C34" s="2081"/>
      <c r="D34" s="2081"/>
      <c r="E34" s="2097">
        <f>SUM(E25,E30,E32)</f>
        <v>62330</v>
      </c>
      <c r="F34" s="2097">
        <f>SUM(F25,F30,F32)</f>
        <v>122631</v>
      </c>
      <c r="G34" s="2087"/>
      <c r="H34" s="2097">
        <f>SUM(H25,H30,H32)</f>
        <v>80250</v>
      </c>
      <c r="I34" s="2097">
        <f>SUM(I25,I30,I32)</f>
        <v>141420</v>
      </c>
      <c r="J34" s="2087"/>
      <c r="K34" s="2097">
        <f>SUM(K25,K30,K32)</f>
        <v>0</v>
      </c>
      <c r="L34" s="2081"/>
      <c r="M34" s="2097">
        <f>SUM(M25,M30,M32)</f>
        <v>221670</v>
      </c>
      <c r="N34" s="2088"/>
    </row>
    <row r="35" spans="1:14" s="2075" customFormat="1" ht="15" x14ac:dyDescent="0.25">
      <c r="A35" s="2085"/>
      <c r="B35" s="2086"/>
      <c r="C35" s="2081"/>
      <c r="D35" s="2081"/>
      <c r="E35" s="2087"/>
      <c r="F35" s="2087"/>
      <c r="G35" s="2087"/>
      <c r="H35" s="2087"/>
      <c r="I35" s="2087"/>
      <c r="J35" s="2087"/>
      <c r="K35" s="2087"/>
      <c r="L35" s="2081"/>
      <c r="M35" s="2087"/>
      <c r="N35" s="2088"/>
    </row>
    <row r="36" spans="1:14" s="2075" customFormat="1" ht="15" x14ac:dyDescent="0.25">
      <c r="A36" s="2085" t="s">
        <v>2169</v>
      </c>
      <c r="B36" s="2086">
        <v>10.558</v>
      </c>
      <c r="C36" s="2081" t="s">
        <v>2170</v>
      </c>
      <c r="D36" s="2081"/>
      <c r="E36" s="2087">
        <v>4773</v>
      </c>
      <c r="F36" s="2087">
        <v>6421</v>
      </c>
      <c r="G36" s="2087"/>
      <c r="H36" s="2087">
        <v>4773</v>
      </c>
      <c r="I36" s="2087">
        <v>6421</v>
      </c>
      <c r="J36" s="2087"/>
      <c r="K36" s="2087"/>
      <c r="L36" s="2081"/>
      <c r="M36" s="2087">
        <f>H36+I36+K36</f>
        <v>11194</v>
      </c>
      <c r="N36" s="2088" t="s">
        <v>2154</v>
      </c>
    </row>
    <row r="37" spans="1:14" s="2075" customFormat="1" ht="17.25" x14ac:dyDescent="0.4">
      <c r="A37" s="2085" t="s">
        <v>2169</v>
      </c>
      <c r="B37" s="2086">
        <v>10.558</v>
      </c>
      <c r="C37" s="2081" t="s">
        <v>2171</v>
      </c>
      <c r="D37" s="2081"/>
      <c r="E37" s="2094" t="s">
        <v>1159</v>
      </c>
      <c r="F37" s="2094">
        <v>4651</v>
      </c>
      <c r="G37" s="2087"/>
      <c r="H37" s="2094" t="s">
        <v>1159</v>
      </c>
      <c r="I37" s="2097">
        <v>4651</v>
      </c>
      <c r="J37" s="2087"/>
      <c r="K37" s="2094" t="s">
        <v>1159</v>
      </c>
      <c r="L37" s="2081">
        <v>-3</v>
      </c>
      <c r="M37" s="2097">
        <f>H37+I37+K37</f>
        <v>4651</v>
      </c>
      <c r="N37" s="2088" t="s">
        <v>2154</v>
      </c>
    </row>
    <row r="38" spans="1:14" s="2075" customFormat="1" ht="21.75" customHeight="1" x14ac:dyDescent="0.25">
      <c r="A38" s="2085"/>
      <c r="B38" s="2096" t="s">
        <v>2172</v>
      </c>
      <c r="C38" s="2081"/>
      <c r="D38" s="2081"/>
      <c r="E38" s="2094">
        <f>SUM(E36:E37)</f>
        <v>4773</v>
      </c>
      <c r="F38" s="2094">
        <f>SUM(F36:F37)</f>
        <v>11072</v>
      </c>
      <c r="G38" s="2087"/>
      <c r="H38" s="2094">
        <f>SUM(H36:H37)</f>
        <v>4773</v>
      </c>
      <c r="I38" s="2094">
        <f>SUM(I36:I37)</f>
        <v>11072</v>
      </c>
      <c r="J38" s="2087"/>
      <c r="K38" s="2094">
        <f>SUM(K36:K37)</f>
        <v>0</v>
      </c>
      <c r="L38" s="2081"/>
      <c r="M38" s="2094">
        <f>SUM(M36:M37)</f>
        <v>15845</v>
      </c>
      <c r="N38" s="2088"/>
    </row>
    <row r="39" spans="1:14" s="2075" customFormat="1" ht="21.75" customHeight="1" x14ac:dyDescent="0.25">
      <c r="A39" s="2085"/>
      <c r="B39" s="2096"/>
      <c r="C39" s="2081"/>
      <c r="D39" s="2081"/>
      <c r="E39" s="2094"/>
      <c r="F39" s="2094"/>
      <c r="G39" s="2087"/>
      <c r="H39" s="2094"/>
      <c r="I39" s="2094"/>
      <c r="J39" s="2087"/>
      <c r="K39" s="2094"/>
      <c r="L39" s="2081"/>
      <c r="M39" s="2094"/>
      <c r="N39" s="2088"/>
    </row>
    <row r="40" spans="1:14" s="2075" customFormat="1" ht="17.25" x14ac:dyDescent="0.2">
      <c r="A40" s="2098" t="s">
        <v>2173</v>
      </c>
      <c r="B40" s="2092"/>
      <c r="C40" s="2073"/>
      <c r="D40" s="2073"/>
      <c r="E40" s="2094">
        <f>SUM(E34,E38)</f>
        <v>67103</v>
      </c>
      <c r="F40" s="2094">
        <f>SUM(F34,F38)</f>
        <v>133703</v>
      </c>
      <c r="G40" s="2094"/>
      <c r="H40" s="2094">
        <f>SUM(H34,H38)</f>
        <v>85023</v>
      </c>
      <c r="I40" s="2094">
        <f>SUM(I34,I38)</f>
        <v>152492</v>
      </c>
      <c r="J40" s="2094"/>
      <c r="K40" s="2094">
        <f>SUM(K34,K38)</f>
        <v>0</v>
      </c>
      <c r="L40" s="2094"/>
      <c r="M40" s="2094">
        <f>SUM(M34,M38)</f>
        <v>237515</v>
      </c>
      <c r="N40" s="2099"/>
    </row>
    <row r="41" spans="1:14" s="2075" customFormat="1" ht="15" x14ac:dyDescent="0.25">
      <c r="A41" s="2100"/>
      <c r="B41" s="2086"/>
      <c r="C41" s="2081"/>
      <c r="D41" s="2081"/>
      <c r="E41" s="2087"/>
      <c r="F41" s="2087"/>
      <c r="G41" s="2087"/>
      <c r="H41" s="2087"/>
      <c r="I41" s="2087"/>
      <c r="J41" s="2087"/>
      <c r="K41" s="2087"/>
      <c r="L41" s="2088"/>
      <c r="M41" s="2087"/>
      <c r="N41" s="2089"/>
    </row>
    <row r="42" spans="1:14" s="2075" customFormat="1" ht="15" x14ac:dyDescent="0.25">
      <c r="A42" s="2082" t="s">
        <v>2174</v>
      </c>
      <c r="B42" s="2086"/>
      <c r="C42" s="2081"/>
      <c r="D42" s="2081"/>
      <c r="E42" s="2087"/>
      <c r="F42" s="2087"/>
      <c r="G42" s="2087"/>
      <c r="H42" s="2087"/>
      <c r="I42" s="2087"/>
      <c r="J42" s="2087"/>
      <c r="K42" s="2087"/>
      <c r="L42" s="2088"/>
      <c r="M42" s="2087"/>
      <c r="N42" s="2089"/>
    </row>
    <row r="43" spans="1:14" s="2075" customFormat="1" ht="15" x14ac:dyDescent="0.25">
      <c r="A43" s="2083" t="s">
        <v>2151</v>
      </c>
      <c r="B43" s="2086"/>
      <c r="C43" s="2081"/>
      <c r="D43" s="2081"/>
      <c r="E43" s="2087"/>
      <c r="F43" s="2087"/>
      <c r="G43" s="2087"/>
      <c r="H43" s="2087"/>
      <c r="I43" s="2087"/>
      <c r="J43" s="2087"/>
      <c r="K43" s="2087"/>
      <c r="L43" s="2088"/>
      <c r="M43" s="2087"/>
      <c r="N43" s="2089"/>
    </row>
    <row r="44" spans="1:14" s="2075" customFormat="1" ht="15" x14ac:dyDescent="0.25">
      <c r="A44" s="2083" t="s">
        <v>2091</v>
      </c>
      <c r="B44" s="2086"/>
      <c r="C44" s="2081"/>
      <c r="D44" s="2081"/>
      <c r="E44" s="2087"/>
      <c r="F44" s="2087"/>
      <c r="G44" s="2087"/>
      <c r="H44" s="2087"/>
      <c r="I44" s="2087"/>
      <c r="J44" s="2087"/>
      <c r="K44" s="2087"/>
      <c r="L44" s="2088"/>
      <c r="M44" s="2087"/>
      <c r="N44" s="2089"/>
    </row>
    <row r="45" spans="1:14" s="2075" customFormat="1" ht="15" x14ac:dyDescent="0.25">
      <c r="A45" s="2100"/>
      <c r="B45" s="2086"/>
      <c r="C45" s="2081"/>
      <c r="D45" s="2081"/>
      <c r="E45" s="2087"/>
      <c r="F45" s="2087"/>
      <c r="G45" s="2087"/>
      <c r="H45" s="2087"/>
      <c r="I45" s="2087"/>
      <c r="J45" s="2087"/>
      <c r="K45" s="2087"/>
      <c r="L45" s="2088"/>
      <c r="M45" s="2087"/>
      <c r="N45" s="2089"/>
    </row>
    <row r="46" spans="1:14" s="2075" customFormat="1" ht="15" x14ac:dyDescent="0.25">
      <c r="A46" s="2101" t="s">
        <v>912</v>
      </c>
      <c r="B46" s="2086" t="s">
        <v>2175</v>
      </c>
      <c r="C46" s="2081" t="s">
        <v>2176</v>
      </c>
      <c r="D46" s="2102"/>
      <c r="E46" s="2087">
        <v>63765</v>
      </c>
      <c r="F46" s="2087">
        <v>11985</v>
      </c>
      <c r="G46" s="2087"/>
      <c r="H46" s="2087">
        <v>75750</v>
      </c>
      <c r="I46" s="2087"/>
      <c r="J46" s="2087"/>
      <c r="K46" s="2087"/>
      <c r="L46" s="2088"/>
      <c r="M46" s="2087">
        <f>K46+I46+H46</f>
        <v>75750</v>
      </c>
      <c r="N46" s="2087">
        <v>78692</v>
      </c>
    </row>
    <row r="47" spans="1:14" s="2075" customFormat="1" ht="15" x14ac:dyDescent="0.25">
      <c r="A47" s="2101" t="s">
        <v>912</v>
      </c>
      <c r="B47" s="2086" t="s">
        <v>2175</v>
      </c>
      <c r="C47" s="2081" t="s">
        <v>2177</v>
      </c>
      <c r="D47" s="2084"/>
      <c r="E47" s="2087"/>
      <c r="F47" s="2087">
        <v>76187</v>
      </c>
      <c r="G47" s="2087"/>
      <c r="H47" s="2087"/>
      <c r="I47" s="2087">
        <v>77767</v>
      </c>
      <c r="J47" s="2087"/>
      <c r="K47" s="2087"/>
      <c r="L47" s="2088"/>
      <c r="M47" s="2087">
        <f>K47+I47+H47</f>
        <v>77767</v>
      </c>
      <c r="N47" s="2087">
        <v>79617</v>
      </c>
    </row>
    <row r="48" spans="1:14" s="2075" customFormat="1" ht="15" x14ac:dyDescent="0.25">
      <c r="A48" s="2103"/>
      <c r="B48" s="2086"/>
      <c r="C48" s="2081"/>
      <c r="D48" s="2084"/>
      <c r="E48" s="2087"/>
      <c r="F48" s="2087"/>
      <c r="G48" s="2087"/>
      <c r="H48" s="2087"/>
      <c r="I48" s="2087"/>
      <c r="J48" s="2087"/>
      <c r="K48" s="2087"/>
      <c r="L48" s="2088"/>
      <c r="M48" s="2087"/>
      <c r="N48" s="2087"/>
    </row>
    <row r="49" spans="1:14" s="2075" customFormat="1" ht="15" x14ac:dyDescent="0.25">
      <c r="A49" s="2085" t="s">
        <v>1024</v>
      </c>
      <c r="B49" s="2086">
        <v>84.010999999999996</v>
      </c>
      <c r="C49" s="2081" t="s">
        <v>2178</v>
      </c>
      <c r="D49" s="2084"/>
      <c r="E49" s="2087">
        <v>24524</v>
      </c>
      <c r="F49" s="2087">
        <v>6629</v>
      </c>
      <c r="G49" s="2087"/>
      <c r="H49" s="2087">
        <v>31153</v>
      </c>
      <c r="I49" s="2087"/>
      <c r="J49" s="2087"/>
      <c r="K49" s="2087"/>
      <c r="L49" s="2088"/>
      <c r="M49" s="2087">
        <f>H49+I49+K49</f>
        <v>31153</v>
      </c>
      <c r="N49" s="2087">
        <v>31354</v>
      </c>
    </row>
    <row r="50" spans="1:14" s="2075" customFormat="1" ht="15" x14ac:dyDescent="0.25">
      <c r="A50" s="2085" t="s">
        <v>1024</v>
      </c>
      <c r="B50" s="2086">
        <v>84.010999999999996</v>
      </c>
      <c r="C50" s="2081" t="s">
        <v>2179</v>
      </c>
      <c r="D50" s="2084"/>
      <c r="E50" s="2087"/>
      <c r="F50" s="2087">
        <v>27038</v>
      </c>
      <c r="G50" s="2087"/>
      <c r="H50" s="2087"/>
      <c r="I50" s="2087">
        <v>30655</v>
      </c>
      <c r="J50" s="2087"/>
      <c r="K50" s="2087"/>
      <c r="L50" s="2088"/>
      <c r="M50" s="2087">
        <f>H50+I50+K50</f>
        <v>30655</v>
      </c>
      <c r="N50" s="2087">
        <v>31354</v>
      </c>
    </row>
    <row r="51" spans="1:14" s="2075" customFormat="1" ht="15" x14ac:dyDescent="0.25">
      <c r="A51" s="2085"/>
      <c r="B51" s="2086"/>
      <c r="C51" s="2081"/>
      <c r="D51" s="2084"/>
      <c r="E51" s="2087"/>
      <c r="F51" s="2087"/>
      <c r="G51" s="2087"/>
      <c r="H51" s="2087"/>
      <c r="I51" s="2087"/>
      <c r="J51" s="2087"/>
      <c r="K51" s="2087"/>
      <c r="L51" s="2088"/>
      <c r="M51" s="2087"/>
      <c r="N51" s="2087"/>
    </row>
    <row r="52" spans="1:14" s="2075" customFormat="1" ht="15" x14ac:dyDescent="0.25">
      <c r="A52" s="2085" t="s">
        <v>2180</v>
      </c>
      <c r="B52" s="2086">
        <v>84.010999999999996</v>
      </c>
      <c r="C52" s="2081" t="s">
        <v>2181</v>
      </c>
      <c r="D52" s="2104"/>
      <c r="E52" s="2087"/>
      <c r="F52" s="2087">
        <v>68101</v>
      </c>
      <c r="G52" s="2087"/>
      <c r="H52" s="2079">
        <v>15897</v>
      </c>
      <c r="I52" s="2087">
        <v>52204</v>
      </c>
      <c r="J52" s="2087"/>
      <c r="K52" s="2087"/>
      <c r="L52" s="2088"/>
      <c r="M52" s="2087">
        <f>H52+I52+K52</f>
        <v>68101</v>
      </c>
      <c r="N52" s="2087">
        <v>68101</v>
      </c>
    </row>
    <row r="53" spans="1:14" s="2075" customFormat="1" ht="15" x14ac:dyDescent="0.25">
      <c r="A53" s="2085" t="s">
        <v>2180</v>
      </c>
      <c r="B53" s="2086">
        <v>84.010999999999996</v>
      </c>
      <c r="C53" s="2081" t="s">
        <v>2182</v>
      </c>
      <c r="D53" s="2084"/>
      <c r="E53" s="2087"/>
      <c r="F53" s="2087"/>
      <c r="G53" s="2087"/>
      <c r="H53" s="2087"/>
      <c r="I53" s="2079">
        <v>12233</v>
      </c>
      <c r="J53" s="2087"/>
      <c r="K53" s="2087"/>
      <c r="L53" s="2081">
        <v>-3</v>
      </c>
      <c r="M53" s="2087">
        <f>H53+I53+K53</f>
        <v>12233</v>
      </c>
      <c r="N53" s="2087">
        <v>47098</v>
      </c>
    </row>
    <row r="54" spans="1:14" s="2075" customFormat="1" ht="15" x14ac:dyDescent="0.25">
      <c r="A54" s="2101"/>
      <c r="B54" s="2086"/>
      <c r="C54" s="2081"/>
      <c r="D54" s="2084"/>
      <c r="E54" s="2087"/>
      <c r="F54" s="2087"/>
      <c r="G54" s="2087"/>
      <c r="H54" s="2087"/>
      <c r="I54" s="2087"/>
      <c r="J54" s="2087"/>
      <c r="K54" s="2087"/>
      <c r="L54" s="2088"/>
      <c r="M54" s="2087"/>
      <c r="N54" s="2087"/>
    </row>
    <row r="55" spans="1:14" s="2075" customFormat="1" ht="15" hidden="1" x14ac:dyDescent="0.25">
      <c r="A55" s="2091" t="s">
        <v>2183</v>
      </c>
      <c r="B55" s="2092">
        <v>84.027000000000001</v>
      </c>
      <c r="C55" s="2073" t="s">
        <v>2184</v>
      </c>
      <c r="D55" s="2084"/>
      <c r="E55" s="2087"/>
      <c r="F55" s="2087"/>
      <c r="G55" s="2087"/>
      <c r="H55" s="2087"/>
      <c r="I55" s="2087"/>
      <c r="J55" s="2087"/>
      <c r="K55" s="2087"/>
      <c r="L55" s="2088"/>
      <c r="M55" s="2087">
        <f>K55+I55+H55</f>
        <v>0</v>
      </c>
      <c r="N55" s="2088" t="s">
        <v>2154</v>
      </c>
    </row>
    <row r="56" spans="1:14" s="2075" customFormat="1" ht="15" hidden="1" x14ac:dyDescent="0.25">
      <c r="A56" s="2091" t="s">
        <v>2183</v>
      </c>
      <c r="B56" s="2092">
        <v>84.027000000000001</v>
      </c>
      <c r="C56" s="2073" t="s">
        <v>2185</v>
      </c>
      <c r="D56" s="2084"/>
      <c r="E56" s="2087"/>
      <c r="F56" s="2087"/>
      <c r="G56" s="2087"/>
      <c r="H56" s="2087"/>
      <c r="I56" s="2087"/>
      <c r="J56" s="2087"/>
      <c r="K56" s="2087"/>
      <c r="L56" s="2088"/>
      <c r="M56" s="2087">
        <f>K56+I56+H56</f>
        <v>0</v>
      </c>
      <c r="N56" s="2088" t="s">
        <v>2154</v>
      </c>
    </row>
    <row r="57" spans="1:14" s="2075" customFormat="1" ht="15" hidden="1" x14ac:dyDescent="0.25">
      <c r="A57" s="2101"/>
      <c r="B57" s="2086"/>
      <c r="C57" s="2081"/>
      <c r="D57" s="2084"/>
      <c r="E57" s="2087"/>
      <c r="F57" s="2087"/>
      <c r="G57" s="2087"/>
      <c r="H57" s="2087"/>
      <c r="I57" s="2087"/>
      <c r="J57" s="2087"/>
      <c r="K57" s="2087"/>
      <c r="L57" s="2088"/>
      <c r="M57" s="2087"/>
      <c r="N57" s="2087"/>
    </row>
    <row r="58" spans="1:14" s="2075" customFormat="1" ht="15" hidden="1" x14ac:dyDescent="0.25">
      <c r="A58" s="2091" t="s">
        <v>2186</v>
      </c>
      <c r="B58" s="2092">
        <v>84.027000000000001</v>
      </c>
      <c r="C58" s="2073" t="s">
        <v>2187</v>
      </c>
      <c r="D58" s="2073"/>
      <c r="E58" s="2093"/>
      <c r="F58" s="2093"/>
      <c r="G58" s="2093"/>
      <c r="H58" s="2093"/>
      <c r="I58" s="2093"/>
      <c r="J58" s="2087"/>
      <c r="K58" s="2087"/>
      <c r="L58" s="2088"/>
      <c r="M58" s="2087">
        <f>K58+I58+H58</f>
        <v>0</v>
      </c>
      <c r="N58" s="2088" t="s">
        <v>2154</v>
      </c>
    </row>
    <row r="59" spans="1:14" s="2075" customFormat="1" ht="15" x14ac:dyDescent="0.25">
      <c r="A59" s="2091" t="s">
        <v>2188</v>
      </c>
      <c r="B59" s="2092">
        <v>84.027000000000001</v>
      </c>
      <c r="C59" s="2073" t="s">
        <v>2189</v>
      </c>
      <c r="D59" s="2073"/>
      <c r="E59" s="2093"/>
      <c r="F59" s="2093"/>
      <c r="G59" s="2093"/>
      <c r="H59" s="2093"/>
      <c r="I59" s="2093">
        <v>1705</v>
      </c>
      <c r="J59" s="2087"/>
      <c r="K59" s="2087"/>
      <c r="L59" s="2088"/>
      <c r="M59" s="2087">
        <f>K59+I59+H59</f>
        <v>1705</v>
      </c>
      <c r="N59" s="2088" t="s">
        <v>2154</v>
      </c>
    </row>
    <row r="60" spans="1:14" s="2075" customFormat="1" ht="15" x14ac:dyDescent="0.25">
      <c r="A60" s="2101"/>
      <c r="B60" s="2086"/>
      <c r="C60" s="2081"/>
      <c r="D60" s="2084"/>
      <c r="E60" s="2087"/>
      <c r="F60" s="2087"/>
      <c r="G60" s="2087"/>
      <c r="H60" s="2087"/>
      <c r="I60" s="2087"/>
      <c r="J60" s="2087"/>
      <c r="K60" s="2087"/>
      <c r="L60" s="2088"/>
      <c r="M60" s="2087"/>
      <c r="N60" s="2087"/>
    </row>
    <row r="61" spans="1:14" s="2075" customFormat="1" ht="15" x14ac:dyDescent="0.25">
      <c r="A61" s="2101" t="s">
        <v>753</v>
      </c>
      <c r="B61" s="2086">
        <v>84.367000000000004</v>
      </c>
      <c r="C61" s="2081" t="s">
        <v>2190</v>
      </c>
      <c r="D61" s="2102"/>
      <c r="E61" s="2087">
        <v>15855</v>
      </c>
      <c r="F61" s="2087"/>
      <c r="G61" s="2087"/>
      <c r="H61" s="2087">
        <v>15855</v>
      </c>
      <c r="I61" s="2087"/>
      <c r="J61" s="2087"/>
      <c r="K61" s="2087"/>
      <c r="L61" s="2088"/>
      <c r="M61" s="2087">
        <f>K61+I61+H61</f>
        <v>15855</v>
      </c>
      <c r="N61" s="2087">
        <v>15855</v>
      </c>
    </row>
    <row r="62" spans="1:14" s="2075" customFormat="1" ht="15" x14ac:dyDescent="0.25">
      <c r="A62" s="2101" t="s">
        <v>2191</v>
      </c>
      <c r="B62" s="2086">
        <v>84.367000000000004</v>
      </c>
      <c r="C62" s="2081" t="s">
        <v>2192</v>
      </c>
      <c r="D62" s="2084"/>
      <c r="E62" s="2087">
        <v>0</v>
      </c>
      <c r="F62" s="2087">
        <v>15841</v>
      </c>
      <c r="G62" s="2087"/>
      <c r="H62" s="2087">
        <v>0</v>
      </c>
      <c r="I62" s="2087">
        <v>15841</v>
      </c>
      <c r="J62" s="2087"/>
      <c r="K62" s="2087">
        <v>0</v>
      </c>
      <c r="L62" s="2088"/>
      <c r="M62" s="2087">
        <f>K62+I62+H62</f>
        <v>15841</v>
      </c>
      <c r="N62" s="2087">
        <v>15841</v>
      </c>
    </row>
    <row r="63" spans="1:14" s="2075" customFormat="1" ht="15" x14ac:dyDescent="0.25">
      <c r="A63" s="2101"/>
      <c r="B63" s="2086"/>
      <c r="C63" s="2081"/>
      <c r="D63" s="2084"/>
      <c r="E63" s="2087"/>
      <c r="F63" s="2087"/>
      <c r="G63" s="2087"/>
      <c r="H63" s="2087"/>
      <c r="I63" s="2087"/>
      <c r="J63" s="2087"/>
      <c r="K63" s="2087"/>
      <c r="L63" s="2088"/>
      <c r="M63" s="2087"/>
      <c r="N63" s="2087"/>
    </row>
    <row r="64" spans="1:14" s="2075" customFormat="1" ht="15" x14ac:dyDescent="0.25">
      <c r="A64" s="2101" t="s">
        <v>2193</v>
      </c>
      <c r="B64" s="2086" t="s">
        <v>2194</v>
      </c>
      <c r="C64" s="2081" t="s">
        <v>2195</v>
      </c>
      <c r="D64" s="2084"/>
      <c r="E64" s="2105">
        <v>0</v>
      </c>
      <c r="F64" s="2105">
        <v>0</v>
      </c>
      <c r="G64" s="2105"/>
      <c r="H64" s="2105">
        <v>0</v>
      </c>
      <c r="I64" s="2105">
        <v>0</v>
      </c>
      <c r="J64" s="2087"/>
      <c r="K64" s="2105">
        <v>0</v>
      </c>
      <c r="L64" s="2088"/>
      <c r="M64" s="2105">
        <f>K64+I64+H64</f>
        <v>0</v>
      </c>
      <c r="N64" s="2087">
        <v>55633</v>
      </c>
    </row>
    <row r="65" spans="1:14" s="2075" customFormat="1" ht="9.75" customHeight="1" x14ac:dyDescent="0.25">
      <c r="A65" s="2106"/>
      <c r="B65" s="2086"/>
      <c r="C65" s="2081"/>
      <c r="D65" s="2084"/>
      <c r="E65" s="2087" t="s">
        <v>1159</v>
      </c>
      <c r="F65" s="2087" t="s">
        <v>1159</v>
      </c>
      <c r="G65" s="2087"/>
      <c r="H65" s="2087"/>
      <c r="I65" s="2087" t="s">
        <v>1159</v>
      </c>
      <c r="J65" s="2087"/>
      <c r="K65" s="2087"/>
      <c r="L65" s="2088"/>
      <c r="M65" s="2105"/>
      <c r="N65" s="2087"/>
    </row>
    <row r="66" spans="1:14" s="2075" customFormat="1" ht="17.25" x14ac:dyDescent="0.2">
      <c r="A66" s="2107" t="s">
        <v>2196</v>
      </c>
      <c r="B66" s="2108"/>
      <c r="C66" s="2062"/>
      <c r="D66" s="2073"/>
      <c r="E66" s="2094">
        <f>SUM(E45:E65)</f>
        <v>104144</v>
      </c>
      <c r="F66" s="2094">
        <f>SUM(F45:F65)</f>
        <v>205781</v>
      </c>
      <c r="G66" s="2094"/>
      <c r="H66" s="2094">
        <f>SUM(H45:H65)</f>
        <v>138655</v>
      </c>
      <c r="I66" s="2094">
        <f>SUM(I45:I65)</f>
        <v>190405</v>
      </c>
      <c r="J66" s="2094"/>
      <c r="K66" s="2094">
        <f>SUM(K45:K65)</f>
        <v>0</v>
      </c>
      <c r="L66" s="2094"/>
      <c r="M66" s="2094">
        <f>SUM(M45:M65)</f>
        <v>329060</v>
      </c>
      <c r="N66" s="2109"/>
    </row>
    <row r="67" spans="1:14" s="2075" customFormat="1" ht="15" x14ac:dyDescent="0.2">
      <c r="A67" s="2062"/>
      <c r="B67" s="2092"/>
      <c r="C67" s="2076"/>
      <c r="D67" s="2073"/>
      <c r="E67" s="2093"/>
      <c r="F67" s="2093"/>
      <c r="G67" s="2093"/>
      <c r="H67" s="2093"/>
      <c r="I67" s="2093"/>
      <c r="J67" s="2093"/>
      <c r="K67" s="2093"/>
      <c r="L67" s="2095"/>
      <c r="M67" s="2093"/>
      <c r="N67" s="2093"/>
    </row>
    <row r="68" spans="1:14" s="2075" customFormat="1" ht="15" x14ac:dyDescent="0.2">
      <c r="A68" s="2082" t="s">
        <v>2174</v>
      </c>
      <c r="B68" s="2092"/>
      <c r="C68" s="2076"/>
      <c r="D68" s="2073"/>
      <c r="E68" s="2093"/>
      <c r="F68" s="2093"/>
      <c r="G68" s="2093"/>
      <c r="H68" s="2093"/>
      <c r="I68" s="2093"/>
      <c r="J68" s="2093"/>
      <c r="K68" s="2093"/>
      <c r="L68" s="2095"/>
      <c r="M68" s="2093"/>
      <c r="N68" s="2093"/>
    </row>
    <row r="69" spans="1:14" s="2075" customFormat="1" ht="15" x14ac:dyDescent="0.2">
      <c r="A69" s="2083" t="s">
        <v>2151</v>
      </c>
      <c r="B69" s="2092"/>
      <c r="C69" s="2076"/>
      <c r="D69" s="2073"/>
      <c r="E69" s="2093"/>
      <c r="F69" s="2093"/>
      <c r="G69" s="2093"/>
      <c r="H69" s="2093"/>
      <c r="I69" s="2093"/>
      <c r="J69" s="2093"/>
      <c r="K69" s="2093"/>
      <c r="L69" s="2095"/>
      <c r="M69" s="2093"/>
      <c r="N69" s="2093"/>
    </row>
    <row r="70" spans="1:14" s="2075" customFormat="1" ht="15" x14ac:dyDescent="0.2">
      <c r="A70" s="2110" t="s">
        <v>2197</v>
      </c>
      <c r="B70" s="2092"/>
      <c r="C70" s="2076"/>
      <c r="D70" s="2073"/>
      <c r="E70" s="2093"/>
      <c r="F70" s="2093"/>
      <c r="G70" s="2093"/>
      <c r="H70" s="2093"/>
      <c r="I70" s="2093"/>
      <c r="J70" s="2093"/>
      <c r="K70" s="2093"/>
      <c r="L70" s="2095"/>
      <c r="M70" s="2093"/>
      <c r="N70" s="2093"/>
    </row>
    <row r="71" spans="1:14" s="2075" customFormat="1" ht="15" x14ac:dyDescent="0.2">
      <c r="A71" s="2110"/>
      <c r="B71" s="2092"/>
      <c r="C71" s="2076"/>
      <c r="D71" s="2073"/>
      <c r="E71" s="2093"/>
      <c r="F71" s="2093"/>
      <c r="G71" s="2093"/>
      <c r="H71" s="2093"/>
      <c r="I71" s="2093"/>
      <c r="J71" s="2093"/>
      <c r="K71" s="2093"/>
      <c r="L71" s="2095"/>
      <c r="M71" s="2093"/>
      <c r="N71" s="2093"/>
    </row>
    <row r="72" spans="1:14" s="2075" customFormat="1" ht="15" x14ac:dyDescent="0.2">
      <c r="A72" s="2091" t="s">
        <v>2198</v>
      </c>
      <c r="B72" s="2092">
        <v>84.027000000000001</v>
      </c>
      <c r="C72" s="2073" t="s">
        <v>2199</v>
      </c>
      <c r="D72" s="2073"/>
      <c r="E72" s="2093">
        <f>16118-290</f>
        <v>15828</v>
      </c>
      <c r="F72" s="2093">
        <v>290</v>
      </c>
      <c r="G72" s="2093"/>
      <c r="H72" s="2093">
        <f>14752+290+477+599</f>
        <v>16118</v>
      </c>
      <c r="I72" s="2093"/>
      <c r="J72" s="2093"/>
      <c r="K72" s="2093"/>
      <c r="L72" s="2095"/>
      <c r="M72" s="2093">
        <f>K72+I72+H72</f>
        <v>16118</v>
      </c>
      <c r="N72" s="2093">
        <v>16118</v>
      </c>
    </row>
    <row r="73" spans="1:14" s="2075" customFormat="1" ht="15" hidden="1" x14ac:dyDescent="0.25">
      <c r="A73" s="2091" t="s">
        <v>2200</v>
      </c>
      <c r="B73" s="2092">
        <v>84.027000000000001</v>
      </c>
      <c r="C73" s="2073"/>
      <c r="D73" s="2073"/>
      <c r="E73" s="2087"/>
      <c r="F73" s="2111"/>
      <c r="G73" s="2093"/>
      <c r="H73" s="2087"/>
      <c r="I73" s="2087"/>
      <c r="J73" s="2093"/>
      <c r="K73" s="2093"/>
      <c r="L73" s="2095"/>
      <c r="M73" s="2087">
        <f>K73+I73+H73</f>
        <v>0</v>
      </c>
      <c r="N73" s="2093"/>
    </row>
    <row r="74" spans="1:14" s="2075" customFormat="1" ht="15" x14ac:dyDescent="0.25">
      <c r="A74" s="2091" t="s">
        <v>2198</v>
      </c>
      <c r="B74" s="2092">
        <v>84.027000000000001</v>
      </c>
      <c r="C74" s="2073" t="s">
        <v>2201</v>
      </c>
      <c r="D74" s="2073"/>
      <c r="E74" s="2105">
        <v>0</v>
      </c>
      <c r="F74" s="2105">
        <f>129279-290</f>
        <v>128989</v>
      </c>
      <c r="G74" s="2093"/>
      <c r="H74" s="2105">
        <v>0</v>
      </c>
      <c r="I74" s="2105">
        <v>147305</v>
      </c>
      <c r="J74" s="2093"/>
      <c r="K74" s="2105">
        <v>0</v>
      </c>
      <c r="L74" s="2095">
        <v>-3</v>
      </c>
      <c r="M74" s="2105">
        <f>K74+I74+H74</f>
        <v>147305</v>
      </c>
      <c r="N74" s="2093">
        <v>248191</v>
      </c>
    </row>
    <row r="75" spans="1:14" s="2075" customFormat="1" ht="10.5" customHeight="1" x14ac:dyDescent="0.25">
      <c r="A75" s="2062"/>
      <c r="B75" s="2092"/>
      <c r="C75" s="2073"/>
      <c r="D75" s="2073"/>
      <c r="E75" s="2105"/>
      <c r="F75" s="2105"/>
      <c r="G75" s="2093"/>
      <c r="H75" s="2105"/>
      <c r="I75" s="2105"/>
      <c r="J75" s="2093"/>
      <c r="K75" s="2093"/>
      <c r="L75" s="2095"/>
      <c r="M75" s="2105"/>
      <c r="N75" s="2093"/>
    </row>
    <row r="76" spans="1:14" s="2075" customFormat="1" ht="17.25" x14ac:dyDescent="0.2">
      <c r="A76" s="2107" t="s">
        <v>2202</v>
      </c>
      <c r="B76" s="2092"/>
      <c r="C76" s="2076"/>
      <c r="D76" s="2073"/>
      <c r="E76" s="2094">
        <f>SUM(E72:E74)</f>
        <v>15828</v>
      </c>
      <c r="F76" s="2094">
        <f>SUM(F72:F74)</f>
        <v>129279</v>
      </c>
      <c r="G76" s="2093"/>
      <c r="H76" s="2094">
        <f>SUM(H72:H74)</f>
        <v>16118</v>
      </c>
      <c r="I76" s="2094">
        <f>SUM(I72:I74)</f>
        <v>147305</v>
      </c>
      <c r="J76" s="2093"/>
      <c r="K76" s="2094">
        <f>SUM(K72:K74)</f>
        <v>0</v>
      </c>
      <c r="L76" s="2095"/>
      <c r="M76" s="2094">
        <f>SUM(M73:M75)</f>
        <v>147305</v>
      </c>
      <c r="N76" s="2093"/>
    </row>
    <row r="77" spans="1:14" s="2075" customFormat="1" ht="15" x14ac:dyDescent="0.2">
      <c r="A77" s="2062"/>
      <c r="B77" s="2092"/>
      <c r="C77" s="2076"/>
      <c r="D77" s="2073"/>
      <c r="E77" s="2093"/>
      <c r="F77" s="2093"/>
      <c r="G77" s="2093"/>
      <c r="H77" s="2093"/>
      <c r="I77" s="2093"/>
      <c r="J77" s="2093"/>
      <c r="K77" s="2093"/>
      <c r="L77" s="2095"/>
      <c r="M77" s="2093"/>
      <c r="N77" s="2093"/>
    </row>
    <row r="78" spans="1:14" s="2075" customFormat="1" ht="15" x14ac:dyDescent="0.2">
      <c r="A78" s="2082" t="s">
        <v>2174</v>
      </c>
      <c r="B78" s="2092"/>
      <c r="C78" s="2076"/>
      <c r="D78" s="2073"/>
      <c r="E78" s="2093"/>
      <c r="F78" s="2093"/>
      <c r="G78" s="2093"/>
      <c r="H78" s="2093"/>
      <c r="I78" s="2093"/>
      <c r="J78" s="2093"/>
      <c r="K78" s="2093"/>
      <c r="L78" s="2095"/>
      <c r="M78" s="2093"/>
      <c r="N78" s="2093"/>
    </row>
    <row r="79" spans="1:14" s="2075" customFormat="1" ht="15" x14ac:dyDescent="0.2">
      <c r="A79" s="2083" t="s">
        <v>2203</v>
      </c>
      <c r="B79" s="2092"/>
      <c r="C79" s="2076"/>
      <c r="D79" s="2073"/>
      <c r="E79" s="2093"/>
      <c r="F79" s="2093"/>
      <c r="G79" s="2093"/>
      <c r="H79" s="2093"/>
      <c r="I79" s="2093"/>
      <c r="J79" s="2093"/>
      <c r="K79" s="2093"/>
      <c r="L79" s="2095"/>
      <c r="M79" s="2093"/>
      <c r="N79" s="2093"/>
    </row>
    <row r="80" spans="1:14" s="2075" customFormat="1" ht="7.15" customHeight="1" x14ac:dyDescent="0.2">
      <c r="A80" s="2110"/>
      <c r="B80" s="2092"/>
      <c r="C80" s="2076"/>
      <c r="D80" s="2073"/>
      <c r="E80" s="2093"/>
      <c r="F80" s="2093"/>
      <c r="G80" s="2093"/>
      <c r="H80" s="2093"/>
      <c r="I80" s="2093"/>
      <c r="J80" s="2093"/>
      <c r="K80" s="2093"/>
      <c r="L80" s="2095"/>
      <c r="M80" s="2093"/>
      <c r="N80" s="2093"/>
    </row>
    <row r="81" spans="1:14" s="2075" customFormat="1" ht="15.6" customHeight="1" x14ac:dyDescent="0.25">
      <c r="A81" s="2091" t="s">
        <v>2204</v>
      </c>
      <c r="B81" s="2092" t="s">
        <v>2205</v>
      </c>
      <c r="C81" s="2076" t="s">
        <v>2206</v>
      </c>
      <c r="D81" s="2073"/>
      <c r="E81" s="2105">
        <v>0</v>
      </c>
      <c r="F81" s="2105">
        <v>32446</v>
      </c>
      <c r="G81" s="2093"/>
      <c r="H81" s="2105">
        <v>0</v>
      </c>
      <c r="I81" s="2105">
        <v>32446</v>
      </c>
      <c r="J81" s="2093"/>
      <c r="K81" s="2105">
        <v>0</v>
      </c>
      <c r="L81" s="2095"/>
      <c r="M81" s="2105">
        <f>K81+I81+H81</f>
        <v>32446</v>
      </c>
      <c r="N81" s="2093">
        <v>32446</v>
      </c>
    </row>
    <row r="82" spans="1:14" s="2075" customFormat="1" ht="15" x14ac:dyDescent="0.2">
      <c r="A82" s="2062"/>
      <c r="B82" s="2092"/>
      <c r="C82" s="2076"/>
      <c r="D82" s="2073"/>
      <c r="E82" s="2093"/>
      <c r="F82" s="2093"/>
      <c r="G82" s="2093"/>
      <c r="H82" s="2093"/>
      <c r="I82" s="2093"/>
      <c r="J82" s="2093"/>
      <c r="K82" s="2093"/>
      <c r="L82" s="2095"/>
      <c r="M82" s="2093"/>
      <c r="N82" s="2093"/>
    </row>
    <row r="83" spans="1:14" s="2075" customFormat="1" ht="17.25" x14ac:dyDescent="0.2">
      <c r="A83" s="2112" t="s">
        <v>2207</v>
      </c>
      <c r="B83" s="2092"/>
      <c r="C83" s="2076"/>
      <c r="D83" s="2073"/>
      <c r="E83" s="2094">
        <f>+E66+E76+E81</f>
        <v>119972</v>
      </c>
      <c r="F83" s="2094">
        <f>+F66+F76+F81</f>
        <v>367506</v>
      </c>
      <c r="G83" s="2093"/>
      <c r="H83" s="2094">
        <f>+H66+H76+H81</f>
        <v>154773</v>
      </c>
      <c r="I83" s="2094">
        <f>+I66+I76+I81</f>
        <v>370156</v>
      </c>
      <c r="J83" s="2093"/>
      <c r="K83" s="2094">
        <f>+K66+K76+K81</f>
        <v>0</v>
      </c>
      <c r="L83" s="2095"/>
      <c r="M83" s="2094">
        <f>+M66+M76+M81</f>
        <v>508811</v>
      </c>
      <c r="N83" s="2093"/>
    </row>
    <row r="84" spans="1:14" s="2075" customFormat="1" ht="15" x14ac:dyDescent="0.2">
      <c r="A84" s="2062"/>
      <c r="B84" s="2092"/>
      <c r="C84" s="2076"/>
      <c r="D84" s="2073"/>
      <c r="E84" s="2093"/>
      <c r="F84" s="2093"/>
      <c r="G84" s="2093"/>
      <c r="H84" s="2093"/>
      <c r="I84" s="2093"/>
      <c r="J84" s="2093"/>
      <c r="K84" s="2093"/>
      <c r="L84" s="2095"/>
      <c r="M84" s="2093"/>
      <c r="N84" s="2093"/>
    </row>
    <row r="85" spans="1:14" s="2075" customFormat="1" ht="15" x14ac:dyDescent="0.2">
      <c r="A85" s="2098" t="s">
        <v>2208</v>
      </c>
      <c r="B85" s="2092"/>
      <c r="C85" s="2076"/>
      <c r="D85" s="2073"/>
      <c r="E85" s="2093"/>
      <c r="F85" s="2093"/>
      <c r="G85" s="2093"/>
      <c r="H85" s="2093"/>
      <c r="I85" s="2093"/>
      <c r="J85" s="2093"/>
      <c r="K85" s="2093"/>
      <c r="L85" s="2095"/>
      <c r="M85" s="2093"/>
      <c r="N85" s="2093"/>
    </row>
    <row r="86" spans="1:14" s="2075" customFormat="1" ht="15" x14ac:dyDescent="0.2">
      <c r="A86" s="2083" t="s">
        <v>2151</v>
      </c>
      <c r="B86" s="2092"/>
      <c r="C86" s="2076"/>
      <c r="D86" s="2073"/>
      <c r="E86" s="2093"/>
      <c r="F86" s="2093"/>
      <c r="G86" s="2093"/>
      <c r="H86" s="2093"/>
      <c r="I86" s="2093"/>
      <c r="J86" s="2093"/>
      <c r="K86" s="2093"/>
      <c r="L86" s="2095"/>
      <c r="M86" s="2093"/>
      <c r="N86" s="2093"/>
    </row>
    <row r="87" spans="1:14" s="2075" customFormat="1" ht="15" x14ac:dyDescent="0.2">
      <c r="A87" s="2110" t="s">
        <v>2209</v>
      </c>
      <c r="B87" s="2092"/>
      <c r="C87" s="2076"/>
      <c r="D87" s="2073"/>
      <c r="E87" s="2093"/>
      <c r="F87" s="2093"/>
      <c r="G87" s="2093"/>
      <c r="H87" s="2093"/>
      <c r="I87" s="2093"/>
      <c r="J87" s="2093"/>
      <c r="K87" s="2093"/>
      <c r="L87" s="2095"/>
      <c r="M87" s="2093"/>
      <c r="N87" s="2093"/>
    </row>
    <row r="88" spans="1:14" s="2075" customFormat="1" ht="15" x14ac:dyDescent="0.2">
      <c r="A88" s="2110"/>
      <c r="B88" s="2092"/>
      <c r="C88" s="2076"/>
      <c r="D88" s="2073"/>
      <c r="E88" s="2093"/>
      <c r="F88" s="2093"/>
      <c r="G88" s="2093"/>
      <c r="H88" s="2093"/>
      <c r="I88" s="2093"/>
      <c r="J88" s="2093"/>
      <c r="K88" s="2093"/>
      <c r="L88" s="2095"/>
      <c r="M88" s="2093"/>
      <c r="N88" s="2093"/>
    </row>
    <row r="89" spans="1:14" s="2075" customFormat="1" ht="15" x14ac:dyDescent="0.2">
      <c r="A89" s="2091" t="s">
        <v>2210</v>
      </c>
      <c r="B89" s="2092">
        <v>93.6</v>
      </c>
      <c r="C89" s="2073" t="s">
        <v>2211</v>
      </c>
      <c r="D89" s="2073"/>
      <c r="E89" s="2093">
        <f>179582-57692</f>
        <v>121890</v>
      </c>
      <c r="F89" s="2093">
        <f>28005+18269+11418</f>
        <v>57692</v>
      </c>
      <c r="G89" s="2113"/>
      <c r="H89" s="2093">
        <f>173483+6099</f>
        <v>179582</v>
      </c>
      <c r="I89" s="2093"/>
      <c r="J89" s="2093"/>
      <c r="K89" s="2093"/>
      <c r="L89" s="2095"/>
      <c r="M89" s="2093">
        <f>H89+K89+I89</f>
        <v>179582</v>
      </c>
      <c r="N89" s="2093">
        <f>173666+7037</f>
        <v>180703</v>
      </c>
    </row>
    <row r="90" spans="1:14" s="2075" customFormat="1" ht="15" x14ac:dyDescent="0.2">
      <c r="A90" s="2091" t="s">
        <v>2210</v>
      </c>
      <c r="B90" s="2092">
        <v>93.6</v>
      </c>
      <c r="C90" s="2073" t="s">
        <v>2212</v>
      </c>
      <c r="D90" s="2073"/>
      <c r="E90" s="2093"/>
      <c r="F90" s="2093">
        <f>346797-57692</f>
        <v>289105</v>
      </c>
      <c r="G90" s="2093"/>
      <c r="H90" s="2093"/>
      <c r="I90" s="2093">
        <v>346366</v>
      </c>
      <c r="J90" s="2093"/>
      <c r="K90" s="2093"/>
      <c r="L90" s="2095"/>
      <c r="M90" s="2093">
        <f>H90+K90+I90</f>
        <v>346366</v>
      </c>
      <c r="N90" s="2093">
        <f>263643+74521+8978</f>
        <v>347142</v>
      </c>
    </row>
    <row r="91" spans="1:14" s="2075" customFormat="1" ht="15" x14ac:dyDescent="0.2">
      <c r="A91" s="2098"/>
      <c r="B91" s="2092"/>
      <c r="C91" s="2076"/>
      <c r="D91" s="2073"/>
      <c r="E91" s="2093"/>
      <c r="F91" s="2093"/>
      <c r="G91" s="2093"/>
      <c r="H91" s="2093"/>
      <c r="I91" s="2093"/>
      <c r="J91" s="2093"/>
      <c r="K91" s="2093"/>
      <c r="L91" s="2095"/>
      <c r="M91" s="2093"/>
      <c r="N91" s="2093"/>
    </row>
    <row r="92" spans="1:14" s="2075" customFormat="1" ht="15" x14ac:dyDescent="0.2">
      <c r="A92" s="2110" t="s">
        <v>2151</v>
      </c>
      <c r="B92" s="2092"/>
      <c r="C92" s="2076"/>
      <c r="D92" s="2073"/>
      <c r="E92" s="2093"/>
      <c r="F92" s="2093"/>
      <c r="G92" s="2093"/>
      <c r="H92" s="2093"/>
      <c r="I92" s="2093"/>
      <c r="J92" s="2093"/>
      <c r="K92" s="2093"/>
      <c r="L92" s="2095"/>
      <c r="M92" s="2093"/>
      <c r="N92" s="2093"/>
    </row>
    <row r="93" spans="1:14" s="2075" customFormat="1" ht="15" x14ac:dyDescent="0.2">
      <c r="A93" s="2110" t="s">
        <v>2213</v>
      </c>
      <c r="B93" s="2092"/>
      <c r="C93" s="2076"/>
      <c r="D93" s="2073"/>
      <c r="E93" s="2093"/>
      <c r="F93" s="2093"/>
      <c r="G93" s="2093"/>
      <c r="H93" s="2093"/>
      <c r="I93" s="2093"/>
      <c r="J93" s="2093"/>
      <c r="K93" s="2093"/>
      <c r="L93" s="2095"/>
      <c r="M93" s="2093"/>
      <c r="N93" s="2093"/>
    </row>
    <row r="94" spans="1:14" s="2075" customFormat="1" ht="15" x14ac:dyDescent="0.2">
      <c r="A94" s="2110"/>
      <c r="B94" s="2092"/>
      <c r="C94" s="2076"/>
      <c r="D94" s="2073"/>
      <c r="E94" s="2093"/>
      <c r="F94" s="2093"/>
      <c r="G94" s="2093"/>
      <c r="H94" s="2093"/>
      <c r="I94" s="2093"/>
      <c r="J94" s="2093"/>
      <c r="K94" s="2093"/>
      <c r="L94" s="2095"/>
      <c r="M94" s="2093"/>
      <c r="N94" s="2093"/>
    </row>
    <row r="95" spans="1:14" s="2075" customFormat="1" ht="17.25" x14ac:dyDescent="0.25">
      <c r="A95" s="2091" t="s">
        <v>2214</v>
      </c>
      <c r="B95" s="2092">
        <v>93.778000000000006</v>
      </c>
      <c r="C95" s="2073" t="s">
        <v>2215</v>
      </c>
      <c r="D95" s="2073"/>
      <c r="E95" s="2093">
        <v>7195</v>
      </c>
      <c r="F95" s="2093">
        <v>2058</v>
      </c>
      <c r="G95" s="2093"/>
      <c r="H95" s="2093">
        <v>9639</v>
      </c>
      <c r="I95" s="2109"/>
      <c r="J95" s="2094"/>
      <c r="K95" s="2093"/>
      <c r="L95" s="2095"/>
      <c r="M95" s="2093">
        <f>H95+K95+I95</f>
        <v>9639</v>
      </c>
      <c r="N95" s="2088" t="s">
        <v>2154</v>
      </c>
    </row>
    <row r="96" spans="1:14" s="2075" customFormat="1" ht="16.5" customHeight="1" x14ac:dyDescent="0.25">
      <c r="A96" s="2091" t="s">
        <v>2214</v>
      </c>
      <c r="B96" s="2092">
        <v>93.778000000000006</v>
      </c>
      <c r="C96" s="2073" t="s">
        <v>2216</v>
      </c>
      <c r="D96" s="2073"/>
      <c r="E96" s="2093"/>
      <c r="F96" s="2093">
        <v>5505</v>
      </c>
      <c r="G96" s="2093"/>
      <c r="H96" s="2093"/>
      <c r="I96" s="2093">
        <v>9047</v>
      </c>
      <c r="J96" s="2109"/>
      <c r="K96" s="2094"/>
      <c r="L96" s="2095"/>
      <c r="M96" s="2093">
        <f>H96+K96+I96</f>
        <v>9047</v>
      </c>
      <c r="N96" s="2088" t="s">
        <v>2154</v>
      </c>
    </row>
    <row r="97" spans="1:14" s="2075" customFormat="1" ht="6.75" customHeight="1" x14ac:dyDescent="0.4">
      <c r="A97" s="2091"/>
      <c r="B97" s="2092"/>
      <c r="C97" s="2073"/>
      <c r="D97" s="2073"/>
      <c r="E97" s="2097">
        <v>0</v>
      </c>
      <c r="F97" s="2097">
        <v>0</v>
      </c>
      <c r="G97" s="2097"/>
      <c r="H97" s="2097">
        <v>0</v>
      </c>
      <c r="I97" s="2097">
        <v>0</v>
      </c>
      <c r="J97" s="2114"/>
      <c r="K97" s="2097">
        <v>0</v>
      </c>
      <c r="L97" s="2088"/>
      <c r="M97" s="2097">
        <f>H97+K97+I97</f>
        <v>0</v>
      </c>
      <c r="N97" s="2088"/>
    </row>
    <row r="98" spans="1:14" s="2075" customFormat="1" ht="17.25" x14ac:dyDescent="0.2">
      <c r="A98" s="2098" t="s">
        <v>2217</v>
      </c>
      <c r="B98" s="2092"/>
      <c r="C98" s="2062"/>
      <c r="D98" s="2073"/>
      <c r="E98" s="2094">
        <f>SUM(E87:E97)</f>
        <v>129085</v>
      </c>
      <c r="F98" s="2094">
        <f>SUM(F87:F97)</f>
        <v>354360</v>
      </c>
      <c r="G98" s="2094"/>
      <c r="H98" s="2094">
        <f>SUM(H87:H97)</f>
        <v>189221</v>
      </c>
      <c r="I98" s="2094">
        <f>SUM(I87:I97)</f>
        <v>355413</v>
      </c>
      <c r="J98" s="2094"/>
      <c r="K98" s="2094">
        <f>SUM(K87:K97)</f>
        <v>0</v>
      </c>
      <c r="L98" s="2094"/>
      <c r="M98" s="2094">
        <f>SUM(M87:M97)</f>
        <v>544634</v>
      </c>
      <c r="N98" s="2093"/>
    </row>
    <row r="99" spans="1:14" s="2075" customFormat="1" ht="15" x14ac:dyDescent="0.25">
      <c r="A99" s="2079"/>
      <c r="B99" s="2079"/>
      <c r="C99" s="2079"/>
      <c r="D99" s="2081"/>
      <c r="E99" s="2087"/>
      <c r="F99" s="2087"/>
      <c r="G99" s="2087"/>
      <c r="H99" s="2087"/>
      <c r="I99" s="2087"/>
      <c r="J99" s="2087"/>
      <c r="K99" s="2087"/>
      <c r="L99" s="2088"/>
      <c r="M99" s="2087"/>
      <c r="N99" s="2087"/>
    </row>
    <row r="100" spans="1:14" s="2075" customFormat="1" ht="17.25" x14ac:dyDescent="0.2">
      <c r="A100" s="2098" t="s">
        <v>2218</v>
      </c>
      <c r="B100" s="2062"/>
      <c r="C100" s="2062"/>
      <c r="D100" s="2073"/>
      <c r="E100" s="2115">
        <f>+E98+E40+E83</f>
        <v>316160</v>
      </c>
      <c r="F100" s="2115">
        <f>+F98+F40+F83</f>
        <v>855569</v>
      </c>
      <c r="G100" s="2115"/>
      <c r="H100" s="2115">
        <f>+H98+H40+H83</f>
        <v>429017</v>
      </c>
      <c r="I100" s="2115">
        <f>+I98+I40+I83</f>
        <v>878061</v>
      </c>
      <c r="J100" s="2115"/>
      <c r="K100" s="2115">
        <f>+K98+K40+K83</f>
        <v>0</v>
      </c>
      <c r="L100" s="2115"/>
      <c r="M100" s="2115">
        <f>+M98+M40+M83</f>
        <v>1290960</v>
      </c>
      <c r="N100" s="2093"/>
    </row>
    <row r="101" spans="1:14" s="2062" customFormat="1" ht="17.25" hidden="1" x14ac:dyDescent="0.4">
      <c r="A101" s="2079"/>
      <c r="B101" s="2079"/>
      <c r="C101" s="2079"/>
      <c r="D101" s="2081"/>
      <c r="E101" s="2116"/>
      <c r="F101" s="2116"/>
      <c r="G101" s="2116"/>
      <c r="H101" s="2116"/>
      <c r="I101" s="2116"/>
      <c r="J101" s="2116"/>
      <c r="K101" s="2116"/>
      <c r="L101" s="2116"/>
      <c r="M101" s="2116"/>
      <c r="N101" s="2087"/>
    </row>
    <row r="102" spans="1:14" s="2075" customFormat="1" ht="17.25" x14ac:dyDescent="0.4">
      <c r="A102" s="2079"/>
      <c r="B102" s="2079"/>
      <c r="C102" s="2079"/>
      <c r="D102" s="2081"/>
      <c r="E102" s="2116"/>
      <c r="F102" s="2116"/>
      <c r="G102" s="2116"/>
      <c r="H102" s="2116"/>
      <c r="I102" s="2116"/>
      <c r="J102" s="2116"/>
      <c r="K102" s="2116"/>
      <c r="L102" s="2116"/>
      <c r="M102" s="2116"/>
      <c r="N102" s="2087"/>
    </row>
    <row r="103" spans="1:14" s="2075" customFormat="1" ht="17.25" hidden="1" x14ac:dyDescent="0.4">
      <c r="A103" s="2079"/>
      <c r="B103" s="2079"/>
      <c r="C103" s="2079"/>
      <c r="D103" s="2081"/>
      <c r="E103" s="2116"/>
      <c r="F103" s="2116"/>
      <c r="G103" s="2116"/>
      <c r="H103" s="2116"/>
      <c r="I103" s="2116"/>
      <c r="J103" s="2116"/>
      <c r="K103" s="2116"/>
      <c r="L103" s="2116"/>
      <c r="M103" s="2116"/>
      <c r="N103" s="2087"/>
    </row>
    <row r="104" spans="1:14" s="2075" customFormat="1" ht="15" x14ac:dyDescent="0.25">
      <c r="A104" s="2082" t="s">
        <v>2219</v>
      </c>
      <c r="B104" s="2079"/>
      <c r="C104" s="2079"/>
      <c r="D104" s="2081"/>
      <c r="E104" s="2087">
        <f>+E40+E66</f>
        <v>171247</v>
      </c>
      <c r="F104" s="2087">
        <f>+F40+F66</f>
        <v>339484</v>
      </c>
      <c r="G104" s="2087"/>
      <c r="H104" s="2087">
        <f>+H40+H66</f>
        <v>223678</v>
      </c>
      <c r="I104" s="2087">
        <f>+I40+I66</f>
        <v>342897</v>
      </c>
      <c r="J104" s="2087"/>
      <c r="K104" s="2087">
        <f>+K40+K66</f>
        <v>0</v>
      </c>
      <c r="L104" s="2087"/>
      <c r="M104" s="2087">
        <f>+M40+M66</f>
        <v>566575</v>
      </c>
      <c r="N104" s="2087"/>
    </row>
    <row r="105" spans="1:14" s="2075" customFormat="1" ht="15" x14ac:dyDescent="0.25">
      <c r="A105" s="2082"/>
      <c r="B105" s="2079"/>
      <c r="C105" s="2079"/>
      <c r="D105" s="2081"/>
      <c r="E105" s="2087"/>
      <c r="F105" s="2087"/>
      <c r="G105" s="2087"/>
      <c r="H105" s="2087"/>
      <c r="I105" s="2087"/>
      <c r="J105" s="2087"/>
      <c r="K105" s="2087"/>
      <c r="L105" s="2087"/>
      <c r="M105" s="2087"/>
      <c r="N105" s="2087"/>
    </row>
    <row r="106" spans="1:14" s="2075" customFormat="1" ht="17.25" x14ac:dyDescent="0.4">
      <c r="A106" s="2082" t="s">
        <v>2220</v>
      </c>
      <c r="B106" s="2079"/>
      <c r="C106" s="2079"/>
      <c r="D106" s="2081"/>
      <c r="E106" s="2097">
        <f>+E98+E81+E76</f>
        <v>144913</v>
      </c>
      <c r="F106" s="2097">
        <f>+F98+F81+F76</f>
        <v>516085</v>
      </c>
      <c r="G106" s="2097"/>
      <c r="H106" s="2097">
        <f>+H98+H81+H76</f>
        <v>205339</v>
      </c>
      <c r="I106" s="2097">
        <f>+I98+I81+I76</f>
        <v>535164</v>
      </c>
      <c r="J106" s="2097"/>
      <c r="K106" s="2097">
        <f>+K98+K81+K76</f>
        <v>0</v>
      </c>
      <c r="L106" s="2097"/>
      <c r="M106" s="2097">
        <f>+M98+M81+M76</f>
        <v>724385</v>
      </c>
      <c r="N106" s="2087"/>
    </row>
    <row r="107" spans="1:14" s="2075" customFormat="1" ht="17.25" x14ac:dyDescent="0.4">
      <c r="A107" s="2082"/>
      <c r="B107" s="2079"/>
      <c r="C107" s="2079"/>
      <c r="D107" s="2081"/>
      <c r="E107" s="2097"/>
      <c r="F107" s="2097"/>
      <c r="G107" s="2097"/>
      <c r="H107" s="2097"/>
      <c r="I107" s="2097"/>
      <c r="J107" s="2097"/>
      <c r="K107" s="2097"/>
      <c r="L107" s="2097"/>
      <c r="M107" s="2097"/>
      <c r="N107" s="2087"/>
    </row>
    <row r="108" spans="1:14" s="2075" customFormat="1" ht="17.25" x14ac:dyDescent="0.2">
      <c r="A108" s="2098" t="s">
        <v>2218</v>
      </c>
      <c r="B108" s="2062"/>
      <c r="C108" s="2062"/>
      <c r="D108" s="2073"/>
      <c r="E108" s="2115">
        <f>E104+E106</f>
        <v>316160</v>
      </c>
      <c r="F108" s="2115">
        <f>F104+F106</f>
        <v>855569</v>
      </c>
      <c r="G108" s="2115"/>
      <c r="H108" s="2115">
        <f>H104+H106</f>
        <v>429017</v>
      </c>
      <c r="I108" s="2115">
        <f>I104+I106</f>
        <v>878061</v>
      </c>
      <c r="J108" s="2115"/>
      <c r="K108" s="2115">
        <f>K104+K106</f>
        <v>0</v>
      </c>
      <c r="L108" s="2115"/>
      <c r="M108" s="2115">
        <f>M104+M106</f>
        <v>1290960</v>
      </c>
      <c r="N108" s="2093"/>
    </row>
    <row r="109" spans="1:14" s="2075" customFormat="1" ht="17.25" x14ac:dyDescent="0.4">
      <c r="A109" s="2082"/>
      <c r="B109" s="2079"/>
      <c r="C109" s="2079"/>
      <c r="D109" s="2081"/>
      <c r="E109" s="2116"/>
      <c r="F109" s="2116"/>
      <c r="G109" s="2116"/>
      <c r="H109" s="2116"/>
      <c r="I109" s="2116"/>
      <c r="J109" s="2116"/>
      <c r="K109" s="2116"/>
      <c r="L109" s="2116"/>
      <c r="M109" s="2116"/>
      <c r="N109" s="2087"/>
    </row>
    <row r="110" spans="1:14" s="2075" customFormat="1" ht="15" x14ac:dyDescent="0.2">
      <c r="A110" s="2062" t="s">
        <v>2221</v>
      </c>
      <c r="B110" s="2117"/>
      <c r="C110" s="2062"/>
      <c r="D110" s="2073"/>
      <c r="E110" s="2093"/>
      <c r="F110" s="2093" t="s">
        <v>1159</v>
      </c>
      <c r="G110" s="2093"/>
      <c r="H110" s="2093"/>
      <c r="I110" s="2093"/>
      <c r="J110" s="2093"/>
      <c r="K110" s="2093"/>
      <c r="L110" s="2095"/>
      <c r="M110" s="2093"/>
      <c r="N110" s="2093"/>
    </row>
    <row r="111" spans="1:14" s="2075" customFormat="1" ht="15" x14ac:dyDescent="0.2">
      <c r="A111" s="2062" t="s">
        <v>2222</v>
      </c>
      <c r="B111" s="2062"/>
      <c r="C111" s="2062"/>
      <c r="D111" s="2073"/>
      <c r="E111" s="2093"/>
      <c r="F111" s="2093"/>
      <c r="G111" s="2093"/>
      <c r="H111" s="2093"/>
      <c r="I111" s="2093"/>
      <c r="J111" s="2093"/>
      <c r="K111" s="2093"/>
      <c r="L111" s="2095"/>
      <c r="M111" s="2093"/>
      <c r="N111" s="2093"/>
    </row>
    <row r="112" spans="1:14" s="2075" customFormat="1" ht="15" x14ac:dyDescent="0.2">
      <c r="A112" s="2062" t="s">
        <v>2223</v>
      </c>
      <c r="D112" s="2104"/>
      <c r="E112" s="2118"/>
      <c r="F112" s="2118"/>
      <c r="G112" s="2118"/>
      <c r="H112" s="2118" t="s">
        <v>1159</v>
      </c>
      <c r="I112" s="2118" t="s">
        <v>1159</v>
      </c>
      <c r="J112" s="2119"/>
      <c r="K112" s="2118" t="s">
        <v>1159</v>
      </c>
      <c r="L112" s="2120"/>
      <c r="M112" s="2118" t="s">
        <v>1159</v>
      </c>
      <c r="N112" s="2118"/>
    </row>
    <row r="113" spans="1:14" s="2075" customFormat="1" ht="15" x14ac:dyDescent="0.2">
      <c r="A113" s="2062" t="s">
        <v>2224</v>
      </c>
      <c r="B113" s="2121"/>
      <c r="D113" s="2104"/>
      <c r="E113" s="2119"/>
      <c r="F113" s="2119"/>
      <c r="G113" s="2119"/>
      <c r="H113" s="2119"/>
      <c r="I113" s="2119"/>
      <c r="J113" s="2119"/>
      <c r="K113" s="2119"/>
      <c r="L113" s="2120"/>
      <c r="M113" s="2119"/>
      <c r="N113" s="2119"/>
    </row>
    <row r="114" spans="1:14" s="2075" customFormat="1" ht="15" x14ac:dyDescent="0.2">
      <c r="A114" s="2062"/>
      <c r="B114" s="2121"/>
      <c r="D114" s="2104"/>
      <c r="E114" s="2119"/>
      <c r="F114" s="2119"/>
      <c r="G114" s="2119"/>
      <c r="H114" s="2119"/>
      <c r="I114" s="2119"/>
      <c r="J114" s="2119"/>
      <c r="K114" s="2119"/>
      <c r="L114" s="2120"/>
      <c r="M114" s="2119"/>
      <c r="N114" s="2119"/>
    </row>
    <row r="115" spans="1:14" s="2075" customFormat="1" ht="15" x14ac:dyDescent="0.2">
      <c r="A115" s="2062"/>
      <c r="B115" s="2121"/>
      <c r="D115" s="2104"/>
      <c r="E115" s="2119"/>
      <c r="F115" s="2119"/>
      <c r="G115" s="2119"/>
      <c r="H115" s="2119"/>
      <c r="I115" s="2119"/>
      <c r="J115" s="2119"/>
      <c r="K115" s="2119"/>
      <c r="L115" s="2120"/>
      <c r="M115" s="2119"/>
      <c r="N115" s="2119"/>
    </row>
    <row r="116" spans="1:14" s="2075" customFormat="1" ht="15" x14ac:dyDescent="0.2">
      <c r="A116" s="2072"/>
      <c r="B116" s="2121"/>
      <c r="D116" s="2104"/>
      <c r="E116" s="2119"/>
      <c r="F116" s="2119"/>
      <c r="G116" s="2119"/>
      <c r="H116" s="2119"/>
      <c r="I116" s="2119"/>
      <c r="J116" s="2119"/>
      <c r="K116" s="2119"/>
      <c r="L116" s="2120"/>
      <c r="M116" s="2119"/>
      <c r="N116" s="2119"/>
    </row>
    <row r="117" spans="1:14" ht="12.75" x14ac:dyDescent="0.2">
      <c r="A117" s="2066"/>
      <c r="B117" s="2122"/>
      <c r="E117" s="2124"/>
      <c r="F117" s="2124"/>
      <c r="G117" s="2124"/>
      <c r="H117" s="2124"/>
      <c r="I117" s="2124"/>
      <c r="J117" s="2124"/>
      <c r="K117" s="2124"/>
      <c r="L117" s="2125"/>
      <c r="M117" s="2124"/>
      <c r="N117" s="2124"/>
    </row>
    <row r="118" spans="1:14" s="2128" customFormat="1" ht="13.5" customHeight="1" x14ac:dyDescent="0.2">
      <c r="A118" s="2126" t="s">
        <v>2225</v>
      </c>
      <c r="B118" s="2127"/>
      <c r="C118" s="2127"/>
      <c r="D118" s="2127"/>
      <c r="E118" s="2127"/>
      <c r="F118" s="2127"/>
      <c r="G118" s="2127"/>
      <c r="H118" s="2127"/>
      <c r="I118" s="2127"/>
    </row>
    <row r="119" spans="1:14" s="2128" customFormat="1" ht="13.5" customHeight="1" x14ac:dyDescent="0.2">
      <c r="A119" s="2129" t="s">
        <v>2226</v>
      </c>
      <c r="B119" s="2130"/>
      <c r="C119" s="2130"/>
      <c r="D119" s="2130"/>
      <c r="E119" s="2130"/>
      <c r="F119" s="2130"/>
      <c r="G119" s="2130"/>
      <c r="H119" s="2130"/>
      <c r="I119" s="2130"/>
    </row>
    <row r="120" spans="1:14" s="2128" customFormat="1" ht="13.5" customHeight="1" x14ac:dyDescent="0.2">
      <c r="A120" s="2126" t="s">
        <v>2227</v>
      </c>
      <c r="B120" s="2127"/>
      <c r="C120" s="2127"/>
      <c r="D120" s="2127"/>
      <c r="E120" s="2127"/>
      <c r="F120" s="2127"/>
      <c r="G120" s="2127"/>
      <c r="H120" s="2127"/>
      <c r="I120" s="2127"/>
    </row>
    <row r="121" spans="1:14" s="2128" customFormat="1" ht="13.5" customHeight="1" x14ac:dyDescent="0.2">
      <c r="A121" s="2129" t="s">
        <v>2228</v>
      </c>
      <c r="B121" s="2131"/>
      <c r="C121" s="2131"/>
      <c r="D121" s="2131"/>
      <c r="E121" s="2131"/>
      <c r="F121" s="2131"/>
      <c r="G121" s="2131"/>
      <c r="H121" s="2131"/>
      <c r="I121" s="2131"/>
    </row>
    <row r="122" spans="1:14" s="2128" customFormat="1" ht="13.5" customHeight="1" x14ac:dyDescent="0.2">
      <c r="A122" s="2126" t="s">
        <v>2229</v>
      </c>
      <c r="B122" s="2132"/>
      <c r="C122" s="2133"/>
      <c r="D122" s="2133"/>
      <c r="E122" s="2133"/>
      <c r="F122" s="2133"/>
      <c r="G122" s="2133"/>
    </row>
    <row r="123" spans="1:14" s="2128" customFormat="1" ht="13.5" customHeight="1" x14ac:dyDescent="0.2">
      <c r="A123" s="2126" t="s">
        <v>2230</v>
      </c>
      <c r="B123" s="2132"/>
      <c r="C123" s="2133"/>
      <c r="D123" s="2133"/>
      <c r="E123" s="2133"/>
      <c r="F123" s="2133"/>
      <c r="G123" s="2133"/>
    </row>
    <row r="124" spans="1:14" s="2128" customFormat="1" ht="13.5" customHeight="1" x14ac:dyDescent="0.2">
      <c r="A124" s="2133" t="s">
        <v>2231</v>
      </c>
      <c r="B124" s="2134"/>
    </row>
    <row r="125" spans="1:14" s="2128" customFormat="1" ht="13.5" customHeight="1" x14ac:dyDescent="0.2">
      <c r="A125" s="2133" t="s">
        <v>2232</v>
      </c>
      <c r="B125" s="2134"/>
      <c r="N125" s="2135"/>
    </row>
    <row r="126" spans="1:14" s="2128" customFormat="1" ht="13.5" customHeight="1" x14ac:dyDescent="0.2">
      <c r="A126" s="2133" t="s">
        <v>2233</v>
      </c>
      <c r="B126" s="2134"/>
    </row>
    <row r="127" spans="1:14" s="2138" customFormat="1" ht="13.5" customHeight="1" x14ac:dyDescent="0.15">
      <c r="A127" s="2136"/>
      <c r="B127" s="2137"/>
      <c r="D127" s="2139"/>
      <c r="E127" s="2139"/>
      <c r="F127" s="2139"/>
      <c r="G127" s="2139"/>
    </row>
  </sheetData>
  <mergeCells count="6">
    <mergeCell ref="A4:N4"/>
    <mergeCell ref="E7:F7"/>
    <mergeCell ref="H7:I7"/>
    <mergeCell ref="A1:N1"/>
    <mergeCell ref="A2:N2"/>
    <mergeCell ref="A3:N3"/>
  </mergeCells>
  <printOptions horizontalCentered="1" gridLinesSet="0"/>
  <pageMargins left="0.25" right="0.25" top="0.5" bottom="0" header="0.5" footer="0.15"/>
  <pageSetup scale="73" fitToWidth="2" fitToHeight="3" orientation="landscape" r:id="rId1"/>
  <headerFooter alignWithMargins="0">
    <oddFooter>&amp;L&amp;"Garamond,Regular"See the accompanying Notes to Schedule of Expenditures of Federal Awards.</oddFooter>
  </headerFooter>
  <rowBreaks count="3" manualBreakCount="3">
    <brk id="41" max="19" man="1"/>
    <brk id="77" max="19" man="1"/>
    <brk id="114"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57" t="s">
        <v>1158</v>
      </c>
      <c r="B2" s="2257"/>
      <c r="C2" s="2257"/>
      <c r="D2" s="2257"/>
      <c r="E2" s="2257"/>
      <c r="F2" s="2257"/>
      <c r="G2" s="2257"/>
      <c r="H2" s="2257"/>
      <c r="I2" s="2257"/>
      <c r="J2" s="2257"/>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71" t="s">
        <v>1615</v>
      </c>
      <c r="B35" s="2272"/>
      <c r="C35" s="2272"/>
      <c r="D35" s="2272"/>
      <c r="E35" s="2273"/>
      <c r="F35" s="2273"/>
      <c r="G35" s="2273"/>
      <c r="H35" s="2273"/>
      <c r="I35" s="22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71" t="s">
        <v>310</v>
      </c>
      <c r="B47" s="2274"/>
      <c r="C47" s="2274"/>
      <c r="D47" s="2274"/>
      <c r="E47" s="2275"/>
      <c r="F47" s="2275"/>
      <c r="G47" s="2275"/>
      <c r="H47" s="2275"/>
      <c r="I47" s="22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2087</v>
      </c>
      <c r="C50" s="222">
        <v>20</v>
      </c>
      <c r="D50" s="238" t="s">
        <v>1621</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78"/>
      <c r="C57" s="2279"/>
      <c r="D57" s="2279"/>
      <c r="E57" s="2279"/>
      <c r="F57" s="2279"/>
      <c r="G57" s="2279"/>
      <c r="H57" s="2279"/>
      <c r="I57" s="2279"/>
      <c r="J57" s="2280"/>
    </row>
    <row r="58" spans="1:10" s="176" customFormat="1" x14ac:dyDescent="0.2">
      <c r="A58" s="248"/>
      <c r="B58" s="2281"/>
      <c r="C58" s="2282"/>
      <c r="D58" s="2282"/>
      <c r="E58" s="2282"/>
      <c r="F58" s="2282"/>
      <c r="G58" s="2282"/>
      <c r="H58" s="2282"/>
      <c r="I58" s="2282"/>
      <c r="J58" s="2283"/>
    </row>
    <row r="59" spans="1:10" s="176" customFormat="1" x14ac:dyDescent="0.2">
      <c r="A59" s="248"/>
      <c r="B59" s="2281"/>
      <c r="C59" s="2282"/>
      <c r="D59" s="2282"/>
      <c r="E59" s="2282"/>
      <c r="F59" s="2282"/>
      <c r="G59" s="2282"/>
      <c r="H59" s="2282"/>
      <c r="I59" s="2282"/>
      <c r="J59" s="2283"/>
    </row>
    <row r="60" spans="1:10" s="176" customFormat="1" x14ac:dyDescent="0.2">
      <c r="A60" s="248"/>
      <c r="B60" s="2281"/>
      <c r="C60" s="2282"/>
      <c r="D60" s="2282"/>
      <c r="E60" s="2282"/>
      <c r="F60" s="2282"/>
      <c r="G60" s="2282"/>
      <c r="H60" s="2282"/>
      <c r="I60" s="2282"/>
      <c r="J60" s="2283"/>
    </row>
    <row r="61" spans="1:10" s="176" customFormat="1" x14ac:dyDescent="0.2">
      <c r="A61" s="248"/>
      <c r="B61" s="2281"/>
      <c r="C61" s="2282"/>
      <c r="D61" s="2282"/>
      <c r="E61" s="2282"/>
      <c r="F61" s="2282"/>
      <c r="G61" s="2282"/>
      <c r="H61" s="2282"/>
      <c r="I61" s="2282"/>
      <c r="J61" s="2283"/>
    </row>
    <row r="62" spans="1:10" s="176" customFormat="1" x14ac:dyDescent="0.2">
      <c r="A62" s="248"/>
      <c r="B62" s="2281"/>
      <c r="C62" s="2282"/>
      <c r="D62" s="2282"/>
      <c r="E62" s="2282"/>
      <c r="F62" s="2282"/>
      <c r="G62" s="2282"/>
      <c r="H62" s="2282"/>
      <c r="I62" s="2282"/>
      <c r="J62" s="2283"/>
    </row>
    <row r="63" spans="1:10" s="176" customFormat="1" x14ac:dyDescent="0.2">
      <c r="A63" s="248"/>
      <c r="B63" s="2281"/>
      <c r="C63" s="2282"/>
      <c r="D63" s="2282"/>
      <c r="E63" s="2282"/>
      <c r="F63" s="2282"/>
      <c r="G63" s="2282"/>
      <c r="H63" s="2282"/>
      <c r="I63" s="2282"/>
      <c r="J63" s="2283"/>
    </row>
    <row r="64" spans="1:10" s="176" customFormat="1" x14ac:dyDescent="0.2">
      <c r="A64" s="248"/>
      <c r="B64" s="2281"/>
      <c r="C64" s="2282"/>
      <c r="D64" s="2282"/>
      <c r="E64" s="2282"/>
      <c r="F64" s="2282"/>
      <c r="G64" s="2282"/>
      <c r="H64" s="2282"/>
      <c r="I64" s="2282"/>
      <c r="J64" s="2283"/>
    </row>
    <row r="65" spans="1:11" s="176" customFormat="1" x14ac:dyDescent="0.2">
      <c r="A65" s="248"/>
      <c r="B65" s="2281"/>
      <c r="C65" s="2282"/>
      <c r="D65" s="2282"/>
      <c r="E65" s="2282"/>
      <c r="F65" s="2282"/>
      <c r="G65" s="2282"/>
      <c r="H65" s="2282"/>
      <c r="I65" s="2282"/>
      <c r="J65" s="2283"/>
    </row>
    <row r="66" spans="1:11" s="176" customFormat="1" x14ac:dyDescent="0.2">
      <c r="A66" s="248"/>
      <c r="B66" s="2281"/>
      <c r="C66" s="2282"/>
      <c r="D66" s="2282"/>
      <c r="E66" s="2282"/>
      <c r="F66" s="2282"/>
      <c r="G66" s="2282"/>
      <c r="H66" s="2282"/>
      <c r="I66" s="2282"/>
      <c r="J66" s="2283"/>
    </row>
    <row r="67" spans="1:11" s="176" customFormat="1" ht="9" customHeight="1" x14ac:dyDescent="0.2">
      <c r="A67" s="249"/>
      <c r="B67" s="2284"/>
      <c r="C67" s="2285"/>
      <c r="D67" s="2285"/>
      <c r="E67" s="2285"/>
      <c r="F67" s="2285"/>
      <c r="G67" s="2285"/>
      <c r="H67" s="2285"/>
      <c r="I67" s="2285"/>
      <c r="J67" s="22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71" t="s">
        <v>1312</v>
      </c>
      <c r="B70" s="2274"/>
      <c r="C70" s="2274"/>
      <c r="D70" s="2274"/>
      <c r="E70" s="2275"/>
      <c r="F70" s="2275"/>
      <c r="G70" s="2275"/>
      <c r="H70" s="2275"/>
      <c r="I70" s="22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1627</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76" t="s">
        <v>1309</v>
      </c>
      <c r="B83" s="2276"/>
      <c r="C83" s="2276"/>
      <c r="D83" s="22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87" t="s">
        <v>1985</v>
      </c>
      <c r="B85" s="2287"/>
      <c r="C85" s="2287"/>
      <c r="D85" s="2288"/>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89" t="s">
        <v>1985</v>
      </c>
      <c r="B88" s="2290"/>
      <c r="C88" s="2290"/>
      <c r="D88" s="22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1159</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58" t="s">
        <v>2118</v>
      </c>
      <c r="C102" s="2259"/>
      <c r="D102" s="2259"/>
      <c r="E102" s="2259"/>
      <c r="F102" s="2259"/>
      <c r="G102" s="2259"/>
      <c r="H102" s="2259"/>
      <c r="I102" s="2260"/>
    </row>
    <row r="103" spans="1:9" s="176" customFormat="1" ht="11.25" customHeight="1" x14ac:dyDescent="0.2">
      <c r="A103" s="294"/>
      <c r="B103" s="2261"/>
      <c r="C103" s="2262"/>
      <c r="D103" s="2262"/>
      <c r="E103" s="2262"/>
      <c r="F103" s="2262"/>
      <c r="G103" s="2262"/>
      <c r="H103" s="2262"/>
      <c r="I103" s="2263"/>
    </row>
    <row r="104" spans="1:9" s="176" customFormat="1" ht="11.25" customHeight="1" x14ac:dyDescent="0.2">
      <c r="A104" s="294"/>
      <c r="B104" s="2261"/>
      <c r="C104" s="2262"/>
      <c r="D104" s="2262"/>
      <c r="E104" s="2262"/>
      <c r="F104" s="2262"/>
      <c r="G104" s="2262"/>
      <c r="H104" s="2262"/>
      <c r="I104" s="2263"/>
    </row>
    <row r="105" spans="1:9" s="176" customFormat="1" x14ac:dyDescent="0.2">
      <c r="A105" s="294"/>
      <c r="B105" s="2261"/>
      <c r="C105" s="2262"/>
      <c r="D105" s="2262"/>
      <c r="E105" s="2262"/>
      <c r="F105" s="2262"/>
      <c r="G105" s="2262"/>
      <c r="H105" s="2262"/>
      <c r="I105" s="2263"/>
    </row>
    <row r="106" spans="1:9" s="176" customFormat="1" ht="11.25" customHeight="1" x14ac:dyDescent="0.2">
      <c r="A106" s="294"/>
      <c r="B106" s="2261"/>
      <c r="C106" s="2262"/>
      <c r="D106" s="2262"/>
      <c r="E106" s="2262"/>
      <c r="F106" s="2262"/>
      <c r="G106" s="2262"/>
      <c r="H106" s="2262"/>
      <c r="I106" s="2263"/>
    </row>
    <row r="107" spans="1:9" s="176" customFormat="1" ht="11.25" customHeight="1" x14ac:dyDescent="0.2">
      <c r="A107" s="294"/>
      <c r="B107" s="2261"/>
      <c r="C107" s="2262"/>
      <c r="D107" s="2262"/>
      <c r="E107" s="2262"/>
      <c r="F107" s="2262"/>
      <c r="G107" s="2262"/>
      <c r="H107" s="2262"/>
      <c r="I107" s="2263"/>
    </row>
    <row r="108" spans="1:9" s="176" customFormat="1" ht="11.25" customHeight="1" x14ac:dyDescent="0.2">
      <c r="A108" s="294"/>
      <c r="B108" s="2261"/>
      <c r="C108" s="2262"/>
      <c r="D108" s="2262"/>
      <c r="E108" s="2262"/>
      <c r="F108" s="2262"/>
      <c r="G108" s="2262"/>
      <c r="H108" s="2262"/>
      <c r="I108" s="2263"/>
    </row>
    <row r="109" spans="1:9" s="176" customFormat="1" ht="11.25" customHeight="1" x14ac:dyDescent="0.2">
      <c r="A109" s="294"/>
      <c r="B109" s="2261"/>
      <c r="C109" s="2262"/>
      <c r="D109" s="2262"/>
      <c r="E109" s="2262"/>
      <c r="F109" s="2262"/>
      <c r="G109" s="2262"/>
      <c r="H109" s="2262"/>
      <c r="I109" s="2263"/>
    </row>
    <row r="110" spans="1:9" s="176" customFormat="1" ht="11.25" customHeight="1" x14ac:dyDescent="0.2">
      <c r="A110" s="294"/>
      <c r="B110" s="2261"/>
      <c r="C110" s="2262"/>
      <c r="D110" s="2262"/>
      <c r="E110" s="2262"/>
      <c r="F110" s="2262"/>
      <c r="G110" s="2262"/>
      <c r="H110" s="2262"/>
      <c r="I110" s="2263"/>
    </row>
    <row r="111" spans="1:9" s="176" customFormat="1" ht="11.25" customHeight="1" x14ac:dyDescent="0.2">
      <c r="A111" s="294"/>
      <c r="B111" s="2261"/>
      <c r="C111" s="2262"/>
      <c r="D111" s="2262"/>
      <c r="E111" s="2262"/>
      <c r="F111" s="2262"/>
      <c r="G111" s="2262"/>
      <c r="H111" s="2262"/>
      <c r="I111" s="2263"/>
    </row>
    <row r="112" spans="1:9" s="176" customFormat="1" ht="11.25" customHeight="1" x14ac:dyDescent="0.2">
      <c r="A112" s="294"/>
      <c r="B112" s="2264"/>
      <c r="C112" s="2265"/>
      <c r="D112" s="2265"/>
      <c r="E112" s="2265"/>
      <c r="F112" s="2265"/>
      <c r="G112" s="2265"/>
      <c r="H112" s="2265"/>
      <c r="I112" s="22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67" t="s">
        <v>2048</v>
      </c>
      <c r="D114" s="22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68" t="s">
        <v>1319</v>
      </c>
      <c r="D117" s="2269"/>
      <c r="E117" s="2270"/>
      <c r="F117" s="2270"/>
      <c r="G117" s="2270"/>
      <c r="H117" s="2270"/>
      <c r="I117" s="282"/>
    </row>
    <row r="118" spans="1:9" s="176" customFormat="1" ht="24" customHeight="1" x14ac:dyDescent="0.2">
      <c r="A118" s="294"/>
      <c r="B118" s="294"/>
      <c r="C118" s="294"/>
      <c r="D118" s="301" t="s">
        <v>2236</v>
      </c>
      <c r="E118" s="300"/>
      <c r="F118" s="302"/>
      <c r="G118" s="1473"/>
      <c r="H118" s="300"/>
      <c r="I118" s="282"/>
    </row>
    <row r="119" spans="1:9" s="176" customFormat="1" ht="11.25" customHeight="1" x14ac:dyDescent="0.2">
      <c r="A119" s="303"/>
      <c r="B119" s="303"/>
      <c r="C119" s="304"/>
      <c r="D119" s="305" t="s">
        <v>358</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9"/>
  <sheetViews>
    <sheetView showGridLines="0" zoomScale="115" zoomScaleNormal="115"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78" t="str">
        <f>'Single Audit Cover'!A7</f>
        <v xml:space="preserve">  Princeville CUSD 326</v>
      </c>
      <c r="B1" s="2678"/>
      <c r="C1" s="2678"/>
      <c r="D1" s="2678"/>
      <c r="E1" s="2678"/>
      <c r="F1" s="2678"/>
    </row>
    <row r="2" spans="1:7" ht="13.5" customHeight="1" x14ac:dyDescent="0.2">
      <c r="A2" s="2670">
        <f>'Single Audit Cover'!E7</f>
        <v>48072326026</v>
      </c>
      <c r="B2" s="2670"/>
      <c r="C2" s="2670"/>
      <c r="D2" s="2670"/>
      <c r="E2" s="2670"/>
      <c r="F2" s="2670"/>
      <c r="G2" s="1051"/>
    </row>
    <row r="3" spans="1:7" ht="15.75" customHeight="1" x14ac:dyDescent="0.2">
      <c r="A3" s="2679" t="s">
        <v>1260</v>
      </c>
      <c r="B3" s="2679"/>
      <c r="C3" s="2679"/>
      <c r="D3" s="2679"/>
      <c r="E3" s="2679"/>
      <c r="F3" s="2679"/>
    </row>
    <row r="4" spans="1:7" ht="13.5" customHeight="1" x14ac:dyDescent="0.2">
      <c r="A4" s="2680" t="str">
        <f>'Single Audit Cover'!A4</f>
        <v>Year Ending June 30, 2020</v>
      </c>
      <c r="B4" s="2680"/>
      <c r="C4" s="2680"/>
      <c r="D4" s="2680"/>
      <c r="E4" s="2680"/>
      <c r="F4" s="2680"/>
    </row>
    <row r="5" spans="1:7" ht="8.25" customHeight="1" x14ac:dyDescent="0.2">
      <c r="C5" s="295"/>
      <c r="D5" s="295"/>
    </row>
    <row r="6" spans="1:7" ht="13.5" customHeight="1" x14ac:dyDescent="0.2">
      <c r="A6" s="1052" t="s">
        <v>1704</v>
      </c>
      <c r="C6" s="295"/>
      <c r="D6" s="295"/>
    </row>
    <row r="7" spans="1:7" ht="60.95" customHeight="1" x14ac:dyDescent="0.2">
      <c r="A7" s="2677" t="s">
        <v>2111</v>
      </c>
      <c r="B7" s="2677"/>
      <c r="C7" s="2677"/>
      <c r="D7" s="2677"/>
      <c r="E7" s="2677"/>
      <c r="F7" s="2677"/>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1530</v>
      </c>
      <c r="B10" s="1056"/>
      <c r="C10" s="1057"/>
      <c r="D10" s="1056" t="s">
        <v>1531</v>
      </c>
      <c r="E10" s="1057" t="s">
        <v>2087</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27" customHeight="1" x14ac:dyDescent="0.2">
      <c r="A13" s="2677" t="s">
        <v>2134</v>
      </c>
      <c r="B13" s="2677"/>
      <c r="C13" s="2677"/>
      <c r="D13" s="2677"/>
      <c r="E13" s="2677"/>
      <c r="F13" s="2677"/>
    </row>
    <row r="14" spans="1:7" ht="9.75" hidden="1" customHeight="1" x14ac:dyDescent="0.2">
      <c r="C14" s="1036"/>
      <c r="D14" s="1036"/>
    </row>
    <row r="15" spans="1:7" ht="13.5" customHeight="1" x14ac:dyDescent="0.2">
      <c r="C15" s="1476" t="s">
        <v>1259</v>
      </c>
      <c r="D15" s="2682" t="s">
        <v>1258</v>
      </c>
      <c r="E15" s="2682"/>
      <c r="F15" s="2682"/>
    </row>
    <row r="16" spans="1:7" ht="13.5" customHeight="1" x14ac:dyDescent="0.2">
      <c r="A16" s="1058"/>
      <c r="B16" s="1052" t="s">
        <v>1257</v>
      </c>
      <c r="C16" s="1476" t="s">
        <v>1256</v>
      </c>
      <c r="D16" s="2683" t="s">
        <v>1570</v>
      </c>
      <c r="E16" s="2683"/>
      <c r="F16" s="2683"/>
    </row>
    <row r="17" spans="1:6" ht="20.45" customHeight="1" x14ac:dyDescent="0.2">
      <c r="A17" s="1059" t="s">
        <v>2112</v>
      </c>
      <c r="B17" s="1060"/>
      <c r="C17" s="1061"/>
      <c r="D17" s="2681"/>
      <c r="E17" s="2681"/>
      <c r="F17" s="2681"/>
    </row>
    <row r="18" spans="1:6" ht="20.65" hidden="1" customHeight="1" x14ac:dyDescent="0.2">
      <c r="A18" s="1059"/>
      <c r="B18" s="1060"/>
      <c r="C18" s="1061"/>
      <c r="D18" s="2681"/>
      <c r="E18" s="2681"/>
      <c r="F18" s="2681"/>
    </row>
    <row r="19" spans="1:6" ht="20.65" hidden="1" customHeight="1" x14ac:dyDescent="0.2">
      <c r="A19" s="1059"/>
      <c r="B19" s="1060"/>
      <c r="C19" s="1061"/>
      <c r="D19" s="2681"/>
      <c r="E19" s="2681"/>
      <c r="F19" s="2681"/>
    </row>
    <row r="20" spans="1:6" ht="20.65" hidden="1" customHeight="1" x14ac:dyDescent="0.2">
      <c r="A20" s="1059"/>
      <c r="B20" s="1060"/>
      <c r="C20" s="1061"/>
      <c r="D20" s="2681"/>
      <c r="E20" s="2681"/>
      <c r="F20" s="2681"/>
    </row>
    <row r="21" spans="1:6" ht="20.65" hidden="1" customHeight="1" x14ac:dyDescent="0.2">
      <c r="A21" s="1059"/>
      <c r="B21" s="1060"/>
      <c r="C21" s="1061"/>
      <c r="D21" s="2681"/>
      <c r="E21" s="2681"/>
      <c r="F21" s="2681"/>
    </row>
    <row r="22" spans="1:6" ht="20.65" hidden="1" customHeight="1" x14ac:dyDescent="0.2">
      <c r="A22" s="1059"/>
      <c r="B22" s="1060"/>
      <c r="C22" s="1061"/>
      <c r="D22" s="2681"/>
      <c r="E22" s="2681"/>
      <c r="F22" s="2681"/>
    </row>
    <row r="23" spans="1:6" ht="20.65" hidden="1" customHeight="1" x14ac:dyDescent="0.2">
      <c r="A23" s="1059"/>
      <c r="B23" s="1060"/>
      <c r="C23" s="1061"/>
      <c r="D23" s="2681"/>
      <c r="E23" s="2681"/>
      <c r="F23" s="2681"/>
    </row>
    <row r="24" spans="1:6" ht="20.65" hidden="1" customHeight="1" x14ac:dyDescent="0.2">
      <c r="A24" s="1059"/>
      <c r="B24" s="1060"/>
      <c r="C24" s="1061"/>
      <c r="D24" s="2681"/>
      <c r="E24" s="2681"/>
      <c r="F24" s="2681"/>
    </row>
    <row r="25" spans="1:6" ht="20.65" hidden="1" customHeight="1" x14ac:dyDescent="0.2">
      <c r="A25" s="1059"/>
      <c r="B25" s="1060"/>
      <c r="C25" s="1061"/>
      <c r="D25" s="2681"/>
      <c r="E25" s="2681"/>
      <c r="F25" s="2681"/>
    </row>
    <row r="26" spans="1:6" ht="20.65" hidden="1" customHeight="1" x14ac:dyDescent="0.2">
      <c r="A26" s="1059"/>
      <c r="B26" s="1060"/>
      <c r="C26" s="1061"/>
      <c r="D26" s="2681"/>
      <c r="E26" s="2681"/>
      <c r="F26" s="2681"/>
    </row>
    <row r="27" spans="1:6" ht="20.65" hidden="1" customHeight="1" x14ac:dyDescent="0.2">
      <c r="A27" s="1059"/>
      <c r="B27" s="1060"/>
      <c r="C27" s="1061"/>
      <c r="D27" s="2681"/>
      <c r="E27" s="2681"/>
      <c r="F27" s="2681"/>
    </row>
    <row r="28" spans="1:6" ht="20.65" hidden="1" customHeight="1" x14ac:dyDescent="0.2">
      <c r="A28" s="1059"/>
      <c r="B28" s="1060"/>
      <c r="C28" s="1061"/>
      <c r="D28" s="2681"/>
      <c r="E28" s="2681"/>
      <c r="F28" s="2681"/>
    </row>
    <row r="29" spans="1:6" ht="20.65" hidden="1" customHeight="1" x14ac:dyDescent="0.2">
      <c r="A29" s="1059"/>
      <c r="B29" s="1060"/>
      <c r="C29" s="1061"/>
      <c r="D29" s="2681"/>
      <c r="E29" s="2681"/>
      <c r="F29" s="268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85" t="s">
        <v>2113</v>
      </c>
      <c r="B32" s="2685"/>
      <c r="C32" s="2685"/>
      <c r="D32" s="2685"/>
      <c r="E32" s="2685"/>
      <c r="F32" s="2685"/>
    </row>
    <row r="33" spans="1:6" ht="13.5" customHeight="1" x14ac:dyDescent="0.2">
      <c r="A33" s="306" t="s">
        <v>1417</v>
      </c>
      <c r="B33" s="306"/>
      <c r="C33" s="1064">
        <v>16512</v>
      </c>
      <c r="D33" s="1526"/>
      <c r="E33" s="1062"/>
    </row>
    <row r="34" spans="1:6" ht="13.5" customHeight="1" x14ac:dyDescent="0.2">
      <c r="A34" s="306" t="s">
        <v>1807</v>
      </c>
      <c r="B34" s="306"/>
      <c r="C34" s="1065">
        <v>2277</v>
      </c>
      <c r="D34" s="1526" t="s">
        <v>1571</v>
      </c>
      <c r="E34" s="2686">
        <f>+C33+C34</f>
        <v>18789</v>
      </c>
      <c r="F34" s="2687"/>
    </row>
    <row r="35" spans="1:6" ht="13.5" customHeight="1" x14ac:dyDescent="0.2">
      <c r="A35" s="306"/>
      <c r="B35" s="306"/>
      <c r="C35" s="2057"/>
      <c r="D35" s="1526"/>
      <c r="E35" s="2058"/>
      <c r="F35" s="2059"/>
    </row>
    <row r="36" spans="1:6" ht="13.5" customHeight="1" x14ac:dyDescent="0.2">
      <c r="A36" s="1063" t="s">
        <v>2115</v>
      </c>
      <c r="B36" s="306"/>
      <c r="C36" s="2057"/>
      <c r="D36" s="1526"/>
      <c r="E36" s="2058"/>
      <c r="F36" s="2059"/>
    </row>
    <row r="37" spans="1:6" ht="12" customHeight="1" x14ac:dyDescent="0.2">
      <c r="A37" s="2689" t="s">
        <v>2234</v>
      </c>
      <c r="B37" s="2689"/>
      <c r="C37" s="2689"/>
      <c r="D37" s="2689"/>
      <c r="E37" s="2689"/>
      <c r="F37" s="2689"/>
    </row>
    <row r="38" spans="1:6" ht="12" customHeight="1" x14ac:dyDescent="0.2">
      <c r="A38" s="2689"/>
      <c r="B38" s="2689"/>
      <c r="C38" s="2689"/>
      <c r="D38" s="2689"/>
      <c r="E38" s="2689"/>
      <c r="F38" s="2689"/>
    </row>
    <row r="39" spans="1:6" ht="12" customHeight="1" x14ac:dyDescent="0.2">
      <c r="A39" s="2689"/>
      <c r="B39" s="2689"/>
      <c r="C39" s="2689"/>
      <c r="D39" s="2689"/>
      <c r="E39" s="2689"/>
      <c r="F39" s="2689"/>
    </row>
    <row r="40" spans="1:6" ht="12" customHeight="1" x14ac:dyDescent="0.2">
      <c r="A40" s="2689"/>
      <c r="B40" s="2689"/>
      <c r="C40" s="2689"/>
      <c r="D40" s="2689"/>
      <c r="E40" s="2689"/>
      <c r="F40" s="2689"/>
    </row>
    <row r="41" spans="1:6" ht="12" customHeight="1" x14ac:dyDescent="0.2">
      <c r="A41" s="306"/>
      <c r="B41" s="306"/>
      <c r="C41" s="1527"/>
      <c r="D41" s="1526"/>
      <c r="E41" s="1066"/>
      <c r="F41" s="1067"/>
    </row>
    <row r="42" spans="1:6" ht="13.5" customHeight="1" x14ac:dyDescent="0.2">
      <c r="A42" s="1063" t="s">
        <v>2114</v>
      </c>
      <c r="B42" s="306"/>
      <c r="C42" s="1233"/>
      <c r="D42" s="1526"/>
      <c r="E42" s="1062"/>
    </row>
    <row r="43" spans="1:6" ht="14.25" customHeight="1" x14ac:dyDescent="0.2">
      <c r="A43" s="306" t="s">
        <v>1467</v>
      </c>
      <c r="B43" s="306"/>
      <c r="C43" s="1528"/>
      <c r="D43" s="1526"/>
      <c r="E43" s="1062"/>
    </row>
    <row r="44" spans="1:6" ht="14.25" customHeight="1" x14ac:dyDescent="0.2">
      <c r="A44" s="306"/>
      <c r="B44" s="306" t="s">
        <v>1418</v>
      </c>
      <c r="C44" s="1068" t="s">
        <v>380</v>
      </c>
      <c r="D44" s="1526"/>
      <c r="E44" s="1062"/>
    </row>
    <row r="45" spans="1:6" ht="14.25" customHeight="1" x14ac:dyDescent="0.2">
      <c r="A45" s="306"/>
      <c r="B45" s="306" t="s">
        <v>1419</v>
      </c>
      <c r="C45" s="1068" t="s">
        <v>380</v>
      </c>
      <c r="D45" s="1526"/>
      <c r="E45" s="1062"/>
    </row>
    <row r="46" spans="1:6" ht="14.25" customHeight="1" x14ac:dyDescent="0.2">
      <c r="A46" s="306"/>
      <c r="B46" s="306" t="s">
        <v>1420</v>
      </c>
      <c r="C46" s="1068" t="s">
        <v>380</v>
      </c>
      <c r="D46" s="1526"/>
      <c r="E46" s="1062"/>
    </row>
    <row r="47" spans="1:6" ht="14.25" customHeight="1" x14ac:dyDescent="0.2">
      <c r="A47" s="306"/>
      <c r="B47" s="306" t="s">
        <v>1421</v>
      </c>
      <c r="C47" s="1068" t="s">
        <v>380</v>
      </c>
      <c r="D47" s="1526"/>
      <c r="E47" s="1062"/>
    </row>
    <row r="48" spans="1:6" ht="14.25" customHeight="1" x14ac:dyDescent="0.2">
      <c r="A48" s="306" t="s">
        <v>1422</v>
      </c>
      <c r="B48" s="306"/>
      <c r="C48" s="1524" t="s">
        <v>380</v>
      </c>
      <c r="D48" s="1526"/>
      <c r="E48" s="1062"/>
    </row>
    <row r="49" spans="1:6" ht="14.25" customHeight="1" x14ac:dyDescent="0.2">
      <c r="A49" s="306" t="s">
        <v>1423</v>
      </c>
      <c r="B49" s="306"/>
      <c r="C49" s="1069" t="s">
        <v>380</v>
      </c>
      <c r="D49" s="1526"/>
      <c r="E49" s="1062"/>
    </row>
    <row r="50" spans="1:6" ht="14.25" customHeight="1" x14ac:dyDescent="0.2">
      <c r="A50" s="306"/>
      <c r="B50" s="306"/>
      <c r="C50" s="1528" t="s">
        <v>1424</v>
      </c>
      <c r="D50" s="1526"/>
      <c r="E50" s="1062"/>
    </row>
    <row r="51" spans="1:6" ht="14.25" customHeight="1" x14ac:dyDescent="0.2">
      <c r="A51" s="306"/>
      <c r="B51" s="306"/>
      <c r="C51" s="1528"/>
      <c r="D51" s="1526"/>
      <c r="E51" s="1062"/>
    </row>
    <row r="52" spans="1:6" ht="13.5" hidden="1" customHeight="1" x14ac:dyDescent="0.2">
      <c r="B52" s="300"/>
      <c r="C52" s="1070"/>
      <c r="D52" s="1070"/>
    </row>
    <row r="53" spans="1:6" x14ac:dyDescent="0.2">
      <c r="A53" s="1071" t="s">
        <v>1706</v>
      </c>
      <c r="C53" s="295"/>
      <c r="D53" s="295"/>
    </row>
    <row r="54" spans="1:6" s="300" customFormat="1" ht="11.25" customHeight="1" x14ac:dyDescent="0.2">
      <c r="A54" s="1072"/>
      <c r="B54" s="1073"/>
      <c r="C54" s="1073"/>
      <c r="D54" s="1073"/>
      <c r="E54" s="1073"/>
      <c r="F54" s="1073"/>
    </row>
    <row r="55" spans="1:6" s="300" customFormat="1" ht="6" customHeight="1" x14ac:dyDescent="0.2">
      <c r="A55" s="1074"/>
    </row>
    <row r="56" spans="1:6" s="1076" customFormat="1" ht="23.25" customHeight="1" x14ac:dyDescent="0.2">
      <c r="A56" s="1075">
        <v>5</v>
      </c>
      <c r="B56" s="2688" t="s">
        <v>1572</v>
      </c>
      <c r="C56" s="2688"/>
      <c r="D56" s="2688"/>
      <c r="E56" s="1168"/>
    </row>
    <row r="57" spans="1:6" s="1076" customFormat="1" ht="3.75" customHeight="1" x14ac:dyDescent="0.2">
      <c r="A57" s="1075"/>
      <c r="B57" s="1475"/>
      <c r="C57" s="1475"/>
      <c r="D57" s="1475"/>
      <c r="E57" s="1168"/>
    </row>
    <row r="58" spans="1:6" s="1076" customFormat="1" ht="20.25" customHeight="1" x14ac:dyDescent="0.2">
      <c r="A58" s="1077">
        <v>6</v>
      </c>
      <c r="B58" s="2684" t="s">
        <v>1533</v>
      </c>
      <c r="C58" s="2684"/>
      <c r="D58" s="2684"/>
    </row>
    <row r="59" spans="1:6" ht="14.25" customHeight="1" x14ac:dyDescent="0.2">
      <c r="A59" s="1077"/>
      <c r="B59" s="2684"/>
      <c r="C59" s="2684"/>
      <c r="D59" s="2684"/>
    </row>
  </sheetData>
  <mergeCells count="27">
    <mergeCell ref="B58:D58"/>
    <mergeCell ref="B59:D59"/>
    <mergeCell ref="D27:F27"/>
    <mergeCell ref="D28:F28"/>
    <mergeCell ref="D29:F29"/>
    <mergeCell ref="A32:F32"/>
    <mergeCell ref="E34:F34"/>
    <mergeCell ref="B56:D56"/>
    <mergeCell ref="A37:F40"/>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4" t="str">
        <f>'Single Audit Cover'!A7</f>
        <v xml:space="preserve">  Princeville CUSD 326</v>
      </c>
      <c r="C1" s="2695"/>
      <c r="D1" s="2695"/>
      <c r="E1" s="2695"/>
      <c r="F1" s="2695"/>
      <c r="G1" s="2695"/>
      <c r="H1" s="2695"/>
      <c r="I1" s="2695"/>
      <c r="J1" s="1178"/>
    </row>
    <row r="2" spans="2:10" s="295" customFormat="1" ht="12.75" customHeight="1" x14ac:dyDescent="0.2">
      <c r="B2" s="2696">
        <f>'Single Audit Cover'!E7</f>
        <v>48072326026</v>
      </c>
      <c r="C2" s="2697"/>
      <c r="D2" s="2697"/>
      <c r="E2" s="2697"/>
      <c r="F2" s="2697"/>
      <c r="G2" s="2697"/>
      <c r="H2" s="2697"/>
      <c r="I2" s="2697"/>
      <c r="J2" s="1178"/>
    </row>
    <row r="3" spans="2:10" s="295" customFormat="1" ht="12.75" customHeight="1" x14ac:dyDescent="0.2">
      <c r="B3" s="2698" t="s">
        <v>1274</v>
      </c>
      <c r="C3" s="2699"/>
      <c r="D3" s="2699"/>
      <c r="E3" s="2699"/>
      <c r="F3" s="2699"/>
      <c r="G3" s="2699"/>
      <c r="H3" s="2699"/>
      <c r="I3" s="2699"/>
      <c r="J3" s="1179"/>
    </row>
    <row r="4" spans="2:10" s="295" customFormat="1" ht="12.75" customHeight="1" x14ac:dyDescent="0.2">
      <c r="B4" s="2698" t="str">
        <f>'Single Audit Cover'!A4</f>
        <v>Year Ending June 30, 2020</v>
      </c>
      <c r="C4" s="2699"/>
      <c r="D4" s="2699"/>
      <c r="E4" s="2699"/>
      <c r="F4" s="2699"/>
      <c r="G4" s="2699"/>
      <c r="H4" s="2699"/>
      <c r="I4" s="26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98" t="s">
        <v>1273</v>
      </c>
      <c r="C7" s="2699"/>
      <c r="D7" s="2699"/>
      <c r="E7" s="2699"/>
      <c r="F7" s="2699"/>
      <c r="G7" s="2699"/>
      <c r="H7" s="2699"/>
      <c r="I7" s="26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700" t="s">
        <v>1154</v>
      </c>
      <c r="D11" s="27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2087</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2087</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879</v>
      </c>
      <c r="G20" s="1194" t="s">
        <v>2087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t="s">
        <v>2087</v>
      </c>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2087</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701" t="s">
        <v>2105</v>
      </c>
      <c r="E29" s="2701"/>
      <c r="F29" s="2701"/>
      <c r="G29" s="2701"/>
      <c r="H29" s="2701"/>
      <c r="I29" s="2701"/>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1534</v>
      </c>
      <c r="C33" s="1058"/>
      <c r="E33" s="1194" t="s">
        <v>2087</v>
      </c>
      <c r="F33" s="1076" t="s">
        <v>879</v>
      </c>
      <c r="G33" s="1194"/>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702" t="s">
        <v>1724</v>
      </c>
      <c r="D37" s="2703"/>
      <c r="E37" s="2703"/>
      <c r="F37" s="2704"/>
      <c r="G37" s="2702" t="s">
        <v>1574</v>
      </c>
      <c r="H37" s="2703"/>
      <c r="I37" s="2704"/>
    </row>
    <row r="38" spans="2:9" ht="16.5" customHeight="1" x14ac:dyDescent="0.2">
      <c r="B38" s="1200">
        <v>84.027000000000001</v>
      </c>
      <c r="C38" s="2690" t="s">
        <v>2104</v>
      </c>
      <c r="D38" s="2691"/>
      <c r="E38" s="2691"/>
      <c r="F38" s="2692"/>
      <c r="G38" s="2705">
        <v>149010</v>
      </c>
      <c r="H38" s="2706"/>
      <c r="I38" s="2707"/>
    </row>
    <row r="39" spans="2:9" ht="16.5" customHeight="1" x14ac:dyDescent="0.2">
      <c r="B39" s="1200">
        <v>93.6</v>
      </c>
      <c r="C39" s="2690" t="s">
        <v>2116</v>
      </c>
      <c r="D39" s="2691"/>
      <c r="E39" s="2691"/>
      <c r="F39" s="2692"/>
      <c r="G39" s="2693">
        <v>346366</v>
      </c>
      <c r="H39" s="2693"/>
      <c r="I39" s="2693"/>
    </row>
    <row r="40" spans="2:9" ht="16.5" customHeight="1" x14ac:dyDescent="0.2">
      <c r="B40" s="1200"/>
      <c r="C40" s="2690"/>
      <c r="D40" s="2691"/>
      <c r="E40" s="2691"/>
      <c r="F40" s="2692"/>
      <c r="G40" s="2693"/>
      <c r="H40" s="2693"/>
      <c r="I40" s="2693"/>
    </row>
    <row r="41" spans="2:9" ht="16.5" customHeight="1" x14ac:dyDescent="0.2">
      <c r="B41" s="1200"/>
      <c r="C41" s="2690"/>
      <c r="D41" s="2691"/>
      <c r="E41" s="2691"/>
      <c r="F41" s="2692"/>
      <c r="G41" s="2693"/>
      <c r="H41" s="2693"/>
      <c r="I41" s="2693"/>
    </row>
    <row r="42" spans="2:9" ht="16.5" customHeight="1" x14ac:dyDescent="0.2">
      <c r="B42" s="1200"/>
      <c r="C42" s="2690"/>
      <c r="D42" s="2691"/>
      <c r="E42" s="2691"/>
      <c r="F42" s="2692"/>
      <c r="G42" s="2693"/>
      <c r="H42" s="2693"/>
      <c r="I42" s="2693"/>
    </row>
    <row r="43" spans="2:9" ht="16.5" customHeight="1" x14ac:dyDescent="0.2">
      <c r="B43" s="1200"/>
      <c r="C43" s="2708" t="s">
        <v>1575</v>
      </c>
      <c r="D43" s="2709"/>
      <c r="E43" s="2709"/>
      <c r="F43" s="2710"/>
      <c r="G43" s="2711">
        <f>SUM(G38:I42)</f>
        <v>495376</v>
      </c>
      <c r="H43" s="2711"/>
      <c r="I43" s="2711"/>
    </row>
    <row r="44" spans="2:9" ht="12.75" customHeight="1" x14ac:dyDescent="0.2"/>
    <row r="45" spans="2:9" ht="12.75" customHeight="1" x14ac:dyDescent="0.2">
      <c r="B45" s="1917" t="str">
        <f>"Total Federal Expenditures for 7/1/"&amp;MID('AFR20'!E2,3,2)-1&amp;"-6/30/"&amp;MID('AFR20'!E2,3,2)</f>
        <v>Total Federal Expenditures for 7/1/19-6/30/20</v>
      </c>
      <c r="C45" s="1918"/>
      <c r="D45" s="2712">
        <v>878061</v>
      </c>
      <c r="E45" s="2713"/>
    </row>
    <row r="46" spans="2:9" ht="5.25" customHeight="1" x14ac:dyDescent="0.2">
      <c r="B46" s="1201"/>
      <c r="D46" s="1202"/>
      <c r="E46" s="1203"/>
    </row>
    <row r="47" spans="2:9" ht="12.75" customHeight="1" x14ac:dyDescent="0.2">
      <c r="B47" s="1076" t="s">
        <v>1576</v>
      </c>
      <c r="C47" s="1076"/>
      <c r="D47" s="1204">
        <f>+G43/D45</f>
        <v>0.5641703708512279</v>
      </c>
      <c r="E47" s="1205"/>
      <c r="F47" s="1206"/>
      <c r="I47" s="1207"/>
    </row>
    <row r="48" spans="2:9" ht="9.9499999999999993" customHeight="1" x14ac:dyDescent="0.2"/>
    <row r="49" spans="1:9" x14ac:dyDescent="0.2">
      <c r="B49" s="1138" t="s">
        <v>1262</v>
      </c>
      <c r="C49" s="1058"/>
      <c r="D49" s="1058"/>
      <c r="E49" s="2714">
        <v>750000</v>
      </c>
      <c r="F49" s="2714"/>
      <c r="G49" s="2714"/>
      <c r="H49" s="300"/>
    </row>
    <row r="51" spans="1:9" ht="13.5" customHeight="1" x14ac:dyDescent="0.2">
      <c r="B51" s="1138" t="s">
        <v>1261</v>
      </c>
      <c r="C51" s="1058"/>
      <c r="E51" s="1194"/>
      <c r="F51" s="1076" t="s">
        <v>879</v>
      </c>
      <c r="G51" s="1194" t="s">
        <v>2087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4" t="str">
        <f>'Single Audit Cover'!A7</f>
        <v xml:space="preserve">  Princeville CUSD 326</v>
      </c>
      <c r="C1" s="2694"/>
      <c r="D1" s="2694"/>
      <c r="E1" s="2694"/>
      <c r="F1" s="2694"/>
      <c r="G1" s="2694"/>
      <c r="H1" s="2694"/>
      <c r="I1" s="2694"/>
      <c r="J1" s="2694"/>
      <c r="K1" s="2694"/>
      <c r="L1" s="1144"/>
      <c r="M1" s="1144"/>
    </row>
    <row r="2" spans="1:13" ht="12" customHeight="1" x14ac:dyDescent="0.2">
      <c r="B2" s="2696">
        <f>'Single Audit Cover'!E7</f>
        <v>48072326026</v>
      </c>
      <c r="C2" s="2696"/>
      <c r="D2" s="2696"/>
      <c r="E2" s="2696"/>
      <c r="F2" s="2696"/>
      <c r="G2" s="2696"/>
      <c r="H2" s="2696"/>
      <c r="I2" s="2696"/>
      <c r="J2" s="2696"/>
      <c r="K2" s="2696"/>
      <c r="L2" s="1145"/>
      <c r="M2" s="1146"/>
    </row>
    <row r="3" spans="1:13" ht="10.35" customHeight="1" x14ac:dyDescent="0.2">
      <c r="B3" s="2717" t="s">
        <v>1274</v>
      </c>
      <c r="C3" s="2717"/>
      <c r="D3" s="2717"/>
      <c r="E3" s="2717"/>
      <c r="F3" s="2717"/>
      <c r="G3" s="2717"/>
      <c r="H3" s="2717"/>
      <c r="I3" s="2717"/>
      <c r="J3" s="2717"/>
      <c r="K3" s="2717"/>
      <c r="L3" s="1147"/>
      <c r="M3" s="1147"/>
    </row>
    <row r="4" spans="1:13" ht="14.25" customHeight="1" x14ac:dyDescent="0.2">
      <c r="B4" s="2718" t="str">
        <f>'Single Audit Cover'!A4</f>
        <v>Year Ending June 30, 2020</v>
      </c>
      <c r="C4" s="2718"/>
      <c r="D4" s="2718"/>
      <c r="E4" s="2718"/>
      <c r="F4" s="2718"/>
      <c r="G4" s="2718"/>
      <c r="H4" s="2718"/>
      <c r="I4" s="2718"/>
      <c r="J4" s="2718"/>
      <c r="K4" s="271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18" t="s">
        <v>1285</v>
      </c>
      <c r="C7" s="2718"/>
      <c r="D7" s="2719"/>
      <c r="E7" s="2719"/>
      <c r="F7" s="2719"/>
      <c r="G7" s="2719"/>
      <c r="H7" s="2719"/>
      <c r="I7" s="2719"/>
      <c r="J7" s="2719"/>
      <c r="K7" s="27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19" t="str">
        <f>'AFR20'!$E$2&amp;"-"</f>
        <v>2020-</v>
      </c>
      <c r="D10" s="1155">
        <v>1</v>
      </c>
      <c r="E10" s="300"/>
      <c r="F10" s="1156" t="s">
        <v>1284</v>
      </c>
      <c r="G10" s="1157"/>
      <c r="H10" s="1158" t="s">
        <v>1283</v>
      </c>
      <c r="I10" s="1157" t="s">
        <v>2047</v>
      </c>
      <c r="J10" s="1159" t="s">
        <v>1282</v>
      </c>
      <c r="K10" s="300"/>
      <c r="L10" s="1151"/>
    </row>
    <row r="11" spans="1:13" ht="13.5" customHeight="1" x14ac:dyDescent="0.2">
      <c r="B11" s="300"/>
      <c r="C11" s="300"/>
      <c r="D11" s="300"/>
      <c r="E11" s="300"/>
      <c r="F11" s="300"/>
      <c r="G11" s="1153"/>
      <c r="H11" s="300"/>
      <c r="I11" s="1160" t="s">
        <v>1281</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34.5" customHeight="1" x14ac:dyDescent="0.2">
      <c r="B14" s="2716" t="s">
        <v>2106</v>
      </c>
      <c r="C14" s="2716"/>
      <c r="D14" s="2716"/>
      <c r="E14" s="2716"/>
      <c r="F14" s="2716"/>
      <c r="G14" s="2716"/>
      <c r="H14" s="2716"/>
      <c r="I14" s="2716"/>
      <c r="J14" s="2716"/>
      <c r="K14" s="27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52.5" customHeight="1" x14ac:dyDescent="0.2">
      <c r="B17" s="2716" t="s">
        <v>2109</v>
      </c>
      <c r="C17" s="2716"/>
      <c r="D17" s="2716"/>
      <c r="E17" s="2716"/>
      <c r="F17" s="2716"/>
      <c r="G17" s="2716"/>
      <c r="H17" s="2716"/>
      <c r="I17" s="2716"/>
      <c r="J17" s="2716"/>
      <c r="K17" s="2716"/>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720" t="s">
        <v>2063</v>
      </c>
      <c r="C20" s="2720"/>
      <c r="D20" s="2716"/>
      <c r="E20" s="2716"/>
      <c r="F20" s="2716"/>
      <c r="G20" s="2716"/>
      <c r="H20" s="2716"/>
      <c r="I20" s="2716"/>
      <c r="J20" s="2716"/>
      <c r="K20" s="271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16" t="s">
        <v>2107</v>
      </c>
      <c r="C23" s="2716"/>
      <c r="D23" s="2716"/>
      <c r="E23" s="2716"/>
      <c r="F23" s="2716"/>
      <c r="G23" s="2716"/>
      <c r="H23" s="2716"/>
      <c r="I23" s="2716"/>
      <c r="J23" s="2716"/>
      <c r="K23" s="271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716" t="s">
        <v>2108</v>
      </c>
      <c r="C26" s="2716"/>
      <c r="D26" s="2716"/>
      <c r="E26" s="2716"/>
      <c r="F26" s="2716"/>
      <c r="G26" s="2716"/>
      <c r="H26" s="2716"/>
      <c r="I26" s="2716"/>
      <c r="J26" s="2716"/>
      <c r="K26" s="271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15" t="s">
        <v>2064</v>
      </c>
      <c r="C29" s="2715"/>
      <c r="D29" s="2716"/>
      <c r="E29" s="2716"/>
      <c r="F29" s="2716"/>
      <c r="G29" s="2716"/>
      <c r="H29" s="2716"/>
      <c r="I29" s="2716"/>
      <c r="J29" s="2716"/>
      <c r="K29" s="27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715" t="s">
        <v>2065</v>
      </c>
      <c r="C32" s="2715"/>
      <c r="D32" s="2716"/>
      <c r="E32" s="2716"/>
      <c r="F32" s="2716"/>
      <c r="G32" s="2716"/>
      <c r="H32" s="2716"/>
      <c r="I32" s="2716"/>
      <c r="J32" s="2716"/>
      <c r="K32" s="27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1275</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21" t="str">
        <f>'Single Audit Cover'!A7</f>
        <v xml:space="preserve">  Princeville CUSD 326</v>
      </c>
      <c r="C1" s="2721"/>
      <c r="D1" s="2721"/>
      <c r="E1" s="2721"/>
      <c r="F1" s="2721"/>
      <c r="G1" s="2721"/>
      <c r="H1" s="2721"/>
      <c r="I1" s="2721"/>
      <c r="J1" s="2721"/>
      <c r="K1" s="2721"/>
      <c r="L1" s="1221"/>
    </row>
    <row r="2" spans="1:12" ht="12.75" customHeight="1" x14ac:dyDescent="0.2">
      <c r="B2" s="2722">
        <f>'Single Audit Cover'!E7</f>
        <v>48072326026</v>
      </c>
      <c r="C2" s="2722"/>
      <c r="D2" s="2722"/>
      <c r="E2" s="2722"/>
      <c r="F2" s="2722"/>
      <c r="G2" s="2722"/>
      <c r="H2" s="2722"/>
      <c r="I2" s="2722"/>
      <c r="J2" s="2722"/>
      <c r="K2" s="2722"/>
      <c r="L2" s="1222"/>
    </row>
    <row r="3" spans="1:12" ht="12.75" customHeight="1" x14ac:dyDescent="0.2">
      <c r="B3" s="2717" t="s">
        <v>1274</v>
      </c>
      <c r="C3" s="2717"/>
      <c r="D3" s="2717"/>
      <c r="E3" s="2717"/>
      <c r="F3" s="2717"/>
      <c r="G3" s="2717"/>
      <c r="H3" s="2717"/>
      <c r="I3" s="2717"/>
      <c r="J3" s="2717"/>
      <c r="K3" s="2717"/>
      <c r="L3" s="1147"/>
    </row>
    <row r="4" spans="1:12" ht="12.75" customHeight="1" x14ac:dyDescent="0.2">
      <c r="B4" s="2717" t="str">
        <f>'Single Audit Cover'!A4</f>
        <v>Year Ending June 30, 2020</v>
      </c>
      <c r="C4" s="2717"/>
      <c r="D4" s="2717"/>
      <c r="E4" s="2717"/>
      <c r="F4" s="2717"/>
      <c r="G4" s="2717"/>
      <c r="H4" s="2717"/>
      <c r="I4" s="2717"/>
      <c r="J4" s="2717"/>
      <c r="K4" s="2717"/>
      <c r="L4" s="1147"/>
    </row>
    <row r="5" spans="1:12" ht="5.25" customHeight="1" x14ac:dyDescent="0.2">
      <c r="B5" s="1036" t="s">
        <v>1159</v>
      </c>
      <c r="C5" s="1036"/>
      <c r="L5" s="300"/>
    </row>
    <row r="6" spans="1:12" ht="30.75" customHeight="1" x14ac:dyDescent="0.2">
      <c r="A6" s="300"/>
      <c r="B6" s="2723" t="s">
        <v>1297</v>
      </c>
      <c r="C6" s="2723"/>
      <c r="D6" s="2723"/>
      <c r="E6" s="2723"/>
      <c r="F6" s="2723"/>
      <c r="G6" s="2723"/>
      <c r="H6" s="2723"/>
      <c r="I6" s="2723"/>
      <c r="J6" s="2723"/>
      <c r="K6" s="2723"/>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9" t="str">
        <f>'AFR20'!$E$2&amp;"-"</f>
        <v>2020-</v>
      </c>
      <c r="D8" s="1223">
        <v>2</v>
      </c>
      <c r="E8" s="300"/>
      <c r="F8" s="1154" t="s">
        <v>1284</v>
      </c>
      <c r="G8" s="1224" t="s">
        <v>2047</v>
      </c>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01" t="s">
        <v>2090</v>
      </c>
      <c r="G12" s="2701"/>
      <c r="H12" s="2701"/>
      <c r="I12" s="2701"/>
      <c r="J12" s="2701"/>
      <c r="K12" s="27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24" t="s">
        <v>2101</v>
      </c>
      <c r="E14" s="2724"/>
      <c r="F14" s="2724"/>
      <c r="H14" s="1230" t="s">
        <v>1292</v>
      </c>
      <c r="I14" s="2725">
        <v>84.027000000000001</v>
      </c>
      <c r="J14" s="2725"/>
      <c r="K14" s="272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25" t="s">
        <v>2091</v>
      </c>
      <c r="E16" s="2725"/>
      <c r="F16" s="2725"/>
      <c r="G16" s="2725"/>
      <c r="H16" s="2725"/>
      <c r="I16" s="2725"/>
      <c r="J16" s="2725"/>
      <c r="K16" s="2725"/>
      <c r="L16" s="300"/>
    </row>
    <row r="17" spans="2:12" ht="13.5" customHeight="1" x14ac:dyDescent="0.2">
      <c r="B17" s="1156" t="s">
        <v>1290</v>
      </c>
      <c r="C17" s="1156"/>
      <c r="D17" s="2726" t="s">
        <v>2092</v>
      </c>
      <c r="E17" s="2726"/>
      <c r="F17" s="2726"/>
      <c r="G17" s="2726"/>
      <c r="H17" s="2726"/>
      <c r="I17" s="2726"/>
      <c r="J17" s="2726"/>
      <c r="K17" s="272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716" t="s">
        <v>2093</v>
      </c>
      <c r="C20" s="2716"/>
      <c r="D20" s="2716"/>
      <c r="E20" s="2716"/>
      <c r="F20" s="2716"/>
      <c r="G20" s="2716"/>
      <c r="H20" s="2716"/>
      <c r="I20" s="2716"/>
      <c r="J20" s="2716"/>
      <c r="K20" s="27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716" t="s">
        <v>2094</v>
      </c>
      <c r="C23" s="2716"/>
      <c r="D23" s="2716"/>
      <c r="E23" s="2716"/>
      <c r="F23" s="2716"/>
      <c r="G23" s="2716"/>
      <c r="H23" s="2716"/>
      <c r="I23" s="2716"/>
      <c r="J23" s="2716"/>
      <c r="K23" s="27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716" t="s">
        <v>2095</v>
      </c>
      <c r="C26" s="2716"/>
      <c r="D26" s="2716"/>
      <c r="E26" s="2716"/>
      <c r="F26" s="2716"/>
      <c r="G26" s="2716"/>
      <c r="H26" s="2716"/>
      <c r="I26" s="2716"/>
      <c r="J26" s="2716"/>
      <c r="K26" s="27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716" t="s">
        <v>2096</v>
      </c>
      <c r="C29" s="2716"/>
      <c r="D29" s="2716"/>
      <c r="E29" s="2716"/>
      <c r="F29" s="2716"/>
      <c r="G29" s="2716"/>
      <c r="H29" s="2716"/>
      <c r="I29" s="2716"/>
      <c r="J29" s="2716"/>
      <c r="K29" s="27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716" t="s">
        <v>2097</v>
      </c>
      <c r="C32" s="2716"/>
      <c r="D32" s="2716"/>
      <c r="E32" s="2716"/>
      <c r="F32" s="2716"/>
      <c r="G32" s="2716"/>
      <c r="H32" s="2716"/>
      <c r="I32" s="2716"/>
      <c r="J32" s="2716"/>
      <c r="K32" s="27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716" t="s">
        <v>2098</v>
      </c>
      <c r="C35" s="2716"/>
      <c r="D35" s="2716"/>
      <c r="E35" s="2716"/>
      <c r="F35" s="2716"/>
      <c r="G35" s="2716"/>
      <c r="H35" s="2716"/>
      <c r="I35" s="2716"/>
      <c r="J35" s="2716"/>
      <c r="K35" s="27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716" t="s">
        <v>2099</v>
      </c>
      <c r="C38" s="2716"/>
      <c r="D38" s="2716"/>
      <c r="E38" s="2716"/>
      <c r="F38" s="2716"/>
      <c r="G38" s="2716"/>
      <c r="H38" s="2716"/>
      <c r="I38" s="2716"/>
      <c r="J38" s="2716"/>
      <c r="K38" s="27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716" t="s">
        <v>2100</v>
      </c>
      <c r="C41" s="2716"/>
      <c r="D41" s="2716"/>
      <c r="E41" s="2716"/>
      <c r="F41" s="2716"/>
      <c r="G41" s="2716"/>
      <c r="H41" s="2716"/>
      <c r="I41" s="2716"/>
      <c r="J41" s="2716"/>
      <c r="K41" s="27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94" t="str">
        <f>'Single Audit Cover'!A7</f>
        <v xml:space="preserve">  Princeville CUSD 326</v>
      </c>
      <c r="C1" s="2694"/>
      <c r="D1" s="2694"/>
      <c r="E1" s="1240"/>
    </row>
    <row r="2" spans="2:5" s="1058" customFormat="1" ht="12.75" customHeight="1" x14ac:dyDescent="0.2">
      <c r="B2" s="2696">
        <f>'Single Audit Cover'!E7</f>
        <v>48072326026</v>
      </c>
      <c r="C2" s="2696"/>
      <c r="D2" s="2696"/>
      <c r="E2" s="1241"/>
    </row>
    <row r="3" spans="2:5" ht="12.75" customHeight="1" x14ac:dyDescent="0.2">
      <c r="B3" s="2717" t="s">
        <v>1739</v>
      </c>
      <c r="C3" s="2717"/>
      <c r="D3" s="2717"/>
      <c r="E3" s="1050"/>
    </row>
    <row r="4" spans="2:5" s="1058" customFormat="1" ht="12.75" customHeight="1" x14ac:dyDescent="0.2">
      <c r="B4" s="2727" t="str">
        <f>'Single Audit Cover'!A4</f>
        <v>Year Ending June 30, 2020</v>
      </c>
      <c r="C4" s="2727"/>
      <c r="D4" s="2727"/>
      <c r="E4" s="1242"/>
    </row>
    <row r="5" spans="2:5" s="1058" customFormat="1" ht="40.15" customHeight="1" x14ac:dyDescent="0.2">
      <c r="B5" s="1243" t="s">
        <v>1740</v>
      </c>
      <c r="C5" s="306"/>
      <c r="D5" s="306"/>
      <c r="E5" s="306"/>
    </row>
    <row r="6" spans="2:5" s="1058" customFormat="1" ht="13.5" customHeight="1" x14ac:dyDescent="0.2">
      <c r="B6" s="1244" t="s">
        <v>1304</v>
      </c>
      <c r="C6" s="1244" t="s">
        <v>1303</v>
      </c>
      <c r="D6" s="1244" t="s">
        <v>1741</v>
      </c>
    </row>
    <row r="7" spans="2:5" ht="13.5" customHeight="1" x14ac:dyDescent="0.2">
      <c r="B7" s="1245" t="s">
        <v>2056</v>
      </c>
      <c r="C7" s="302" t="s">
        <v>2057</v>
      </c>
      <c r="D7" s="302" t="s">
        <v>2058</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1742</v>
      </c>
    </row>
    <row r="46" spans="2:5" ht="12.2" customHeight="1" x14ac:dyDescent="0.2">
      <c r="B46" s="1254" t="s">
        <v>1743</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D6A1A-3138-410F-A416-96C30E1900E2}">
  <sheetPr>
    <pageSetUpPr fitToPage="1"/>
  </sheetPr>
  <dimension ref="B1:L70"/>
  <sheetViews>
    <sheetView showGridLines="0" zoomScale="110" zoomScaleNormal="110" zoomScaleSheetLayoutView="100" workbookViewId="0"/>
  </sheetViews>
  <sheetFormatPr defaultColWidth="9.140625" defaultRowHeight="12.75" x14ac:dyDescent="0.2"/>
  <cols>
    <col min="1" max="1" width="1.5703125" style="2036" customWidth="1"/>
    <col min="2" max="2" width="11.28515625" style="2036" customWidth="1"/>
    <col min="3" max="3" width="6.42578125" style="2036" customWidth="1"/>
    <col min="4" max="4" width="5.42578125" style="2036" customWidth="1"/>
    <col min="5" max="5" width="74.7109375" style="2036" customWidth="1"/>
    <col min="6" max="6" width="1.5703125" style="2036" customWidth="1"/>
    <col min="7" max="8" width="2.42578125" style="2036" customWidth="1"/>
    <col min="9" max="9" width="9.28515625" style="2036" customWidth="1"/>
    <col min="10" max="10" width="14.42578125" style="2036" customWidth="1"/>
    <col min="11" max="11" width="7.28515625" style="2036" customWidth="1"/>
    <col min="12" max="12" width="3.140625" style="2036" customWidth="1"/>
    <col min="13" max="16384" width="9.140625" style="2036"/>
  </cols>
  <sheetData>
    <row r="1" spans="2:12" ht="13.5" customHeight="1" x14ac:dyDescent="0.2">
      <c r="B1" s="2729" t="s">
        <v>2066</v>
      </c>
      <c r="C1" s="2729"/>
      <c r="D1" s="2729"/>
      <c r="E1" s="2729"/>
      <c r="F1" s="2035"/>
      <c r="G1" s="2035"/>
      <c r="H1" s="2035"/>
      <c r="I1" s="2035"/>
      <c r="J1" s="2035"/>
      <c r="K1" s="2035"/>
      <c r="L1" s="2035"/>
    </row>
    <row r="2" spans="2:12" ht="13.5" customHeight="1" x14ac:dyDescent="0.2">
      <c r="B2" s="2730" t="s">
        <v>2067</v>
      </c>
      <c r="C2" s="2730"/>
      <c r="D2" s="2730"/>
      <c r="E2" s="2730"/>
      <c r="F2" s="2037"/>
      <c r="G2" s="2037"/>
      <c r="H2" s="2037"/>
      <c r="I2" s="2037"/>
      <c r="J2" s="2037"/>
      <c r="K2" s="2037"/>
      <c r="L2" s="2037"/>
    </row>
    <row r="3" spans="2:12" ht="13.5" customHeight="1" x14ac:dyDescent="0.2">
      <c r="B3" s="2731" t="s">
        <v>2068</v>
      </c>
      <c r="C3" s="2731"/>
      <c r="D3" s="2731"/>
      <c r="E3" s="2731"/>
      <c r="F3" s="2038"/>
      <c r="G3" s="2038"/>
      <c r="H3" s="2038"/>
      <c r="I3" s="2038"/>
      <c r="J3" s="2038"/>
      <c r="K3" s="2038"/>
      <c r="L3" s="2038"/>
    </row>
    <row r="4" spans="2:12" ht="13.5" customHeight="1" x14ac:dyDescent="0.2">
      <c r="B4" s="2732" t="s">
        <v>2081</v>
      </c>
      <c r="C4" s="2732"/>
      <c r="D4" s="2732"/>
      <c r="E4" s="2732"/>
      <c r="F4" s="2039"/>
      <c r="G4" s="2039"/>
      <c r="H4" s="2039"/>
      <c r="I4" s="2039"/>
      <c r="J4" s="2039"/>
      <c r="K4" s="2039"/>
      <c r="L4" s="2039"/>
    </row>
    <row r="5" spans="2:12" ht="29.85" customHeight="1" x14ac:dyDescent="0.2"/>
    <row r="6" spans="2:12" ht="13.5" customHeight="1" x14ac:dyDescent="0.2">
      <c r="B6" s="2040" t="s">
        <v>2069</v>
      </c>
      <c r="C6" s="2040"/>
      <c r="D6" s="2041"/>
      <c r="E6" s="2042"/>
      <c r="F6" s="2042"/>
      <c r="G6" s="2043"/>
      <c r="H6" s="2043"/>
      <c r="I6" s="2043"/>
    </row>
    <row r="7" spans="2:12" ht="13.5" customHeight="1" x14ac:dyDescent="0.2">
      <c r="B7" s="2036" t="s">
        <v>1159</v>
      </c>
    </row>
    <row r="8" spans="2:12" ht="13.5" customHeight="1" x14ac:dyDescent="0.2">
      <c r="B8" s="2044" t="s">
        <v>2070</v>
      </c>
      <c r="C8" s="2045" t="s">
        <v>2080</v>
      </c>
      <c r="D8" s="2046">
        <v>1</v>
      </c>
    </row>
    <row r="9" spans="2:12" ht="13.5" customHeight="1" x14ac:dyDescent="0.2">
      <c r="B9" s="2047"/>
      <c r="C9" s="2047"/>
      <c r="D9" s="2047"/>
    </row>
    <row r="10" spans="2:12" ht="13.5" customHeight="1" x14ac:dyDescent="0.2">
      <c r="B10" s="2044" t="s">
        <v>2071</v>
      </c>
      <c r="C10" s="2044"/>
    </row>
    <row r="11" spans="2:12" ht="67.5" customHeight="1" x14ac:dyDescent="0.2">
      <c r="B11" s="2728" t="s">
        <v>2110</v>
      </c>
      <c r="C11" s="2728"/>
      <c r="D11" s="2728"/>
      <c r="E11" s="2728"/>
    </row>
    <row r="12" spans="2:12" ht="7.5" customHeight="1" x14ac:dyDescent="0.2"/>
    <row r="13" spans="2:12" ht="13.5" customHeight="1" x14ac:dyDescent="0.2">
      <c r="B13" s="2044" t="s">
        <v>2072</v>
      </c>
      <c r="C13" s="2044"/>
    </row>
    <row r="14" spans="2:12" ht="76.5" customHeight="1" x14ac:dyDescent="0.2">
      <c r="B14" s="2728" t="s">
        <v>2065</v>
      </c>
      <c r="C14" s="2728"/>
      <c r="D14" s="2728"/>
      <c r="E14" s="2728"/>
    </row>
    <row r="15" spans="2:12" ht="13.5" customHeight="1" x14ac:dyDescent="0.2"/>
    <row r="16" spans="2:12" ht="13.5" customHeight="1" x14ac:dyDescent="0.2">
      <c r="B16" s="2044" t="s">
        <v>2073</v>
      </c>
      <c r="C16" s="2044"/>
      <c r="E16" s="2048" t="s">
        <v>2074</v>
      </c>
    </row>
    <row r="17" spans="2:5" ht="13.5" customHeight="1" x14ac:dyDescent="0.2"/>
    <row r="18" spans="2:5" ht="13.5" customHeight="1" x14ac:dyDescent="0.2">
      <c r="B18" s="2044" t="s">
        <v>2075</v>
      </c>
      <c r="C18" s="2044"/>
      <c r="E18" s="2049" t="s">
        <v>2076</v>
      </c>
    </row>
    <row r="19" spans="2:5" ht="13.5" customHeight="1" x14ac:dyDescent="0.2"/>
    <row r="20" spans="2:5" ht="13.5" customHeight="1" x14ac:dyDescent="0.2">
      <c r="B20" s="2044" t="s">
        <v>2077</v>
      </c>
      <c r="C20" s="2044"/>
      <c r="E20" s="2049" t="s">
        <v>2078</v>
      </c>
    </row>
    <row r="21" spans="2:5" ht="13.5" customHeight="1" x14ac:dyDescent="0.2">
      <c r="E21" s="2049"/>
    </row>
    <row r="22" spans="2:5" ht="13.5" customHeight="1" x14ac:dyDescent="0.2">
      <c r="E22" s="2049"/>
    </row>
    <row r="23" spans="2:5" ht="13.5" customHeight="1" x14ac:dyDescent="0.2"/>
    <row r="24" spans="2:5" ht="13.5" customHeight="1" x14ac:dyDescent="0.2"/>
    <row r="25" spans="2:5" ht="13.5" customHeight="1" x14ac:dyDescent="0.2">
      <c r="B25" s="2050"/>
      <c r="C25" s="2050"/>
      <c r="D25" s="2050"/>
    </row>
    <row r="26" spans="2:5" ht="13.5" customHeight="1" x14ac:dyDescent="0.2">
      <c r="B26" s="2050"/>
      <c r="C26" s="2050"/>
      <c r="D26" s="2050"/>
    </row>
    <row r="27" spans="2:5" ht="13.5" customHeight="1" x14ac:dyDescent="0.2">
      <c r="B27" s="2050"/>
      <c r="C27" s="2050"/>
      <c r="D27" s="20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1"/>
      <c r="C35" s="2051"/>
      <c r="D35" s="2051"/>
    </row>
    <row r="36" spans="2:5" ht="13.5" customHeight="1" x14ac:dyDescent="0.2"/>
    <row r="37" spans="2:5" ht="13.5" customHeight="1" x14ac:dyDescent="0.2">
      <c r="B37" s="2051"/>
      <c r="C37" s="2051"/>
      <c r="D37" s="2051"/>
    </row>
    <row r="38" spans="2:5" ht="13.5" customHeight="1" x14ac:dyDescent="0.2">
      <c r="B38" s="2051"/>
      <c r="C38" s="2051"/>
      <c r="D38" s="2051"/>
    </row>
    <row r="39" spans="2:5" ht="13.5" customHeight="1" x14ac:dyDescent="0.2">
      <c r="B39" s="2051"/>
      <c r="C39" s="2051"/>
      <c r="D39" s="2051"/>
    </row>
    <row r="40" spans="2:5" ht="13.5" customHeight="1" x14ac:dyDescent="0.2">
      <c r="B40" s="2051"/>
      <c r="C40" s="2051"/>
      <c r="D40" s="2051"/>
    </row>
    <row r="41" spans="2:5" ht="13.5" customHeight="1" x14ac:dyDescent="0.2">
      <c r="B41" s="2052"/>
      <c r="C41" s="2052"/>
      <c r="D41" s="2052"/>
      <c r="E41" s="2052"/>
    </row>
    <row r="42" spans="2:5" ht="12.2" customHeight="1" x14ac:dyDescent="0.2">
      <c r="B42" s="2053" t="s">
        <v>2079</v>
      </c>
      <c r="C42" s="2053"/>
      <c r="D42" s="2053"/>
    </row>
    <row r="43" spans="2:5" ht="12.2" customHeight="1" x14ac:dyDescent="0.2">
      <c r="B43" s="2054"/>
      <c r="C43" s="2054"/>
      <c r="D43" s="2054"/>
    </row>
    <row r="44" spans="2:5" ht="12.75" customHeight="1" x14ac:dyDescent="0.2">
      <c r="B44" s="2044"/>
      <c r="C44" s="2044"/>
      <c r="D44" s="2044"/>
    </row>
    <row r="45" spans="2:5" ht="12.75" customHeight="1" x14ac:dyDescent="0.2">
      <c r="B45" s="2044"/>
      <c r="C45" s="2044"/>
      <c r="D45" s="2044"/>
    </row>
    <row r="46" spans="2:5" x14ac:dyDescent="0.2">
      <c r="B46" s="2044"/>
      <c r="C46" s="2044"/>
      <c r="D46" s="2044"/>
    </row>
    <row r="47" spans="2:5" x14ac:dyDescent="0.2">
      <c r="B47" s="2044"/>
      <c r="C47" s="2044"/>
      <c r="D47" s="2044"/>
    </row>
    <row r="51" spans="2:4" x14ac:dyDescent="0.2">
      <c r="B51" s="2055"/>
      <c r="C51" s="2055"/>
      <c r="D51" s="20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6"/>
      <c r="C64" s="2056"/>
      <c r="D64" s="2056"/>
    </row>
    <row r="65" spans="2:4" x14ac:dyDescent="0.2">
      <c r="B65" s="2044"/>
      <c r="C65" s="2044"/>
      <c r="D65" s="2044"/>
    </row>
    <row r="66" spans="2:4" x14ac:dyDescent="0.2">
      <c r="B66" s="2044"/>
      <c r="C66" s="2044"/>
      <c r="D66" s="2044"/>
    </row>
    <row r="67" spans="2:4" x14ac:dyDescent="0.2">
      <c r="B67" s="2056"/>
      <c r="C67" s="2056"/>
      <c r="D67" s="2056"/>
    </row>
    <row r="68" spans="2:4" x14ac:dyDescent="0.2">
      <c r="B68" s="2056"/>
      <c r="C68" s="2056"/>
      <c r="D68" s="2056"/>
    </row>
    <row r="69" spans="2:4" x14ac:dyDescent="0.2">
      <c r="B69" s="2056"/>
      <c r="C69" s="2056"/>
      <c r="D69" s="2056"/>
    </row>
    <row r="70" spans="2:4" x14ac:dyDescent="0.2">
      <c r="B70" s="2044"/>
      <c r="C70" s="2044"/>
      <c r="D70" s="2044"/>
    </row>
  </sheetData>
  <mergeCells count="6">
    <mergeCell ref="B14:E14"/>
    <mergeCell ref="B1:E1"/>
    <mergeCell ref="B2:E2"/>
    <mergeCell ref="B3:E3"/>
    <mergeCell ref="B4:E4"/>
    <mergeCell ref="B11:E11"/>
  </mergeCells>
  <pageMargins left="0.25" right="0.27" top="0.68" bottom="0.53" header="0.26" footer="0.27"/>
  <pageSetup firstPageNumber="44" fitToHeight="0"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AA2F6-4367-48F1-AC59-A62FABDE315E}">
  <sheetPr>
    <pageSetUpPr fitToPage="1"/>
  </sheetPr>
  <dimension ref="B1:L70"/>
  <sheetViews>
    <sheetView showGridLines="0" zoomScale="110" zoomScaleNormal="110" zoomScaleSheetLayoutView="100" workbookViewId="0"/>
  </sheetViews>
  <sheetFormatPr defaultColWidth="9.140625" defaultRowHeight="12.75" x14ac:dyDescent="0.2"/>
  <cols>
    <col min="1" max="1" width="1.5703125" style="2036" customWidth="1"/>
    <col min="2" max="2" width="11.28515625" style="2036" customWidth="1"/>
    <col min="3" max="3" width="6.42578125" style="2036" customWidth="1"/>
    <col min="4" max="4" width="5.42578125" style="2036" customWidth="1"/>
    <col min="5" max="5" width="74.7109375" style="2036" customWidth="1"/>
    <col min="6" max="6" width="1.5703125" style="2036" customWidth="1"/>
    <col min="7" max="8" width="2.42578125" style="2036" customWidth="1"/>
    <col min="9" max="9" width="9.28515625" style="2036" customWidth="1"/>
    <col min="10" max="10" width="14.42578125" style="2036" customWidth="1"/>
    <col min="11" max="11" width="7.28515625" style="2036" customWidth="1"/>
    <col min="12" max="12" width="3.140625" style="2036" customWidth="1"/>
    <col min="13" max="16384" width="9.140625" style="2036"/>
  </cols>
  <sheetData>
    <row r="1" spans="2:12" ht="13.5" customHeight="1" x14ac:dyDescent="0.2">
      <c r="B1" s="2729" t="s">
        <v>2066</v>
      </c>
      <c r="C1" s="2729"/>
      <c r="D1" s="2729"/>
      <c r="E1" s="2729"/>
      <c r="F1" s="2035"/>
      <c r="G1" s="2035"/>
      <c r="H1" s="2035"/>
      <c r="I1" s="2035"/>
      <c r="J1" s="2035"/>
      <c r="K1" s="2035"/>
      <c r="L1" s="2035"/>
    </row>
    <row r="2" spans="2:12" ht="13.5" customHeight="1" x14ac:dyDescent="0.2">
      <c r="B2" s="2730" t="s">
        <v>2067</v>
      </c>
      <c r="C2" s="2730"/>
      <c r="D2" s="2730"/>
      <c r="E2" s="2730"/>
      <c r="F2" s="2037"/>
      <c r="G2" s="2037"/>
      <c r="H2" s="2037"/>
      <c r="I2" s="2037"/>
      <c r="J2" s="2037"/>
      <c r="K2" s="2037"/>
      <c r="L2" s="2037"/>
    </row>
    <row r="3" spans="2:12" ht="13.5" customHeight="1" x14ac:dyDescent="0.2">
      <c r="B3" s="2731" t="s">
        <v>2068</v>
      </c>
      <c r="C3" s="2731"/>
      <c r="D3" s="2731"/>
      <c r="E3" s="2731"/>
      <c r="F3" s="2038"/>
      <c r="G3" s="2038"/>
      <c r="H3" s="2038"/>
      <c r="I3" s="2038"/>
      <c r="J3" s="2038"/>
      <c r="K3" s="2038"/>
      <c r="L3" s="2038"/>
    </row>
    <row r="4" spans="2:12" ht="13.5" customHeight="1" x14ac:dyDescent="0.2">
      <c r="B4" s="2732" t="s">
        <v>2081</v>
      </c>
      <c r="C4" s="2732"/>
      <c r="D4" s="2732"/>
      <c r="E4" s="2732"/>
      <c r="F4" s="2039"/>
      <c r="G4" s="2039"/>
      <c r="H4" s="2039"/>
      <c r="I4" s="2039"/>
      <c r="J4" s="2039"/>
      <c r="K4" s="2039"/>
      <c r="L4" s="2039"/>
    </row>
    <row r="5" spans="2:12" ht="29.85" customHeight="1" x14ac:dyDescent="0.2"/>
    <row r="6" spans="2:12" ht="13.5" customHeight="1" x14ac:dyDescent="0.2">
      <c r="B6" s="2040" t="s">
        <v>2069</v>
      </c>
      <c r="C6" s="2040"/>
      <c r="D6" s="2041"/>
      <c r="E6" s="2042"/>
      <c r="F6" s="2042"/>
      <c r="G6" s="2043"/>
      <c r="H6" s="2043"/>
      <c r="I6" s="2043"/>
    </row>
    <row r="7" spans="2:12" ht="13.5" customHeight="1" x14ac:dyDescent="0.2">
      <c r="B7" s="2036" t="s">
        <v>1159</v>
      </c>
    </row>
    <row r="8" spans="2:12" ht="13.5" customHeight="1" x14ac:dyDescent="0.2">
      <c r="B8" s="2044" t="s">
        <v>2070</v>
      </c>
      <c r="C8" s="2045" t="s">
        <v>2080</v>
      </c>
      <c r="D8" s="2046">
        <v>2</v>
      </c>
    </row>
    <row r="9" spans="2:12" ht="13.5" customHeight="1" x14ac:dyDescent="0.2">
      <c r="B9" s="2047"/>
      <c r="C9" s="2047"/>
      <c r="D9" s="2047"/>
    </row>
    <row r="10" spans="2:12" ht="13.5" customHeight="1" x14ac:dyDescent="0.2">
      <c r="B10" s="2044" t="s">
        <v>2071</v>
      </c>
      <c r="C10" s="2044"/>
    </row>
    <row r="11" spans="2:12" ht="66.75" customHeight="1" x14ac:dyDescent="0.2">
      <c r="B11" s="2728" t="s">
        <v>2102</v>
      </c>
      <c r="C11" s="2728"/>
      <c r="D11" s="2728"/>
      <c r="E11" s="2728"/>
    </row>
    <row r="12" spans="2:12" ht="13.5" customHeight="1" x14ac:dyDescent="0.2"/>
    <row r="13" spans="2:12" ht="13.5" customHeight="1" x14ac:dyDescent="0.2">
      <c r="B13" s="2044" t="s">
        <v>2072</v>
      </c>
      <c r="C13" s="2044"/>
    </row>
    <row r="14" spans="2:12" ht="76.5" customHeight="1" x14ac:dyDescent="0.2">
      <c r="B14" s="2728" t="s">
        <v>2103</v>
      </c>
      <c r="C14" s="2728"/>
      <c r="D14" s="2728"/>
      <c r="E14" s="2728"/>
    </row>
    <row r="15" spans="2:12" ht="13.5" customHeight="1" x14ac:dyDescent="0.2"/>
    <row r="16" spans="2:12" ht="13.5" customHeight="1" x14ac:dyDescent="0.2">
      <c r="B16" s="2044" t="s">
        <v>2073</v>
      </c>
      <c r="C16" s="2044"/>
      <c r="E16" s="2048">
        <v>44377</v>
      </c>
    </row>
    <row r="17" spans="2:5" ht="13.5" customHeight="1" x14ac:dyDescent="0.2"/>
    <row r="18" spans="2:5" ht="13.5" customHeight="1" x14ac:dyDescent="0.2">
      <c r="B18" s="2044" t="s">
        <v>2075</v>
      </c>
      <c r="C18" s="2044"/>
      <c r="E18" s="2049" t="s">
        <v>2076</v>
      </c>
    </row>
    <row r="19" spans="2:5" ht="13.5" customHeight="1" x14ac:dyDescent="0.2"/>
    <row r="20" spans="2:5" ht="13.5" customHeight="1" x14ac:dyDescent="0.2">
      <c r="B20" s="2044" t="s">
        <v>2077</v>
      </c>
      <c r="C20" s="2044"/>
      <c r="E20" s="2049" t="s">
        <v>2078</v>
      </c>
    </row>
    <row r="21" spans="2:5" ht="13.5" customHeight="1" x14ac:dyDescent="0.2">
      <c r="E21" s="2049"/>
    </row>
    <row r="22" spans="2:5" ht="13.5" customHeight="1" x14ac:dyDescent="0.2">
      <c r="E22" s="2049"/>
    </row>
    <row r="23" spans="2:5" ht="13.5" customHeight="1" x14ac:dyDescent="0.2"/>
    <row r="24" spans="2:5" ht="13.5" customHeight="1" x14ac:dyDescent="0.2"/>
    <row r="25" spans="2:5" ht="13.5" customHeight="1" x14ac:dyDescent="0.2">
      <c r="B25" s="2050"/>
      <c r="C25" s="2050"/>
      <c r="D25" s="2050"/>
    </row>
    <row r="26" spans="2:5" ht="13.5" customHeight="1" x14ac:dyDescent="0.2">
      <c r="B26" s="2050"/>
      <c r="C26" s="2050"/>
      <c r="D26" s="2050"/>
    </row>
    <row r="27" spans="2:5" ht="13.5" customHeight="1" x14ac:dyDescent="0.2">
      <c r="B27" s="2050"/>
      <c r="C27" s="2050"/>
      <c r="D27" s="20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1"/>
      <c r="C35" s="2051"/>
      <c r="D35" s="2051"/>
    </row>
    <row r="36" spans="2:5" ht="13.5" customHeight="1" x14ac:dyDescent="0.2"/>
    <row r="37" spans="2:5" ht="13.5" customHeight="1" x14ac:dyDescent="0.2">
      <c r="B37" s="2051"/>
      <c r="C37" s="2051"/>
      <c r="D37" s="2051"/>
    </row>
    <row r="38" spans="2:5" ht="13.5" customHeight="1" x14ac:dyDescent="0.2">
      <c r="B38" s="2051"/>
      <c r="C38" s="2051"/>
      <c r="D38" s="2051"/>
    </row>
    <row r="39" spans="2:5" ht="13.5" customHeight="1" x14ac:dyDescent="0.2">
      <c r="B39" s="2051"/>
      <c r="C39" s="2051"/>
      <c r="D39" s="2051"/>
    </row>
    <row r="40" spans="2:5" ht="13.5" customHeight="1" x14ac:dyDescent="0.2">
      <c r="B40" s="2051"/>
      <c r="C40" s="2051"/>
      <c r="D40" s="2051"/>
    </row>
    <row r="41" spans="2:5" ht="13.5" customHeight="1" x14ac:dyDescent="0.2">
      <c r="B41" s="2052"/>
      <c r="C41" s="2052"/>
      <c r="D41" s="2052"/>
      <c r="E41" s="2052"/>
    </row>
    <row r="42" spans="2:5" ht="12.2" customHeight="1" x14ac:dyDescent="0.2">
      <c r="B42" s="2053" t="s">
        <v>2079</v>
      </c>
      <c r="C42" s="2053"/>
      <c r="D42" s="2053"/>
    </row>
    <row r="43" spans="2:5" ht="12.2" customHeight="1" x14ac:dyDescent="0.2">
      <c r="B43" s="2054"/>
      <c r="C43" s="2054"/>
      <c r="D43" s="2054"/>
    </row>
    <row r="44" spans="2:5" ht="12.75" customHeight="1" x14ac:dyDescent="0.2">
      <c r="B44" s="2044"/>
      <c r="C44" s="2044"/>
      <c r="D44" s="2044"/>
    </row>
    <row r="45" spans="2:5" ht="12.75" customHeight="1" x14ac:dyDescent="0.2">
      <c r="B45" s="2044"/>
      <c r="C45" s="2044"/>
      <c r="D45" s="2044"/>
    </row>
    <row r="46" spans="2:5" x14ac:dyDescent="0.2">
      <c r="B46" s="2044"/>
      <c r="C46" s="2044"/>
      <c r="D46" s="2044"/>
    </row>
    <row r="47" spans="2:5" x14ac:dyDescent="0.2">
      <c r="B47" s="2044"/>
      <c r="C47" s="2044"/>
      <c r="D47" s="2044"/>
    </row>
    <row r="51" spans="2:4" x14ac:dyDescent="0.2">
      <c r="B51" s="2055"/>
      <c r="C51" s="2055"/>
      <c r="D51" s="20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6"/>
      <c r="C64" s="2056"/>
      <c r="D64" s="2056"/>
    </row>
    <row r="65" spans="2:4" x14ac:dyDescent="0.2">
      <c r="B65" s="2044"/>
      <c r="C65" s="2044"/>
      <c r="D65" s="2044"/>
    </row>
    <row r="66" spans="2:4" x14ac:dyDescent="0.2">
      <c r="B66" s="2044"/>
      <c r="C66" s="2044"/>
      <c r="D66" s="2044"/>
    </row>
    <row r="67" spans="2:4" x14ac:dyDescent="0.2">
      <c r="B67" s="2056"/>
      <c r="C67" s="2056"/>
      <c r="D67" s="2056"/>
    </row>
    <row r="68" spans="2:4" x14ac:dyDescent="0.2">
      <c r="B68" s="2056"/>
      <c r="C68" s="2056"/>
      <c r="D68" s="2056"/>
    </row>
    <row r="69" spans="2:4" x14ac:dyDescent="0.2">
      <c r="B69" s="2056"/>
      <c r="C69" s="2056"/>
      <c r="D69" s="2056"/>
    </row>
    <row r="70" spans="2:4" x14ac:dyDescent="0.2">
      <c r="B70" s="2044"/>
      <c r="C70" s="2044"/>
      <c r="D70" s="2044"/>
    </row>
  </sheetData>
  <mergeCells count="6">
    <mergeCell ref="B14:E14"/>
    <mergeCell ref="B1:E1"/>
    <mergeCell ref="B2:E2"/>
    <mergeCell ref="B3:E3"/>
    <mergeCell ref="B4:E4"/>
    <mergeCell ref="B11:E11"/>
  </mergeCells>
  <pageMargins left="0.25" right="0.27" top="0.68" bottom="0.53" header="0.26" footer="0.27"/>
  <pageSetup firstPageNumber="44" fitToHeight="0"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92" t="s">
        <v>383</v>
      </c>
      <c r="B1" s="2292"/>
      <c r="C1" s="2292"/>
      <c r="D1" s="2292"/>
      <c r="E1" s="2292"/>
      <c r="F1" s="2292"/>
      <c r="G1" s="2292"/>
      <c r="H1" s="2292"/>
      <c r="I1" s="2292"/>
      <c r="J1" s="2292"/>
      <c r="K1" s="2292"/>
      <c r="L1" s="2292"/>
      <c r="M1" s="22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98771371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3.1699999999999999E-2</v>
      </c>
      <c r="E10" s="333" t="s">
        <v>998</v>
      </c>
      <c r="F10" s="332">
        <v>5.0000000000000001E-3</v>
      </c>
      <c r="G10" s="333" t="s">
        <v>998</v>
      </c>
      <c r="H10" s="332">
        <v>2E-3</v>
      </c>
      <c r="I10" s="333" t="s">
        <v>999</v>
      </c>
      <c r="J10" s="1424">
        <f>ROUND(D10+F10+H10,5)</f>
        <v>3.8699999999999998E-2</v>
      </c>
      <c r="K10" s="217"/>
      <c r="L10" s="332">
        <v>5.0000000000000001E-4</v>
      </c>
      <c r="M10" s="217"/>
    </row>
    <row r="11" spans="1:14" ht="7.5" customHeight="1" x14ac:dyDescent="0.2">
      <c r="B11" s="217"/>
      <c r="C11" s="217"/>
      <c r="D11" s="2302" t="str">
        <f>IF(SUM(J10)&lt;=0.0999999,"","Enter the Tax Rates by moving the decimal two places to the left.")</f>
        <v/>
      </c>
      <c r="E11" s="2303"/>
      <c r="F11" s="2303"/>
      <c r="G11" s="2303"/>
      <c r="H11" s="2303"/>
      <c r="I11" s="2303"/>
      <c r="J11" s="23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6348700</v>
      </c>
      <c r="E16" s="1547"/>
      <c r="F16" s="1546">
        <f>SUM('Acct Summary 7-8'!C17,'Acct Summary 7-8'!D17,'Acct Summary 7-8'!F17)</f>
        <v>7667272</v>
      </c>
      <c r="G16" s="1547"/>
      <c r="H16" s="1546">
        <f>SUM(D16-F16)</f>
        <v>-1318572</v>
      </c>
      <c r="I16" s="1548"/>
      <c r="J16" s="1546">
        <f>SUM('Acct Summary 7-8'!C81,'Acct Summary 7-8'!D81,'Acct Summary 7-8'!F81,'Acct Summary 7-8'!I81)</f>
        <v>3595872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1630</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13630449.198000001</v>
      </c>
      <c r="I31" s="345"/>
      <c r="J31" s="217"/>
      <c r="K31" s="217"/>
      <c r="L31" s="217"/>
      <c r="M31" s="217"/>
    </row>
    <row r="32" spans="1:13" ht="13.35" customHeight="1" x14ac:dyDescent="0.2">
      <c r="B32" s="346" t="s">
        <v>2087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12835400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93"/>
      <c r="C54" s="2294"/>
      <c r="D54" s="2294"/>
      <c r="E54" s="2294"/>
      <c r="F54" s="2294"/>
      <c r="G54" s="2294"/>
      <c r="H54" s="2294"/>
      <c r="I54" s="2294"/>
      <c r="J54" s="2294"/>
      <c r="K54" s="2294"/>
      <c r="L54" s="2295"/>
      <c r="M54" s="357"/>
    </row>
    <row r="55" spans="1:13" ht="12.75" customHeight="1" x14ac:dyDescent="0.2">
      <c r="B55" s="2296"/>
      <c r="C55" s="2297"/>
      <c r="D55" s="2297"/>
      <c r="E55" s="2297"/>
      <c r="F55" s="2297"/>
      <c r="G55" s="2297"/>
      <c r="H55" s="2297"/>
      <c r="I55" s="2297"/>
      <c r="J55" s="2297"/>
      <c r="K55" s="2297"/>
      <c r="L55" s="2298"/>
      <c r="M55" s="357"/>
    </row>
    <row r="56" spans="1:13" ht="12.75" customHeight="1" x14ac:dyDescent="0.2">
      <c r="B56" s="2296"/>
      <c r="C56" s="2297"/>
      <c r="D56" s="2297"/>
      <c r="E56" s="2297"/>
      <c r="F56" s="2297"/>
      <c r="G56" s="2297"/>
      <c r="H56" s="2297"/>
      <c r="I56" s="2297"/>
      <c r="J56" s="2297"/>
      <c r="K56" s="2297"/>
      <c r="L56" s="2298"/>
      <c r="M56" s="217"/>
    </row>
    <row r="57" spans="1:13" ht="12.75" customHeight="1" x14ac:dyDescent="0.2">
      <c r="B57" s="2296"/>
      <c r="C57" s="2297"/>
      <c r="D57" s="2297"/>
      <c r="E57" s="2297"/>
      <c r="F57" s="2297"/>
      <c r="G57" s="2297"/>
      <c r="H57" s="2297"/>
      <c r="I57" s="2297"/>
      <c r="J57" s="2297"/>
      <c r="K57" s="2297"/>
      <c r="L57" s="2298"/>
      <c r="M57" s="217"/>
    </row>
    <row r="58" spans="1:13" x14ac:dyDescent="0.2">
      <c r="B58" s="2299"/>
      <c r="C58" s="2300"/>
      <c r="D58" s="2300"/>
      <c r="E58" s="2300"/>
      <c r="F58" s="2300"/>
      <c r="G58" s="2300"/>
      <c r="H58" s="2300"/>
      <c r="I58" s="2300"/>
      <c r="J58" s="2300"/>
      <c r="K58" s="2300"/>
      <c r="L58" s="23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04"/>
      <c r="D61" s="23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07"/>
      <c r="B1" s="2308"/>
      <c r="C1" s="2308"/>
      <c r="D1" s="361"/>
      <c r="E1" s="361"/>
      <c r="F1" s="361"/>
      <c r="G1" s="361"/>
      <c r="H1" s="361"/>
      <c r="I1" s="361"/>
      <c r="J1" s="361"/>
      <c r="K1" s="361"/>
      <c r="L1" s="361"/>
      <c r="M1" s="361"/>
      <c r="N1" s="361"/>
      <c r="O1" s="2307"/>
      <c r="P1" s="2308"/>
      <c r="Q1" s="2308"/>
    </row>
    <row r="2" spans="1:18" ht="15" x14ac:dyDescent="0.2">
      <c r="A2" s="2311" t="s">
        <v>552</v>
      </c>
      <c r="B2" s="2311"/>
      <c r="C2" s="2311"/>
      <c r="D2" s="2311"/>
      <c r="E2" s="2311"/>
      <c r="F2" s="2311"/>
      <c r="G2" s="2311"/>
      <c r="H2" s="2311"/>
      <c r="I2" s="2311"/>
      <c r="J2" s="2311"/>
      <c r="K2" s="2311"/>
      <c r="L2" s="2311"/>
      <c r="M2" s="2311"/>
      <c r="N2" s="2311"/>
      <c r="O2" s="2311"/>
      <c r="P2" s="2311"/>
      <c r="Q2" s="2311"/>
      <c r="R2" s="2311"/>
    </row>
    <row r="3" spans="1:18" ht="12.75" x14ac:dyDescent="0.2">
      <c r="A3" s="2312" t="s">
        <v>1396</v>
      </c>
      <c r="B3" s="2312"/>
      <c r="C3" s="2312"/>
      <c r="D3" s="2312"/>
      <c r="E3" s="2312"/>
      <c r="F3" s="2312"/>
      <c r="G3" s="2312"/>
      <c r="H3" s="2312"/>
      <c r="I3" s="2312"/>
      <c r="J3" s="2312"/>
      <c r="K3" s="2312"/>
      <c r="L3" s="2312"/>
      <c r="M3" s="2312"/>
      <c r="N3" s="2312"/>
      <c r="O3" s="2312"/>
      <c r="P3" s="2312"/>
      <c r="Q3" s="2312"/>
      <c r="R3" s="2312"/>
    </row>
    <row r="4" spans="1:18" x14ac:dyDescent="0.2">
      <c r="A4" s="2313" t="s">
        <v>1536</v>
      </c>
      <c r="B4" s="2313"/>
      <c r="C4" s="2313"/>
      <c r="D4" s="2313"/>
      <c r="E4" s="2313"/>
      <c r="F4" s="2313"/>
      <c r="G4" s="2313"/>
      <c r="H4" s="2313"/>
      <c r="I4" s="2313"/>
      <c r="J4" s="2313"/>
      <c r="K4" s="2313"/>
      <c r="L4" s="2313"/>
      <c r="M4" s="2313"/>
      <c r="N4" s="2313"/>
      <c r="O4" s="2313"/>
      <c r="P4" s="2313"/>
      <c r="Q4" s="2313"/>
      <c r="R4" s="23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Princeville CUSD 326</v>
      </c>
      <c r="E7" s="368"/>
      <c r="G7" s="247"/>
      <c r="H7" s="364"/>
      <c r="I7" s="364"/>
      <c r="J7" s="364"/>
      <c r="K7" s="364"/>
      <c r="L7" s="307"/>
      <c r="M7" s="307"/>
      <c r="N7" s="307"/>
      <c r="O7" s="307"/>
      <c r="P7" s="307"/>
    </row>
    <row r="8" spans="1:18" ht="12.75" x14ac:dyDescent="0.2">
      <c r="A8" s="307"/>
      <c r="B8" s="307"/>
      <c r="C8" s="366" t="s">
        <v>1115</v>
      </c>
      <c r="D8" s="369">
        <f>COVER!A13</f>
        <v>48072326026</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3595872</v>
      </c>
      <c r="I12" s="380"/>
      <c r="J12" s="380"/>
      <c r="K12" s="1559">
        <f>TRUNC((H12/H13*100000),5)/100000</f>
        <v>0.56639500999999992</v>
      </c>
      <c r="L12" s="381"/>
      <c r="M12" s="337" t="s">
        <v>1134</v>
      </c>
      <c r="N12" s="337"/>
      <c r="O12" s="1562">
        <v>0.35</v>
      </c>
      <c r="P12" s="213"/>
      <c r="Q12" s="213"/>
    </row>
    <row r="13" spans="1:18" s="382" customFormat="1" ht="12.75" x14ac:dyDescent="0.2">
      <c r="A13" s="213"/>
      <c r="B13" s="377"/>
      <c r="C13" s="2309" t="s">
        <v>1313</v>
      </c>
      <c r="D13" s="2310"/>
      <c r="E13" s="213"/>
      <c r="F13" s="383" t="s">
        <v>788</v>
      </c>
      <c r="G13" s="378"/>
      <c r="H13" s="1551">
        <f>SUM('Acct Summary 7-8'!C8+'Acct Summary 7-8'!D8+'Acct Summary 7-8'!F8+'Acct Summary 7-8'!I8)+H14</f>
        <v>6348700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1</v>
      </c>
      <c r="P16" s="211"/>
      <c r="R16" s="361"/>
    </row>
    <row r="17" spans="1:18" s="382" customFormat="1" ht="11.25" x14ac:dyDescent="0.2">
      <c r="A17" s="213"/>
      <c r="B17" s="377"/>
      <c r="C17" s="213" t="s">
        <v>792</v>
      </c>
      <c r="D17" s="213"/>
      <c r="E17" s="213"/>
      <c r="F17" s="213" t="s">
        <v>441</v>
      </c>
      <c r="G17" s="378"/>
      <c r="H17" s="1551">
        <f>SUM('Acct Summary 7-8'!C17+'Acct Summary 7-8'!D17+'Acct Summary 7-8'!F17)</f>
        <v>7667272</v>
      </c>
      <c r="I17" s="380"/>
      <c r="J17" s="389"/>
      <c r="K17" s="1559">
        <f>TRUNC((H17/H18*100000),5)/100000</f>
        <v>1.2076916534000002</v>
      </c>
      <c r="L17" s="381"/>
      <c r="M17" s="390" t="s">
        <v>1161</v>
      </c>
      <c r="O17" s="1565" t="str">
        <f>IF(AND(O16="2", J20 &gt; 2),"1",IF(AND(O16 = "1", J20 &gt; 2),"2",IF(AND(O16="1", J20 &gt;1),"1","0")))</f>
        <v>2</v>
      </c>
      <c r="P17" s="213"/>
    </row>
    <row r="18" spans="1:18" s="382" customFormat="1" ht="11.25" x14ac:dyDescent="0.2">
      <c r="A18" s="213"/>
      <c r="B18" s="377"/>
      <c r="C18" s="2309" t="s">
        <v>1306</v>
      </c>
      <c r="D18" s="2310"/>
      <c r="E18" s="213"/>
      <c r="F18" s="391" t="s">
        <v>789</v>
      </c>
      <c r="G18" s="378"/>
      <c r="H18" s="1551">
        <f>SUM('Acct Summary 7-8'!C8+'Acct Summary 7-8'!D8+'Acct Summary 7-8'!F8+'Acct Summary 7-8'!I8)+H19</f>
        <v>6348700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2.2456125999999998</v>
      </c>
      <c r="K20" s="1559">
        <f>IF(K17&lt;=1,"0",IF(AND(O16="2", J20 &gt; 2),TRUNC(((K12-0.1)/(K17-1)*100),5)/100,IF(AND(O16 = "1", J20 &gt; 2),TRUNC(((K12-0.1)/(K17-1)*100),5)/100,IF(AND(O16="1", J20 &gt;1),TRUNC(((K12-0.1)/(K17-1)*100),5)/100,""))))</f>
        <v>2.2456125999999998</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306" t="s">
        <v>1395</v>
      </c>
      <c r="D24" s="2306"/>
      <c r="E24" s="213"/>
      <c r="F24" s="213" t="s">
        <v>442</v>
      </c>
      <c r="G24" s="378"/>
      <c r="H24" s="1551">
        <f>SUM('Assets-Liab 5-6'!C4+'Assets-Liab 5-6'!D4+'Assets-Liab 5-6'!F4+'Assets-Liab 5-6'!I4+'Assets-Liab 5-6'!C5+'Assets-Liab 5-6'!D5+'Assets-Liab 5-6'!F5+'Assets-Liab 5-6'!I5)</f>
        <v>3595872</v>
      </c>
      <c r="I24" s="394"/>
      <c r="J24" s="394"/>
      <c r="K24" s="1555">
        <f>TRUNC(((H24/H25*100000)/100000),2)</f>
        <v>168.83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21297.977780000001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1889</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3249084.2490500002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12835400</v>
      </c>
      <c r="I32" s="392"/>
      <c r="J32" s="392"/>
      <c r="K32" s="1555">
        <f>TRUNC(100-((((H32/H33*100))*100)/100),2)</f>
        <v>5.83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13630449.198000001</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3.25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J24" sqref="J24:S25"/>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16" t="s">
        <v>967</v>
      </c>
      <c r="B3" s="2317"/>
      <c r="C3" s="1306"/>
      <c r="D3" s="1307"/>
      <c r="E3" s="1307"/>
      <c r="F3" s="1307"/>
      <c r="G3" s="1307"/>
      <c r="H3" s="1307"/>
      <c r="I3" s="1307"/>
      <c r="J3" s="1307"/>
      <c r="K3" s="1307"/>
      <c r="L3" s="1307"/>
      <c r="M3" s="1308"/>
      <c r="N3" s="1309"/>
    </row>
    <row r="4" spans="1:14" ht="13.5" customHeight="1" x14ac:dyDescent="0.2">
      <c r="A4" s="427" t="s">
        <v>1631</v>
      </c>
      <c r="B4" s="428"/>
      <c r="C4" s="1572">
        <v>465063</v>
      </c>
      <c r="D4" s="1573">
        <v>3146</v>
      </c>
      <c r="E4" s="1573">
        <v>451</v>
      </c>
      <c r="F4" s="1573">
        <v>92353</v>
      </c>
      <c r="G4" s="1573">
        <v>3597</v>
      </c>
      <c r="H4" s="1573">
        <v>404842</v>
      </c>
      <c r="I4" s="1573">
        <v>143289</v>
      </c>
      <c r="J4" s="1574">
        <v>6675</v>
      </c>
      <c r="K4" s="1573">
        <v>0</v>
      </c>
      <c r="L4" s="1573">
        <v>293060</v>
      </c>
      <c r="M4" s="1575"/>
      <c r="N4" s="1576"/>
    </row>
    <row r="5" spans="1:14" x14ac:dyDescent="0.2">
      <c r="A5" s="427" t="s">
        <v>985</v>
      </c>
      <c r="B5" s="429">
        <v>120</v>
      </c>
      <c r="C5" s="1572">
        <v>1427719</v>
      </c>
      <c r="D5" s="1573">
        <v>435101</v>
      </c>
      <c r="E5" s="1573">
        <v>123102</v>
      </c>
      <c r="F5" s="1573">
        <v>332652</v>
      </c>
      <c r="G5" s="1573">
        <v>410879</v>
      </c>
      <c r="H5" s="1573">
        <v>57932</v>
      </c>
      <c r="I5" s="1573">
        <v>696549</v>
      </c>
      <c r="J5" s="1574">
        <v>111839</v>
      </c>
      <c r="K5" s="1577">
        <v>43</v>
      </c>
      <c r="L5" s="1578">
        <v>90044</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1892782</v>
      </c>
      <c r="D13" s="1587">
        <f t="shared" ref="D13:L13" si="0">SUM(D4:D12)</f>
        <v>438247</v>
      </c>
      <c r="E13" s="1587">
        <f t="shared" si="0"/>
        <v>123553</v>
      </c>
      <c r="F13" s="1587">
        <f t="shared" si="0"/>
        <v>425005</v>
      </c>
      <c r="G13" s="1587">
        <f t="shared" si="0"/>
        <v>414476</v>
      </c>
      <c r="H13" s="1587">
        <f t="shared" si="0"/>
        <v>462774</v>
      </c>
      <c r="I13" s="1587">
        <f t="shared" si="0"/>
        <v>839838</v>
      </c>
      <c r="J13" s="1587">
        <f t="shared" si="0"/>
        <v>118514</v>
      </c>
      <c r="K13" s="1587">
        <f t="shared" si="0"/>
        <v>43</v>
      </c>
      <c r="L13" s="1587">
        <f t="shared" si="0"/>
        <v>383104</v>
      </c>
      <c r="M13" s="1575"/>
      <c r="N13" s="1576"/>
    </row>
    <row r="14" spans="1:14" ht="18" customHeight="1" thickTop="1" x14ac:dyDescent="0.2">
      <c r="A14" s="2318" t="s">
        <v>146</v>
      </c>
      <c r="B14" s="23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528232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18585428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748946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1208265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123553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12711847</v>
      </c>
    </row>
    <row r="23" spans="1:14" ht="13.5" customHeight="1" thickBot="1" x14ac:dyDescent="0.25">
      <c r="A23" s="1426" t="s">
        <v>638</v>
      </c>
      <c r="B23" s="1429"/>
      <c r="C23" s="1575"/>
      <c r="D23" s="1575"/>
      <c r="E23" s="1575"/>
      <c r="F23" s="1575"/>
      <c r="G23" s="1575"/>
      <c r="H23" s="1575"/>
      <c r="I23" s="1575"/>
      <c r="J23" s="1575"/>
      <c r="K23" s="1575"/>
      <c r="L23" s="1575"/>
      <c r="M23" s="1594">
        <f>SUM(M15:M22)</f>
        <v>21070871</v>
      </c>
      <c r="N23" s="1594">
        <f>SUM(N21:N22)</f>
        <v>12835400</v>
      </c>
    </row>
    <row r="24" spans="1:14" ht="18" customHeight="1" thickTop="1" x14ac:dyDescent="0.2">
      <c r="A24" s="2320" t="s">
        <v>594</v>
      </c>
      <c r="B24" s="2321"/>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198397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198397</v>
      </c>
      <c r="M34" s="1575"/>
      <c r="N34" s="1585"/>
    </row>
    <row r="35" spans="1:14" ht="18" customHeight="1" thickTop="1" x14ac:dyDescent="0.2">
      <c r="A35" s="2322" t="s">
        <v>526</v>
      </c>
      <c r="B35" s="23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12835400</v>
      </c>
    </row>
    <row r="37" spans="1:14" ht="13.5" thickBot="1" x14ac:dyDescent="0.25">
      <c r="A37" s="1426" t="s">
        <v>648</v>
      </c>
      <c r="B37" s="1429"/>
      <c r="C37" s="1582"/>
      <c r="D37" s="1582"/>
      <c r="E37" s="1582"/>
      <c r="F37" s="1582"/>
      <c r="G37" s="1582"/>
      <c r="H37" s="1582"/>
      <c r="I37" s="1582"/>
      <c r="J37" s="1582"/>
      <c r="K37" s="1582"/>
      <c r="L37" s="1585"/>
      <c r="M37" s="1575"/>
      <c r="N37" s="1594">
        <f>SUM(N36:N36)</f>
        <v>12835400</v>
      </c>
    </row>
    <row r="38" spans="1:14" s="307" customFormat="1" ht="13.5" customHeight="1" thickTop="1" x14ac:dyDescent="0.2">
      <c r="A38" s="438" t="s">
        <v>417</v>
      </c>
      <c r="B38" s="432">
        <v>714</v>
      </c>
      <c r="C38" s="1573">
        <v>87956</v>
      </c>
      <c r="D38" s="1573">
        <v>0</v>
      </c>
      <c r="E38" s="1573">
        <v>112120</v>
      </c>
      <c r="F38" s="1573">
        <v>0</v>
      </c>
      <c r="G38" s="1573">
        <v>146313</v>
      </c>
      <c r="H38" s="1573">
        <v>50000</v>
      </c>
      <c r="I38" s="1573">
        <v>0</v>
      </c>
      <c r="J38" s="1574">
        <v>0</v>
      </c>
      <c r="K38" s="1573">
        <v>0</v>
      </c>
      <c r="L38" s="1586">
        <v>184707</v>
      </c>
      <c r="M38" s="1604"/>
      <c r="N38" s="1604"/>
    </row>
    <row r="39" spans="1:14" s="307" customFormat="1" ht="13.5" customHeight="1" x14ac:dyDescent="0.2">
      <c r="A39" s="438" t="s">
        <v>339</v>
      </c>
      <c r="B39" s="432">
        <v>730</v>
      </c>
      <c r="C39" s="1573">
        <v>1804826</v>
      </c>
      <c r="D39" s="1573">
        <v>438247</v>
      </c>
      <c r="E39" s="1573">
        <v>11433</v>
      </c>
      <c r="F39" s="1573">
        <v>425005</v>
      </c>
      <c r="G39" s="1573">
        <v>268163</v>
      </c>
      <c r="H39" s="1573">
        <v>412774</v>
      </c>
      <c r="I39" s="1573">
        <v>839838</v>
      </c>
      <c r="J39" s="1574">
        <v>118514</v>
      </c>
      <c r="K39" s="1573">
        <v>43</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21070871</v>
      </c>
      <c r="N40" s="1604"/>
    </row>
    <row r="41" spans="1:14" ht="13.5" customHeight="1" thickBot="1" x14ac:dyDescent="0.25">
      <c r="A41" s="1426" t="s">
        <v>650</v>
      </c>
      <c r="B41" s="1405"/>
      <c r="C41" s="1594">
        <f>(SUM(C34,C37,C38,C39))</f>
        <v>1892782</v>
      </c>
      <c r="D41" s="1594">
        <f t="shared" ref="D41:L41" si="2">SUM(D34,D37,D38:D39)</f>
        <v>438247</v>
      </c>
      <c r="E41" s="1594">
        <f t="shared" si="2"/>
        <v>123553</v>
      </c>
      <c r="F41" s="1594">
        <f t="shared" si="2"/>
        <v>425005</v>
      </c>
      <c r="G41" s="1594">
        <f t="shared" si="2"/>
        <v>414476</v>
      </c>
      <c r="H41" s="1594">
        <f t="shared" si="2"/>
        <v>462774</v>
      </c>
      <c r="I41" s="1594">
        <f t="shared" si="2"/>
        <v>839838</v>
      </c>
      <c r="J41" s="1594">
        <f t="shared" si="2"/>
        <v>118514</v>
      </c>
      <c r="K41" s="1594">
        <f t="shared" si="2"/>
        <v>43</v>
      </c>
      <c r="L41" s="1594">
        <f t="shared" si="2"/>
        <v>383104</v>
      </c>
      <c r="M41" s="1594">
        <f>SUM(M40)</f>
        <v>21070871</v>
      </c>
      <c r="N41" s="1594">
        <f>SUM(N37)</f>
        <v>12835400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J24" sqref="J24:S25"/>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32" t="s">
        <v>1632</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44" t="s">
        <v>1165</v>
      </c>
      <c r="B3" s="2345"/>
      <c r="C3" s="1311"/>
      <c r="D3" s="1312"/>
      <c r="E3" s="1312"/>
      <c r="F3" s="1312"/>
      <c r="G3" s="1312"/>
      <c r="H3" s="1312"/>
      <c r="I3" s="1312"/>
      <c r="J3" s="1312"/>
      <c r="K3" s="1313"/>
      <c r="L3" s="446"/>
    </row>
    <row r="4" spans="1:13" ht="15.75" customHeight="1" x14ac:dyDescent="0.2">
      <c r="A4" s="1537" t="s">
        <v>1482</v>
      </c>
      <c r="B4" s="1538">
        <v>1000</v>
      </c>
      <c r="C4" s="1606">
        <f>'Revenues 9-14'!C109</f>
        <v>2806131</v>
      </c>
      <c r="D4" s="1606">
        <f>'Revenues 9-14'!D109</f>
        <v>314499</v>
      </c>
      <c r="E4" s="1606">
        <f>'Revenues 9-14'!E109</f>
        <v>586563</v>
      </c>
      <c r="F4" s="1606">
        <f>'Revenues 9-14'!F109</f>
        <v>111708</v>
      </c>
      <c r="G4" s="1606">
        <f>'Revenues 9-14'!G109</f>
        <v>181258</v>
      </c>
      <c r="H4" s="1606">
        <f>'Revenues 9-14'!H109</f>
        <v>77359</v>
      </c>
      <c r="I4" s="1606">
        <f>'Revenues 9-14'!I109</f>
        <v>28828</v>
      </c>
      <c r="J4" s="1606">
        <f>'Revenues 9-14'!J109</f>
        <v>212029</v>
      </c>
      <c r="K4" s="1606">
        <f>'Revenues 9-14'!K109</f>
        <v>28030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1997804</v>
      </c>
      <c r="D6" s="1607">
        <f>'Revenues 9-14'!D170</f>
        <v>0</v>
      </c>
      <c r="E6" s="1607">
        <f>'Revenues 9-14'!E170</f>
        <v>0</v>
      </c>
      <c r="F6" s="1607">
        <f>'Revenues 9-14'!F170</f>
        <v>208555</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881175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5685110</v>
      </c>
      <c r="D8" s="1594">
        <f t="shared" ref="D8:K8" si="0">SUM(D4:D7)</f>
        <v>314499</v>
      </c>
      <c r="E8" s="1594">
        <f t="shared" si="0"/>
        <v>586563</v>
      </c>
      <c r="F8" s="1594">
        <f t="shared" si="0"/>
        <v>320263</v>
      </c>
      <c r="G8" s="1594">
        <f t="shared" si="0"/>
        <v>181258</v>
      </c>
      <c r="H8" s="1594">
        <f t="shared" si="0"/>
        <v>127359</v>
      </c>
      <c r="I8" s="1594">
        <f t="shared" si="0"/>
        <v>28828</v>
      </c>
      <c r="J8" s="1594">
        <f t="shared" si="0"/>
        <v>212029</v>
      </c>
      <c r="K8" s="1594">
        <f t="shared" si="0"/>
        <v>28030</v>
      </c>
      <c r="L8" s="325"/>
    </row>
    <row r="9" spans="1:13" ht="15.75" thickTop="1" x14ac:dyDescent="0.2">
      <c r="A9" s="449" t="s">
        <v>1633</v>
      </c>
      <c r="B9" s="450">
        <v>3998</v>
      </c>
      <c r="C9" s="1586">
        <v>2723230</v>
      </c>
      <c r="D9" s="1613"/>
      <c r="E9" s="1586"/>
      <c r="F9" s="1586"/>
      <c r="G9" s="1614"/>
      <c r="H9" s="1586"/>
      <c r="I9" s="1609" t="s">
        <v>1159</v>
      </c>
      <c r="J9" s="1583"/>
      <c r="K9" s="1586"/>
      <c r="L9" s="325"/>
    </row>
    <row r="10" spans="1:13" s="452" customFormat="1" ht="13.5" thickBot="1" x14ac:dyDescent="0.25">
      <c r="A10" s="1426" t="s">
        <v>1163</v>
      </c>
      <c r="B10" s="1407"/>
      <c r="C10" s="1594">
        <f>SUM(C8:C9)</f>
        <v>8408340</v>
      </c>
      <c r="D10" s="1594">
        <f t="shared" ref="D10:K10" si="1">SUM(D8:D9)</f>
        <v>314499</v>
      </c>
      <c r="E10" s="1594">
        <f t="shared" si="1"/>
        <v>586563</v>
      </c>
      <c r="F10" s="1594">
        <f t="shared" si="1"/>
        <v>320263</v>
      </c>
      <c r="G10" s="1594">
        <f t="shared" si="1"/>
        <v>181258</v>
      </c>
      <c r="H10" s="1594">
        <f t="shared" si="1"/>
        <v>127359</v>
      </c>
      <c r="I10" s="1594">
        <f t="shared" si="1"/>
        <v>28828</v>
      </c>
      <c r="J10" s="1594">
        <f t="shared" si="1"/>
        <v>212029</v>
      </c>
      <c r="K10" s="1594">
        <f t="shared" si="1"/>
        <v>28030</v>
      </c>
      <c r="L10" s="451"/>
    </row>
    <row r="11" spans="1:13" s="452" customFormat="1" ht="16.7" customHeight="1" thickTop="1" x14ac:dyDescent="0.2">
      <c r="A11" s="2318" t="s">
        <v>1166</v>
      </c>
      <c r="B11" s="2319"/>
      <c r="C11" s="1602"/>
      <c r="D11" s="1603"/>
      <c r="E11" s="1603"/>
      <c r="F11" s="1603"/>
      <c r="G11" s="1603"/>
      <c r="H11" s="1603"/>
      <c r="I11" s="1603"/>
      <c r="J11" s="1603"/>
      <c r="K11" s="1615"/>
      <c r="L11" s="451"/>
    </row>
    <row r="12" spans="1:13" ht="15.75" customHeight="1" x14ac:dyDescent="0.2">
      <c r="A12" s="1314" t="s">
        <v>453</v>
      </c>
      <c r="B12" s="1316">
        <v>1000</v>
      </c>
      <c r="C12" s="1606">
        <f>'Expenditures 15-22'!K33</f>
        <v>4427311</v>
      </c>
      <c r="D12" s="1616" t="s">
        <v>1159</v>
      </c>
      <c r="E12" s="1575" t="s">
        <v>1159</v>
      </c>
      <c r="F12" s="1575" t="s">
        <v>1159</v>
      </c>
      <c r="G12" s="1606">
        <f>'Expenditures 15-22'!K229</f>
        <v>107002</v>
      </c>
      <c r="H12" s="1617"/>
      <c r="I12" s="1575" t="s">
        <v>1159</v>
      </c>
      <c r="J12" s="1575" t="s">
        <v>1159</v>
      </c>
      <c r="K12" s="1617" t="s">
        <v>1159</v>
      </c>
      <c r="L12" s="325"/>
    </row>
    <row r="13" spans="1:13" ht="15.75" customHeight="1" x14ac:dyDescent="0.2">
      <c r="A13" s="1314" t="s">
        <v>454</v>
      </c>
      <c r="B13" s="1316">
        <v>2000</v>
      </c>
      <c r="C13" s="1607">
        <f>'Expenditures 15-22'!K74</f>
        <v>1924090</v>
      </c>
      <c r="D13" s="1607">
        <f>'Expenditures 15-22'!K129</f>
        <v>481608</v>
      </c>
      <c r="E13" s="1576" t="s">
        <v>1159</v>
      </c>
      <c r="F13" s="1607">
        <f>'Expenditures 15-22'!K184</f>
        <v>399188</v>
      </c>
      <c r="G13" s="1607">
        <f>'Expenditures 15-22'!K279</f>
        <v>160454</v>
      </c>
      <c r="H13" s="1607">
        <f>'Expenditures 15-22'!K303</f>
        <v>2567597</v>
      </c>
      <c r="I13" s="1575" t="s">
        <v>1159</v>
      </c>
      <c r="J13" s="1607">
        <f>'Expenditures 15-22'!K330</f>
        <v>200368</v>
      </c>
      <c r="K13" s="1618">
        <f>'Expenditures 15-22'!K352</f>
        <v>313375</v>
      </c>
      <c r="L13" s="325"/>
    </row>
    <row r="14" spans="1:13" ht="15.75" customHeight="1" x14ac:dyDescent="0.2">
      <c r="A14" s="1314" t="s">
        <v>446</v>
      </c>
      <c r="B14" s="1316">
        <v>3000</v>
      </c>
      <c r="C14" s="1607">
        <f>'Expenditures 15-22'!K75</f>
        <v>3750</v>
      </c>
      <c r="D14" s="1607">
        <f>'Expenditures 15-22'!K130</f>
        <v>0</v>
      </c>
      <c r="E14" s="1616" t="s">
        <v>1159</v>
      </c>
      <c r="F14" s="1607">
        <f>'Expenditures 15-22'!K185</f>
        <v>0</v>
      </c>
      <c r="G14" s="1607">
        <f>'Expenditures 15-22'!K280</f>
        <v>196</v>
      </c>
      <c r="H14" s="1612"/>
      <c r="I14" s="1575" t="s">
        <v>1159</v>
      </c>
      <c r="J14" s="1575" t="s">
        <v>1159</v>
      </c>
      <c r="K14" s="1612" t="s">
        <v>1159</v>
      </c>
      <c r="L14" s="325"/>
    </row>
    <row r="15" spans="1:13" ht="15.75" customHeight="1" x14ac:dyDescent="0.2">
      <c r="A15" s="1314" t="s">
        <v>107</v>
      </c>
      <c r="B15" s="1316">
        <v>4000</v>
      </c>
      <c r="C15" s="1607">
        <f>'Expenditures 15-22'!K102</f>
        <v>431325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928247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6786476</v>
      </c>
      <c r="D17" s="1594">
        <f t="shared" si="2"/>
        <v>481608</v>
      </c>
      <c r="E17" s="1594">
        <f t="shared" si="2"/>
        <v>928247</v>
      </c>
      <c r="F17" s="1594">
        <f t="shared" si="2"/>
        <v>399188</v>
      </c>
      <c r="G17" s="1594">
        <f t="shared" si="2"/>
        <v>267652</v>
      </c>
      <c r="H17" s="1594">
        <f t="shared" si="2"/>
        <v>2567597</v>
      </c>
      <c r="I17" s="1575"/>
      <c r="J17" s="1594">
        <f>SUM(J12:J16)</f>
        <v>200368</v>
      </c>
      <c r="K17" s="1594">
        <f>SUM(K12:K16)</f>
        <v>313375</v>
      </c>
      <c r="L17" s="325"/>
    </row>
    <row r="18" spans="1:12" ht="15" customHeight="1" thickTop="1" x14ac:dyDescent="0.2">
      <c r="A18" s="1430" t="s">
        <v>1634</v>
      </c>
      <c r="B18" s="1431">
        <v>4180</v>
      </c>
      <c r="C18" s="1606">
        <f t="shared" ref="C18:H18" si="3">C9</f>
        <v>2723230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9509706</v>
      </c>
      <c r="D19" s="1594">
        <f t="shared" si="4"/>
        <v>481608</v>
      </c>
      <c r="E19" s="1594">
        <f t="shared" si="4"/>
        <v>928247</v>
      </c>
      <c r="F19" s="1594">
        <f t="shared" si="4"/>
        <v>399188</v>
      </c>
      <c r="G19" s="1594">
        <f t="shared" si="4"/>
        <v>267652</v>
      </c>
      <c r="H19" s="1594">
        <f t="shared" si="4"/>
        <v>2567597</v>
      </c>
      <c r="I19" s="1575"/>
      <c r="J19" s="1594">
        <f>SUM(J17:J18)</f>
        <v>200368</v>
      </c>
      <c r="K19" s="1594">
        <f>SUM(K17:K18)</f>
        <v>313375</v>
      </c>
      <c r="L19" s="325"/>
    </row>
    <row r="20" spans="1:12" ht="16.5" thickTop="1" thickBot="1" x14ac:dyDescent="0.25">
      <c r="A20" s="2334" t="s">
        <v>1635</v>
      </c>
      <c r="B20" s="2335"/>
      <c r="C20" s="1622">
        <f>C8-C17</f>
        <v>-1101366</v>
      </c>
      <c r="D20" s="1622">
        <f t="shared" ref="D20:K20" si="5">D8-D17</f>
        <v>-167109</v>
      </c>
      <c r="E20" s="1622">
        <f t="shared" si="5"/>
        <v>-341684</v>
      </c>
      <c r="F20" s="1622">
        <f t="shared" si="5"/>
        <v>-78925</v>
      </c>
      <c r="G20" s="1622">
        <f t="shared" si="5"/>
        <v>-86394</v>
      </c>
      <c r="H20" s="1622">
        <f t="shared" si="5"/>
        <v>-2440238</v>
      </c>
      <c r="I20" s="1622">
        <f t="shared" si="5"/>
        <v>28828</v>
      </c>
      <c r="J20" s="1622">
        <f t="shared" si="5"/>
        <v>11661</v>
      </c>
      <c r="K20" s="1622">
        <f t="shared" si="5"/>
        <v>-285345</v>
      </c>
      <c r="L20" s="325"/>
    </row>
    <row r="21" spans="1:12" ht="16.7" customHeight="1" thickTop="1" x14ac:dyDescent="0.2">
      <c r="A21" s="2346" t="s">
        <v>591</v>
      </c>
      <c r="B21" s="2347"/>
      <c r="C21" s="1602"/>
      <c r="D21" s="1603"/>
      <c r="E21" s="1603"/>
      <c r="F21" s="1603"/>
      <c r="G21" s="1603"/>
      <c r="H21" s="1603"/>
      <c r="I21" s="1603"/>
      <c r="J21" s="1603"/>
      <c r="K21" s="1615"/>
      <c r="L21" s="453"/>
    </row>
    <row r="22" spans="1:12" ht="15.75" customHeight="1" collapsed="1" x14ac:dyDescent="0.2">
      <c r="A22" s="2342" t="s">
        <v>592</v>
      </c>
      <c r="B22" s="2343"/>
      <c r="C22" s="1582"/>
      <c r="D22" s="1582"/>
      <c r="E22" s="1582"/>
      <c r="F22" s="1582"/>
      <c r="G22" s="1582"/>
      <c r="H22" s="1582"/>
      <c r="I22" s="1582"/>
      <c r="J22" s="1582"/>
      <c r="K22" s="1582"/>
      <c r="L22" s="325"/>
    </row>
    <row r="23" spans="1:12" s="433" customFormat="1" ht="15.75" customHeight="1" x14ac:dyDescent="0.2">
      <c r="A23" s="2338" t="s">
        <v>290</v>
      </c>
      <c r="B23" s="2339"/>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400000</v>
      </c>
      <c r="D25" s="1574">
        <v>0</v>
      </c>
      <c r="E25" s="1574">
        <v>0</v>
      </c>
      <c r="F25" s="1574">
        <v>0</v>
      </c>
      <c r="G25" s="1574">
        <v>0</v>
      </c>
      <c r="H25" s="1574">
        <v>1100000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1767</v>
      </c>
      <c r="B30" s="455">
        <v>7160</v>
      </c>
      <c r="C30" s="1582"/>
      <c r="D30" s="1574">
        <v>0</v>
      </c>
      <c r="E30" s="1582"/>
      <c r="F30" s="1582"/>
      <c r="G30" s="1582"/>
      <c r="H30" s="1582"/>
      <c r="I30" s="1582"/>
      <c r="J30" s="1582"/>
      <c r="K30" s="1582"/>
      <c r="L30" s="453"/>
    </row>
    <row r="31" spans="1:12" s="433" customFormat="1" ht="26.25" x14ac:dyDescent="0.2">
      <c r="A31" s="1260" t="s">
        <v>1771</v>
      </c>
      <c r="B31" s="455">
        <v>7170</v>
      </c>
      <c r="C31" s="1582"/>
      <c r="D31" s="1582"/>
      <c r="E31" s="1579">
        <v>0</v>
      </c>
      <c r="F31" s="1582"/>
      <c r="G31" s="1582"/>
      <c r="H31" s="1582"/>
      <c r="I31" s="1582"/>
      <c r="J31" s="1582"/>
      <c r="K31" s="1582"/>
      <c r="L31" s="453"/>
    </row>
    <row r="32" spans="1:12" s="433" customFormat="1" ht="15.75" customHeight="1" x14ac:dyDescent="0.2">
      <c r="A32" s="2340" t="s">
        <v>974</v>
      </c>
      <c r="B32" s="2341"/>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26623</v>
      </c>
      <c r="F33" s="1574">
        <v>0</v>
      </c>
      <c r="G33" s="1582"/>
      <c r="H33" s="1574">
        <v>0</v>
      </c>
      <c r="I33" s="1574">
        <v>1758777</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348" t="s">
        <v>371</v>
      </c>
      <c r="B44" s="2349"/>
      <c r="C44" s="1624">
        <f>SUM(C24:C43)</f>
        <v>400000</v>
      </c>
      <c r="D44" s="1624">
        <f t="shared" ref="D44:K44" si="6">SUM(D24:D43)</f>
        <v>0</v>
      </c>
      <c r="E44" s="1624">
        <f t="shared" si="6"/>
        <v>26623</v>
      </c>
      <c r="F44" s="1624">
        <f t="shared" si="6"/>
        <v>0</v>
      </c>
      <c r="G44" s="1624">
        <f t="shared" si="6"/>
        <v>0</v>
      </c>
      <c r="H44" s="1624">
        <f t="shared" si="6"/>
        <v>1100000</v>
      </c>
      <c r="I44" s="1624">
        <f t="shared" si="6"/>
        <v>1758777</v>
      </c>
      <c r="J44" s="1624">
        <f t="shared" si="6"/>
        <v>0</v>
      </c>
      <c r="K44" s="1624">
        <f t="shared" si="6"/>
        <v>0</v>
      </c>
      <c r="L44" s="453"/>
    </row>
    <row r="45" spans="1:12" ht="15.75" customHeight="1" thickTop="1" x14ac:dyDescent="0.2">
      <c r="A45" s="2342" t="s">
        <v>108</v>
      </c>
      <c r="B45" s="2343"/>
      <c r="C45" s="1625"/>
      <c r="D45" s="1625"/>
      <c r="E45" s="1625"/>
      <c r="F45" s="1625"/>
      <c r="G45" s="1625"/>
      <c r="H45" s="1625"/>
      <c r="I45" s="1625"/>
      <c r="J45" s="1625"/>
      <c r="K45" s="1625"/>
      <c r="L45" s="325"/>
    </row>
    <row r="46" spans="1:12" s="433" customFormat="1" ht="15.75" customHeight="1" x14ac:dyDescent="0.2">
      <c r="A46" s="2350" t="s">
        <v>109</v>
      </c>
      <c r="B46" s="2351"/>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1500000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324" t="s">
        <v>437</v>
      </c>
      <c r="B76" s="2325"/>
      <c r="C76" s="1624">
        <f t="shared" ref="C76:K76" si="7">SUM(C47:C75)</f>
        <v>0</v>
      </c>
      <c r="D76" s="1624">
        <f t="shared" si="7"/>
        <v>0</v>
      </c>
      <c r="E76" s="1624">
        <f t="shared" si="7"/>
        <v>0</v>
      </c>
      <c r="F76" s="1624">
        <f t="shared" si="7"/>
        <v>0</v>
      </c>
      <c r="G76" s="1624">
        <f t="shared" si="7"/>
        <v>0</v>
      </c>
      <c r="H76" s="1624">
        <f t="shared" si="7"/>
        <v>0</v>
      </c>
      <c r="I76" s="1624">
        <f t="shared" si="7"/>
        <v>1500000</v>
      </c>
      <c r="J76" s="1624">
        <f t="shared" si="7"/>
        <v>0</v>
      </c>
      <c r="K76" s="1624">
        <f t="shared" si="7"/>
        <v>0</v>
      </c>
      <c r="L76" s="453"/>
    </row>
    <row r="77" spans="1:12" ht="14.25" thickTop="1" thickBot="1" x14ac:dyDescent="0.25">
      <c r="A77" s="2326" t="s">
        <v>1167</v>
      </c>
      <c r="B77" s="2327"/>
      <c r="C77" s="1624">
        <f t="shared" ref="C77:K77" si="8">C44-C76</f>
        <v>400000</v>
      </c>
      <c r="D77" s="1624">
        <f t="shared" si="8"/>
        <v>0</v>
      </c>
      <c r="E77" s="1624">
        <f t="shared" si="8"/>
        <v>26623</v>
      </c>
      <c r="F77" s="1624">
        <f t="shared" si="8"/>
        <v>0</v>
      </c>
      <c r="G77" s="1624">
        <f t="shared" si="8"/>
        <v>0</v>
      </c>
      <c r="H77" s="1624">
        <f t="shared" si="8"/>
        <v>1100000</v>
      </c>
      <c r="I77" s="1624">
        <f t="shared" si="8"/>
        <v>258777</v>
      </c>
      <c r="J77" s="1624">
        <f t="shared" si="8"/>
        <v>0</v>
      </c>
      <c r="K77" s="1624">
        <f t="shared" si="8"/>
        <v>0</v>
      </c>
      <c r="L77" s="325"/>
    </row>
    <row r="78" spans="1:12" ht="21.75" customHeight="1" thickTop="1" thickBot="1" x14ac:dyDescent="0.25">
      <c r="A78" s="2330" t="s">
        <v>593</v>
      </c>
      <c r="B78" s="2331"/>
      <c r="C78" s="1629">
        <f t="shared" ref="C78:K78" si="9">C20+C77</f>
        <v>-701366</v>
      </c>
      <c r="D78" s="1629">
        <f t="shared" si="9"/>
        <v>-167109</v>
      </c>
      <c r="E78" s="1629">
        <f t="shared" si="9"/>
        <v>-315061</v>
      </c>
      <c r="F78" s="1629">
        <f t="shared" si="9"/>
        <v>-78925</v>
      </c>
      <c r="G78" s="1629">
        <f t="shared" si="9"/>
        <v>-86394</v>
      </c>
      <c r="H78" s="1629">
        <f t="shared" si="9"/>
        <v>-1340238</v>
      </c>
      <c r="I78" s="1629">
        <f t="shared" si="9"/>
        <v>287605</v>
      </c>
      <c r="J78" s="1629">
        <f t="shared" si="9"/>
        <v>11661</v>
      </c>
      <c r="K78" s="1629">
        <f t="shared" si="9"/>
        <v>-285345</v>
      </c>
      <c r="L78" s="457"/>
    </row>
    <row r="79" spans="1:12" ht="13.5" thickTop="1" x14ac:dyDescent="0.2">
      <c r="A79" s="1844" t="str">
        <f>"Fund Balances - July 1, "&amp;'AFR20'!E2-1</f>
        <v>Fund Balances - July 1, 2019</v>
      </c>
      <c r="B79" s="458"/>
      <c r="C79" s="1583">
        <v>2594148</v>
      </c>
      <c r="D79" s="1583">
        <v>605356</v>
      </c>
      <c r="E79" s="1630">
        <v>438614</v>
      </c>
      <c r="F79" s="1630">
        <v>503930</v>
      </c>
      <c r="G79" s="1630">
        <v>500870</v>
      </c>
      <c r="H79" s="1630">
        <v>1803012</v>
      </c>
      <c r="I79" s="1630">
        <v>552233</v>
      </c>
      <c r="J79" s="1630">
        <v>106853</v>
      </c>
      <c r="K79" s="1630">
        <v>285388</v>
      </c>
      <c r="L79" s="325"/>
    </row>
    <row r="80" spans="1:12" x14ac:dyDescent="0.2">
      <c r="A80" s="2336" t="s">
        <v>1768</v>
      </c>
      <c r="B80" s="2337"/>
      <c r="C80" s="1574">
        <v>0</v>
      </c>
      <c r="D80" s="1574">
        <v>0</v>
      </c>
      <c r="E80" s="1574">
        <v>0</v>
      </c>
      <c r="F80" s="1574">
        <v>0</v>
      </c>
      <c r="G80" s="1574">
        <v>0</v>
      </c>
      <c r="H80" s="1574">
        <v>0</v>
      </c>
      <c r="I80" s="1574">
        <v>0</v>
      </c>
      <c r="J80" s="1574">
        <v>0</v>
      </c>
      <c r="K80" s="1574">
        <v>0</v>
      </c>
      <c r="L80" s="325"/>
    </row>
    <row r="81" spans="1:12" ht="13.5" thickBot="1" x14ac:dyDescent="0.25">
      <c r="A81" s="2328" t="str">
        <f>"Fund Balances - June 30, "&amp;'AFR20'!E2</f>
        <v>Fund Balances - June 30, 2020</v>
      </c>
      <c r="B81" s="2329"/>
      <c r="C81" s="1594">
        <f>(SUM(C78:C80))</f>
        <v>1892782</v>
      </c>
      <c r="D81" s="1594">
        <f>SUM(D78:D80)</f>
        <v>438247</v>
      </c>
      <c r="E81" s="1594">
        <f t="shared" ref="E81:K81" si="10">SUM(E78:E80)</f>
        <v>123553</v>
      </c>
      <c r="F81" s="1594">
        <f t="shared" si="10"/>
        <v>425005</v>
      </c>
      <c r="G81" s="1594">
        <f t="shared" si="10"/>
        <v>414476</v>
      </c>
      <c r="H81" s="1594">
        <f t="shared" si="10"/>
        <v>462774</v>
      </c>
      <c r="I81" s="1594">
        <f t="shared" si="10"/>
        <v>839838</v>
      </c>
      <c r="J81" s="1594">
        <f t="shared" si="10"/>
        <v>118514</v>
      </c>
      <c r="K81" s="1594">
        <f t="shared" si="10"/>
        <v>43</v>
      </c>
      <c r="L81" s="325"/>
    </row>
    <row r="82" spans="1:12" ht="0.75" customHeight="1" thickTop="1" thickBot="1" x14ac:dyDescent="0.25">
      <c r="A82" s="459" t="s">
        <v>340</v>
      </c>
      <c r="B82" s="460"/>
      <c r="C82" s="461">
        <f>(C81-C79)</f>
        <v>-701366</v>
      </c>
      <c r="D82" s="461">
        <f t="shared" ref="D82:K82" si="11">(D81-D79)</f>
        <v>-167109</v>
      </c>
      <c r="E82" s="461">
        <f t="shared" si="11"/>
        <v>-315061</v>
      </c>
      <c r="F82" s="461">
        <f t="shared" si="11"/>
        <v>-78925</v>
      </c>
      <c r="G82" s="461">
        <f t="shared" si="11"/>
        <v>-86394</v>
      </c>
      <c r="H82" s="461">
        <f t="shared" si="11"/>
        <v>-1340238</v>
      </c>
      <c r="I82" s="461">
        <f t="shared" si="11"/>
        <v>287605</v>
      </c>
      <c r="J82" s="461">
        <f t="shared" si="11"/>
        <v>11661</v>
      </c>
      <c r="K82" s="461">
        <f t="shared" si="11"/>
        <v>-285345</v>
      </c>
    </row>
    <row r="83" spans="1:12" ht="14.25" hidden="1" thickTop="1" thickBot="1" x14ac:dyDescent="0.25">
      <c r="A83" s="462" t="s">
        <v>341</v>
      </c>
      <c r="B83" s="428"/>
      <c r="C83" s="463">
        <f>C82/C81</f>
        <v>-0.37054769117626857</v>
      </c>
      <c r="D83" s="463">
        <f t="shared" ref="D83:K83" si="12">D82/D81</f>
        <v>-0.38131236494488269</v>
      </c>
      <c r="E83" s="463">
        <f t="shared" si="12"/>
        <v>-2.5500068796386977</v>
      </c>
      <c r="F83" s="463">
        <f t="shared" si="12"/>
        <v>-0.18570369760355759</v>
      </c>
      <c r="G83" s="463">
        <f t="shared" si="12"/>
        <v>-0.20844150204113146</v>
      </c>
      <c r="H83" s="463">
        <f t="shared" si="12"/>
        <v>-2.8960961506048308</v>
      </c>
      <c r="I83" s="463">
        <f t="shared" si="12"/>
        <v>0.3424529492592619</v>
      </c>
      <c r="J83" s="463">
        <f t="shared" si="12"/>
        <v>9.8393438749852333E-2</v>
      </c>
      <c r="K83" s="463">
        <f t="shared" si="12"/>
        <v>-6635.9302325581393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24" sqref="J24:S25"/>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32" t="s">
        <v>1775</v>
      </c>
      <c r="B1" s="416"/>
      <c r="C1" s="417" t="s">
        <v>422</v>
      </c>
      <c r="D1" s="417" t="s">
        <v>423</v>
      </c>
      <c r="E1" s="417" t="s">
        <v>424</v>
      </c>
      <c r="F1" s="417" t="s">
        <v>425</v>
      </c>
      <c r="G1" s="417" t="s">
        <v>426</v>
      </c>
      <c r="H1" s="417" t="s">
        <v>427</v>
      </c>
      <c r="I1" s="417" t="s">
        <v>428</v>
      </c>
      <c r="J1" s="417" t="s">
        <v>429</v>
      </c>
      <c r="K1" s="417" t="s">
        <v>751</v>
      </c>
    </row>
    <row r="2" spans="1:12" ht="36" x14ac:dyDescent="0.2">
      <c r="A2" s="23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1641</v>
      </c>
      <c r="B5" s="470"/>
      <c r="C5" s="1586">
        <v>1758065</v>
      </c>
      <c r="D5" s="1586">
        <v>277298</v>
      </c>
      <c r="E5" s="1573">
        <v>436869</v>
      </c>
      <c r="F5" s="1631">
        <v>110919</v>
      </c>
      <c r="G5" s="1573">
        <v>66627</v>
      </c>
      <c r="H5" s="1573">
        <v>0</v>
      </c>
      <c r="I5" s="1573">
        <v>27730</v>
      </c>
      <c r="J5" s="1574">
        <v>211452</v>
      </c>
      <c r="K5" s="1573">
        <v>27730</v>
      </c>
    </row>
    <row r="6" spans="1:12" ht="15" x14ac:dyDescent="0.2">
      <c r="A6" s="427" t="s">
        <v>1642</v>
      </c>
      <c r="B6" s="429">
        <v>1130</v>
      </c>
      <c r="C6" s="1573">
        <v>27730</v>
      </c>
      <c r="D6" s="1573">
        <v>0</v>
      </c>
      <c r="E6" s="1580"/>
      <c r="F6" s="1580"/>
      <c r="G6" s="1575"/>
      <c r="H6" s="1575"/>
      <c r="I6" s="1575"/>
      <c r="J6" s="1575"/>
      <c r="K6" s="1575"/>
    </row>
    <row r="7" spans="1:12" x14ac:dyDescent="0.2">
      <c r="A7" s="427" t="s">
        <v>110</v>
      </c>
      <c r="B7" s="471">
        <v>1140</v>
      </c>
      <c r="C7" s="1573">
        <v>22184</v>
      </c>
      <c r="D7" s="1573">
        <v>0</v>
      </c>
      <c r="E7" s="1575"/>
      <c r="F7" s="1574">
        <v>0</v>
      </c>
      <c r="G7" s="1574">
        <v>0</v>
      </c>
      <c r="H7" s="1574">
        <v>0</v>
      </c>
      <c r="I7" s="1575"/>
      <c r="J7" s="1575"/>
      <c r="K7" s="1575"/>
    </row>
    <row r="8" spans="1:12" x14ac:dyDescent="0.2">
      <c r="A8" s="427" t="s">
        <v>410</v>
      </c>
      <c r="B8" s="429">
        <v>1150</v>
      </c>
      <c r="C8" s="1580"/>
      <c r="D8" s="1580"/>
      <c r="E8" s="1582"/>
      <c r="F8" s="1582"/>
      <c r="G8" s="1586">
        <v>95592</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1807979</v>
      </c>
      <c r="D12" s="1633">
        <f t="shared" si="0"/>
        <v>277298</v>
      </c>
      <c r="E12" s="1633">
        <f t="shared" si="0"/>
        <v>436869</v>
      </c>
      <c r="F12" s="1633">
        <f t="shared" si="0"/>
        <v>110919</v>
      </c>
      <c r="G12" s="1633">
        <f t="shared" si="0"/>
        <v>162219</v>
      </c>
      <c r="H12" s="1633">
        <f t="shared" si="0"/>
        <v>0</v>
      </c>
      <c r="I12" s="1633">
        <f t="shared" si="0"/>
        <v>27730</v>
      </c>
      <c r="J12" s="1633">
        <f t="shared" si="0"/>
        <v>211452</v>
      </c>
      <c r="K12" s="1594">
        <f t="shared" si="0"/>
        <v>27730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272</v>
      </c>
      <c r="D14" s="1573">
        <v>42</v>
      </c>
      <c r="E14" s="1573">
        <v>65</v>
      </c>
      <c r="F14" s="1573">
        <v>17</v>
      </c>
      <c r="G14" s="1573">
        <v>24</v>
      </c>
      <c r="H14" s="1573">
        <v>0</v>
      </c>
      <c r="I14" s="1573">
        <v>4</v>
      </c>
      <c r="J14" s="1574">
        <v>32</v>
      </c>
      <c r="K14" s="1573">
        <v>4</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1643</v>
      </c>
      <c r="B16" s="471">
        <v>1230</v>
      </c>
      <c r="C16" s="1632">
        <v>275818</v>
      </c>
      <c r="D16" s="1573">
        <v>0</v>
      </c>
      <c r="E16" s="1573">
        <v>0</v>
      </c>
      <c r="F16" s="1573">
        <v>0</v>
      </c>
      <c r="G16" s="1573">
        <v>17939</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276090</v>
      </c>
      <c r="D18" s="1635">
        <f t="shared" ref="D18:K18" si="1">SUM(D14:D17)</f>
        <v>42</v>
      </c>
      <c r="E18" s="1635">
        <f t="shared" si="1"/>
        <v>65</v>
      </c>
      <c r="F18" s="1635">
        <f t="shared" si="1"/>
        <v>17</v>
      </c>
      <c r="G18" s="1635">
        <f t="shared" si="1"/>
        <v>17963</v>
      </c>
      <c r="H18" s="1635">
        <f t="shared" si="1"/>
        <v>0</v>
      </c>
      <c r="I18" s="1635">
        <f t="shared" si="1"/>
        <v>4</v>
      </c>
      <c r="J18" s="1635">
        <f t="shared" si="1"/>
        <v>32</v>
      </c>
      <c r="K18" s="1636">
        <f t="shared" si="1"/>
        <v>4</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3822</v>
      </c>
      <c r="D65" s="1573">
        <v>1249</v>
      </c>
      <c r="E65" s="1573">
        <v>1939</v>
      </c>
      <c r="F65" s="1574">
        <v>772</v>
      </c>
      <c r="G65" s="1573">
        <v>1076</v>
      </c>
      <c r="H65" s="1573">
        <v>0</v>
      </c>
      <c r="I65" s="1573">
        <v>1094</v>
      </c>
      <c r="J65" s="1574">
        <v>545</v>
      </c>
      <c r="K65" s="1573">
        <v>296</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3822</v>
      </c>
      <c r="D67" s="1594">
        <f t="shared" ref="D67:K67" si="2">SUM(D65:D66)</f>
        <v>1249</v>
      </c>
      <c r="E67" s="1594">
        <f t="shared" si="2"/>
        <v>1939</v>
      </c>
      <c r="F67" s="1594">
        <f t="shared" si="2"/>
        <v>772</v>
      </c>
      <c r="G67" s="1594">
        <f t="shared" si="2"/>
        <v>1076</v>
      </c>
      <c r="H67" s="1594">
        <f t="shared" si="2"/>
        <v>0</v>
      </c>
      <c r="I67" s="1594">
        <f t="shared" si="2"/>
        <v>1094</v>
      </c>
      <c r="J67" s="1594">
        <f t="shared" si="2"/>
        <v>545</v>
      </c>
      <c r="K67" s="1594">
        <f t="shared" si="2"/>
        <v>296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89226</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3303</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92529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16679</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98024</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4792</v>
      </c>
      <c r="D81" s="1573">
        <v>0</v>
      </c>
      <c r="E81" s="1575"/>
      <c r="F81" s="1575"/>
      <c r="G81" s="1575"/>
      <c r="H81" s="1575"/>
      <c r="I81" s="1575"/>
      <c r="J81" s="1575"/>
      <c r="K81" s="1575"/>
    </row>
    <row r="82" spans="1:11" ht="12.75" customHeight="1" thickBot="1" x14ac:dyDescent="0.25">
      <c r="A82" s="1406" t="s">
        <v>239</v>
      </c>
      <c r="B82" s="1407"/>
      <c r="C82" s="1633">
        <f>SUM(C77:C81)</f>
        <v>119495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37695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37695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15678</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145961</v>
      </c>
      <c r="D98" s="1573">
        <v>0</v>
      </c>
      <c r="E98" s="1612"/>
      <c r="F98" s="1573">
        <v>0</v>
      </c>
      <c r="G98" s="1612"/>
      <c r="H98" s="1612"/>
      <c r="I98" s="1610"/>
      <c r="J98" s="1612"/>
      <c r="K98" s="1612"/>
    </row>
    <row r="99" spans="1:12" ht="12.75" customHeight="1" x14ac:dyDescent="0.2">
      <c r="A99" s="427" t="s">
        <v>816</v>
      </c>
      <c r="B99" s="429">
        <v>1950</v>
      </c>
      <c r="C99" s="1598">
        <v>10139</v>
      </c>
      <c r="D99" s="1573">
        <v>0</v>
      </c>
      <c r="E99" s="1573">
        <v>0</v>
      </c>
      <c r="F99" s="1573">
        <v>0</v>
      </c>
      <c r="G99" s="1573">
        <v>0</v>
      </c>
      <c r="H99" s="1573">
        <v>0</v>
      </c>
      <c r="I99" s="1575"/>
      <c r="J99" s="1574">
        <v>0</v>
      </c>
      <c r="K99" s="1573">
        <v>0</v>
      </c>
    </row>
    <row r="100" spans="1:12" ht="12.75" customHeight="1" x14ac:dyDescent="0.2">
      <c r="A100" s="427" t="s">
        <v>243</v>
      </c>
      <c r="B100" s="429">
        <v>1960</v>
      </c>
      <c r="C100" s="1598">
        <v>205760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147690</v>
      </c>
      <c r="F103" s="1575"/>
      <c r="G103" s="1575"/>
      <c r="H103" s="1598">
        <v>77359</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90737</v>
      </c>
      <c r="D106" s="1598">
        <v>0</v>
      </c>
      <c r="E106" s="1574">
        <v>0</v>
      </c>
      <c r="F106" s="1574">
        <v>0</v>
      </c>
      <c r="G106" s="1574">
        <v>0</v>
      </c>
      <c r="H106" s="1574">
        <v>0</v>
      </c>
      <c r="I106" s="1617"/>
      <c r="J106" s="1574">
        <v>0</v>
      </c>
      <c r="K106" s="1574">
        <v>0</v>
      </c>
    </row>
    <row r="107" spans="1:12" ht="12.75" customHeight="1" x14ac:dyDescent="0.2">
      <c r="A107" s="427" t="s">
        <v>78</v>
      </c>
      <c r="B107" s="429">
        <v>1999</v>
      </c>
      <c r="C107" s="1632">
        <v>246</v>
      </c>
      <c r="D107" s="1573">
        <v>35910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468521</v>
      </c>
      <c r="D108" s="1633">
        <f t="shared" ref="D108:K108" si="3">SUM(D95:D107)</f>
        <v>35910</v>
      </c>
      <c r="E108" s="1633">
        <f t="shared" si="3"/>
        <v>147690</v>
      </c>
      <c r="F108" s="1633">
        <f t="shared" si="3"/>
        <v>0</v>
      </c>
      <c r="G108" s="1633">
        <f t="shared" si="3"/>
        <v>0</v>
      </c>
      <c r="H108" s="1633">
        <f t="shared" si="3"/>
        <v>77359</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2806131</v>
      </c>
      <c r="D109" s="1641">
        <f t="shared" si="4"/>
        <v>314499</v>
      </c>
      <c r="E109" s="1641">
        <f t="shared" si="4"/>
        <v>586563</v>
      </c>
      <c r="F109" s="1641">
        <f t="shared" si="4"/>
        <v>111708</v>
      </c>
      <c r="G109" s="1641">
        <f t="shared" si="4"/>
        <v>181258</v>
      </c>
      <c r="H109" s="1641">
        <f t="shared" si="4"/>
        <v>77359</v>
      </c>
      <c r="I109" s="1641">
        <f t="shared" si="4"/>
        <v>28828</v>
      </c>
      <c r="J109" s="1641">
        <f t="shared" si="4"/>
        <v>212029</v>
      </c>
      <c r="K109" s="1629">
        <f t="shared" si="4"/>
        <v>28030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1647</v>
      </c>
      <c r="B117" s="478">
        <v>3001</v>
      </c>
      <c r="C117" s="1613">
        <v>1867278</v>
      </c>
      <c r="D117" s="1586">
        <v>0</v>
      </c>
      <c r="E117" s="1573">
        <v>0</v>
      </c>
      <c r="F117" s="1586">
        <v>0</v>
      </c>
      <c r="G117" s="1586">
        <v>0</v>
      </c>
      <c r="H117" s="1573">
        <v>0</v>
      </c>
      <c r="I117" s="1575"/>
      <c r="J117" s="1574">
        <v>0</v>
      </c>
      <c r="K117" s="1573">
        <v>0</v>
      </c>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1891</v>
      </c>
      <c r="B120" s="478">
        <v>3030</v>
      </c>
      <c r="C120" s="1632">
        <v>0</v>
      </c>
      <c r="D120" s="1573">
        <v>0</v>
      </c>
      <c r="E120" s="1573">
        <v>0</v>
      </c>
      <c r="F120" s="1573">
        <v>0</v>
      </c>
      <c r="G120" s="1573">
        <v>0</v>
      </c>
      <c r="H120" s="1573">
        <v>0</v>
      </c>
      <c r="I120" s="1575"/>
      <c r="J120" s="1574">
        <v>0</v>
      </c>
      <c r="K120" s="1573">
        <v>0</v>
      </c>
    </row>
    <row r="121" spans="1:11" x14ac:dyDescent="0.2">
      <c r="A121" s="1266" t="s">
        <v>1774</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1867278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62571</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62571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11747</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11747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863</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8245</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129959</v>
      </c>
      <c r="G152" s="1574">
        <v>0</v>
      </c>
      <c r="H152" s="1575"/>
      <c r="I152" s="1575"/>
      <c r="J152" s="1575"/>
      <c r="K152" s="1575"/>
    </row>
    <row r="153" spans="1:11" ht="12.75" customHeight="1" x14ac:dyDescent="0.2">
      <c r="A153" s="427" t="s">
        <v>1048</v>
      </c>
      <c r="B153" s="478">
        <v>3510</v>
      </c>
      <c r="C153" s="1632">
        <v>0</v>
      </c>
      <c r="D153" s="1573">
        <v>0</v>
      </c>
      <c r="E153" s="1640"/>
      <c r="F153" s="1573">
        <v>78596</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208555</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750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46350</v>
      </c>
      <c r="D168" s="1655">
        <v>0</v>
      </c>
      <c r="E168" s="1655">
        <v>0</v>
      </c>
      <c r="F168" s="1655">
        <v>0</v>
      </c>
      <c r="G168" s="1656">
        <v>0</v>
      </c>
      <c r="H168" s="1657">
        <v>0</v>
      </c>
      <c r="I168" s="1656">
        <v>0</v>
      </c>
      <c r="J168" s="1656">
        <v>0</v>
      </c>
      <c r="K168" s="1657">
        <v>0</v>
      </c>
    </row>
    <row r="169" spans="1:11" ht="12.75" customHeight="1" thickTop="1" thickBot="1" x14ac:dyDescent="0.25">
      <c r="A169" s="2352" t="s">
        <v>395</v>
      </c>
      <c r="B169" s="2353"/>
      <c r="C169" s="1658">
        <f t="shared" ref="C169:K169" si="6">SUM(C132,C141,C145,C146:C150,C155,C156:C167,C168)</f>
        <v>130526</v>
      </c>
      <c r="D169" s="1658">
        <f t="shared" si="6"/>
        <v>0</v>
      </c>
      <c r="E169" s="1658">
        <f t="shared" si="6"/>
        <v>0</v>
      </c>
      <c r="F169" s="1658">
        <f t="shared" si="6"/>
        <v>208555</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1997804</v>
      </c>
      <c r="D170" s="1641">
        <f t="shared" si="7"/>
        <v>0</v>
      </c>
      <c r="E170" s="1641">
        <f t="shared" si="7"/>
        <v>0</v>
      </c>
      <c r="F170" s="1641">
        <f t="shared" si="7"/>
        <v>208555</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54" t="s">
        <v>1475</v>
      </c>
      <c r="B172" s="2355"/>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58" t="s">
        <v>1645</v>
      </c>
      <c r="B175" s="23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62" t="s">
        <v>1644</v>
      </c>
      <c r="B176" s="2363"/>
      <c r="C176" s="1659"/>
      <c r="D176" s="1660"/>
      <c r="E176" s="1661"/>
      <c r="F176" s="1662"/>
      <c r="G176" s="1662"/>
      <c r="H176" s="1662"/>
      <c r="I176" s="1662"/>
      <c r="J176" s="1662"/>
      <c r="K176" s="1662"/>
    </row>
    <row r="177" spans="1:11" ht="12.75" customHeight="1" x14ac:dyDescent="0.2">
      <c r="A177" s="427" t="s">
        <v>1036</v>
      </c>
      <c r="B177" s="429">
        <v>4045</v>
      </c>
      <c r="C177" s="1632">
        <v>346797</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32446</v>
      </c>
      <c r="D180" s="1573">
        <v>0</v>
      </c>
      <c r="E180" s="1575"/>
      <c r="F180" s="1573">
        <v>0</v>
      </c>
      <c r="G180" s="1573">
        <v>0</v>
      </c>
      <c r="H180" s="1573">
        <v>0</v>
      </c>
      <c r="I180" s="1575"/>
      <c r="J180" s="1575"/>
      <c r="K180" s="1573">
        <v>0</v>
      </c>
    </row>
    <row r="181" spans="1:11" ht="13.5" thickBot="1" x14ac:dyDescent="0.25">
      <c r="A181" s="2360" t="s">
        <v>780</v>
      </c>
      <c r="B181" s="2361"/>
      <c r="C181" s="1633">
        <f>SUM(C177:C180)</f>
        <v>379243</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56" t="s">
        <v>1776</v>
      </c>
      <c r="B182" s="2357"/>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v>0</v>
      </c>
      <c r="D184" s="1586">
        <v>0</v>
      </c>
      <c r="E184" s="1640"/>
      <c r="F184" s="1586">
        <v>0</v>
      </c>
      <c r="G184" s="1586">
        <v>0</v>
      </c>
      <c r="H184" s="1575"/>
      <c r="I184" s="1575"/>
      <c r="J184" s="1575"/>
      <c r="K184" s="1575"/>
    </row>
    <row r="185" spans="1:11" ht="12.75" customHeight="1" x14ac:dyDescent="0.2">
      <c r="A185" s="427" t="s">
        <v>1586</v>
      </c>
      <c r="B185" s="429">
        <v>4105</v>
      </c>
      <c r="C185" s="1632">
        <v>0</v>
      </c>
      <c r="D185" s="1573">
        <v>0</v>
      </c>
      <c r="E185" s="1640"/>
      <c r="F185" s="1573">
        <v>0</v>
      </c>
      <c r="G185" s="1573">
        <v>0</v>
      </c>
      <c r="H185" s="1575"/>
      <c r="I185" s="1575"/>
      <c r="J185" s="1575"/>
      <c r="K185" s="1575"/>
    </row>
    <row r="186" spans="1:11" ht="12.75" customHeight="1" x14ac:dyDescent="0.2">
      <c r="A186" s="427" t="s">
        <v>1588</v>
      </c>
      <c r="B186" s="429">
        <v>4107</v>
      </c>
      <c r="C186" s="1632">
        <v>0</v>
      </c>
      <c r="D186" s="1573">
        <v>0</v>
      </c>
      <c r="E186" s="1640"/>
      <c r="F186" s="1573">
        <v>0</v>
      </c>
      <c r="G186" s="1573">
        <v>0</v>
      </c>
      <c r="H186" s="1575"/>
      <c r="I186" s="1575"/>
      <c r="J186" s="1575"/>
      <c r="K186" s="1575"/>
    </row>
    <row r="187" spans="1:11" ht="12.75" customHeight="1" x14ac:dyDescent="0.2">
      <c r="A187" s="427" t="s">
        <v>1587</v>
      </c>
      <c r="B187" s="429">
        <v>4199</v>
      </c>
      <c r="C187" s="1632">
        <v>0</v>
      </c>
      <c r="D187" s="1573">
        <v>0</v>
      </c>
      <c r="E187" s="1640"/>
      <c r="F187" s="1573">
        <v>0</v>
      </c>
      <c r="G187" s="1573">
        <v>0</v>
      </c>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57549</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11224</v>
      </c>
      <c r="D193" s="1575"/>
      <c r="E193" s="1640"/>
      <c r="F193" s="1575"/>
      <c r="G193" s="1664">
        <v>0</v>
      </c>
      <c r="H193" s="1575"/>
      <c r="I193" s="1575"/>
      <c r="J193" s="1575"/>
      <c r="K193" s="1575"/>
    </row>
    <row r="194" spans="1:11" ht="12.75" customHeight="1" x14ac:dyDescent="0.2">
      <c r="A194" s="427" t="s">
        <v>1434</v>
      </c>
      <c r="B194" s="429">
        <v>4225</v>
      </c>
      <c r="C194" s="1632">
        <v>53858</v>
      </c>
      <c r="D194" s="1575"/>
      <c r="E194" s="1640"/>
      <c r="F194" s="1575"/>
      <c r="G194" s="1664">
        <v>0</v>
      </c>
      <c r="H194" s="1575"/>
      <c r="I194" s="1575"/>
      <c r="J194" s="1575"/>
      <c r="K194" s="1575"/>
    </row>
    <row r="195" spans="1:11" ht="12.75" customHeight="1" x14ac:dyDescent="0.2">
      <c r="A195" s="427" t="s">
        <v>1435</v>
      </c>
      <c r="B195" s="429">
        <v>4226</v>
      </c>
      <c r="C195" s="1632">
        <v>11072</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133703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88172</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101768</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189940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129279</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129279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15841</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1892</v>
      </c>
      <c r="B261" s="429">
        <v>4981</v>
      </c>
      <c r="C261" s="1650">
        <v>0</v>
      </c>
      <c r="D261" s="1651">
        <v>0</v>
      </c>
      <c r="E261" s="1575"/>
      <c r="F261" s="1651">
        <v>0</v>
      </c>
      <c r="G261" s="1651">
        <v>0</v>
      </c>
      <c r="H261" s="1575"/>
      <c r="I261" s="1575"/>
      <c r="J261" s="1575"/>
      <c r="K261" s="1575"/>
    </row>
    <row r="262" spans="1:11" ht="12.75" customHeight="1" thickTop="1" thickBot="1" x14ac:dyDescent="0.25">
      <c r="A262" s="1540" t="s">
        <v>1893</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7563</v>
      </c>
      <c r="D263" s="1651">
        <v>0</v>
      </c>
      <c r="E263" s="1575"/>
      <c r="F263" s="1651">
        <v>0</v>
      </c>
      <c r="G263" s="1651">
        <v>0</v>
      </c>
      <c r="H263" s="1575"/>
      <c r="I263" s="1575"/>
      <c r="J263" s="1575"/>
      <c r="K263" s="1575"/>
    </row>
    <row r="264" spans="1:11" ht="12.75" customHeight="1" thickTop="1" thickBot="1" x14ac:dyDescent="0.25">
      <c r="A264" s="427" t="s">
        <v>374</v>
      </c>
      <c r="B264" s="429">
        <v>4992</v>
      </c>
      <c r="C264" s="1650">
        <v>25606</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1646</v>
      </c>
      <c r="B266" s="1419"/>
      <c r="C266" s="1641">
        <f t="shared" ref="C266:H266" si="10">SUM(C188,C198,C204,C209,C217,C221,C222,C252:C265)</f>
        <v>501932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881175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5685110</v>
      </c>
      <c r="D268" s="1641">
        <f t="shared" si="12"/>
        <v>314499</v>
      </c>
      <c r="E268" s="1641">
        <f t="shared" si="12"/>
        <v>586563</v>
      </c>
      <c r="F268" s="1641">
        <f t="shared" si="12"/>
        <v>320263</v>
      </c>
      <c r="G268" s="1641">
        <f t="shared" si="12"/>
        <v>181258</v>
      </c>
      <c r="H268" s="1641">
        <f t="shared" si="12"/>
        <v>127359</v>
      </c>
      <c r="I268" s="1641">
        <f t="shared" si="12"/>
        <v>28828</v>
      </c>
      <c r="J268" s="1641">
        <f t="shared" si="12"/>
        <v>212029</v>
      </c>
      <c r="K268" s="1629">
        <f t="shared" si="12"/>
        <v>28030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 right="0.2"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24" sqref="J24:S25"/>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32"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72" t="s">
        <v>294</v>
      </c>
      <c r="B3" s="23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2484495</v>
      </c>
      <c r="D5" s="1573">
        <v>340608</v>
      </c>
      <c r="E5" s="1573">
        <v>40926</v>
      </c>
      <c r="F5" s="1573">
        <v>81550</v>
      </c>
      <c r="G5" s="1573">
        <v>32446</v>
      </c>
      <c r="H5" s="1573">
        <v>0</v>
      </c>
      <c r="I5" s="1574">
        <v>0</v>
      </c>
      <c r="J5" s="1574">
        <v>0</v>
      </c>
      <c r="K5" s="1672">
        <f>SUM(C5:J5)</f>
        <v>2980025</v>
      </c>
      <c r="L5" s="1573">
        <v>3070197</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118275</v>
      </c>
      <c r="D7" s="1574">
        <v>16859</v>
      </c>
      <c r="E7" s="1574">
        <v>57</v>
      </c>
      <c r="F7" s="1574">
        <v>0</v>
      </c>
      <c r="G7" s="1574">
        <v>0</v>
      </c>
      <c r="H7" s="1574">
        <v>0</v>
      </c>
      <c r="I7" s="1574">
        <v>0</v>
      </c>
      <c r="J7" s="1574">
        <v>0</v>
      </c>
      <c r="K7" s="1672">
        <f t="shared" ref="K7:K32" si="0">SUM(C7:J7)</f>
        <v>135191</v>
      </c>
      <c r="L7" s="1573">
        <v>127415</v>
      </c>
    </row>
    <row r="8" spans="1:14" x14ac:dyDescent="0.2">
      <c r="A8" s="1274" t="s">
        <v>163</v>
      </c>
      <c r="B8" s="503">
        <v>1200</v>
      </c>
      <c r="C8" s="1573">
        <v>316566</v>
      </c>
      <c r="D8" s="1573">
        <v>31261</v>
      </c>
      <c r="E8" s="1573">
        <v>1926</v>
      </c>
      <c r="F8" s="1573">
        <v>11760</v>
      </c>
      <c r="G8" s="1573">
        <v>2247</v>
      </c>
      <c r="H8" s="1573">
        <v>0</v>
      </c>
      <c r="I8" s="1574">
        <v>0</v>
      </c>
      <c r="J8" s="1574">
        <v>0</v>
      </c>
      <c r="K8" s="1672">
        <f t="shared" si="0"/>
        <v>363760</v>
      </c>
      <c r="L8" s="1573">
        <v>351596</v>
      </c>
    </row>
    <row r="9" spans="1:14" x14ac:dyDescent="0.2">
      <c r="A9" s="1274" t="s">
        <v>716</v>
      </c>
      <c r="B9" s="503" t="s">
        <v>962</v>
      </c>
      <c r="C9" s="1574">
        <v>81717</v>
      </c>
      <c r="D9" s="1574">
        <v>3573</v>
      </c>
      <c r="E9" s="1574">
        <v>67455</v>
      </c>
      <c r="F9" s="1574">
        <v>35056</v>
      </c>
      <c r="G9" s="1574">
        <v>64925</v>
      </c>
      <c r="H9" s="1574">
        <v>0</v>
      </c>
      <c r="I9" s="1574">
        <v>0</v>
      </c>
      <c r="J9" s="1574">
        <v>0</v>
      </c>
      <c r="K9" s="1672">
        <f t="shared" si="0"/>
        <v>252726</v>
      </c>
      <c r="L9" s="1573">
        <v>316621</v>
      </c>
    </row>
    <row r="10" spans="1:14" x14ac:dyDescent="0.2">
      <c r="A10" s="1274" t="s">
        <v>717</v>
      </c>
      <c r="B10" s="503">
        <v>1250</v>
      </c>
      <c r="C10" s="1573">
        <v>90901</v>
      </c>
      <c r="D10" s="1573">
        <v>5420</v>
      </c>
      <c r="E10" s="1573">
        <v>3301</v>
      </c>
      <c r="F10" s="1573">
        <v>13702</v>
      </c>
      <c r="G10" s="1573">
        <v>0</v>
      </c>
      <c r="H10" s="1573">
        <v>0</v>
      </c>
      <c r="I10" s="1574">
        <v>0</v>
      </c>
      <c r="J10" s="1574">
        <v>0</v>
      </c>
      <c r="K10" s="1672">
        <f t="shared" si="0"/>
        <v>113324</v>
      </c>
      <c r="L10" s="1573">
        <v>121477</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253459</v>
      </c>
      <c r="D13" s="1573">
        <v>26757</v>
      </c>
      <c r="E13" s="1573">
        <v>2032</v>
      </c>
      <c r="F13" s="1573">
        <v>12888</v>
      </c>
      <c r="G13" s="1573">
        <v>1300</v>
      </c>
      <c r="H13" s="1573">
        <v>0</v>
      </c>
      <c r="I13" s="1574">
        <v>0</v>
      </c>
      <c r="J13" s="1574">
        <v>0</v>
      </c>
      <c r="K13" s="1672">
        <f t="shared" si="0"/>
        <v>296436</v>
      </c>
      <c r="L13" s="1573">
        <v>284197</v>
      </c>
    </row>
    <row r="14" spans="1:14" x14ac:dyDescent="0.2">
      <c r="A14" s="1274" t="s">
        <v>957</v>
      </c>
      <c r="B14" s="503">
        <v>1500</v>
      </c>
      <c r="C14" s="1573">
        <v>225565</v>
      </c>
      <c r="D14" s="1573">
        <v>12732</v>
      </c>
      <c r="E14" s="1573">
        <v>28711</v>
      </c>
      <c r="F14" s="1573">
        <v>7619</v>
      </c>
      <c r="G14" s="1573">
        <v>0</v>
      </c>
      <c r="H14" s="1573">
        <v>7532</v>
      </c>
      <c r="I14" s="1574">
        <v>0</v>
      </c>
      <c r="J14" s="1574">
        <v>0</v>
      </c>
      <c r="K14" s="1672">
        <f t="shared" si="0"/>
        <v>282159</v>
      </c>
      <c r="L14" s="1573">
        <v>311679</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742</v>
      </c>
      <c r="D17" s="1574">
        <v>0</v>
      </c>
      <c r="E17" s="1574">
        <v>98</v>
      </c>
      <c r="F17" s="1574">
        <v>0</v>
      </c>
      <c r="G17" s="1574">
        <v>0</v>
      </c>
      <c r="H17" s="1574">
        <v>0</v>
      </c>
      <c r="I17" s="1574">
        <v>0</v>
      </c>
      <c r="J17" s="1574">
        <v>0</v>
      </c>
      <c r="K17" s="1672">
        <f t="shared" si="0"/>
        <v>840</v>
      </c>
      <c r="L17" s="1573">
        <v>1527</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2850</v>
      </c>
      <c r="I29" s="1673"/>
      <c r="J29" s="1582"/>
      <c r="K29" s="1672">
        <f t="shared" si="0"/>
        <v>2850</v>
      </c>
      <c r="L29" s="1577">
        <v>2457</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1648</v>
      </c>
      <c r="B33" s="1381" t="s">
        <v>566</v>
      </c>
      <c r="C33" s="1674">
        <f>SUM(C5:C32)</f>
        <v>3571720</v>
      </c>
      <c r="D33" s="1674">
        <f t="shared" ref="D33:L33" si="1">SUM(D5:D32)</f>
        <v>437210</v>
      </c>
      <c r="E33" s="1674">
        <f t="shared" si="1"/>
        <v>144506</v>
      </c>
      <c r="F33" s="1674">
        <f t="shared" si="1"/>
        <v>162575</v>
      </c>
      <c r="G33" s="1674">
        <f t="shared" si="1"/>
        <v>100918</v>
      </c>
      <c r="H33" s="1674">
        <f t="shared" si="1"/>
        <v>10382</v>
      </c>
      <c r="I33" s="1674">
        <f t="shared" si="1"/>
        <v>0</v>
      </c>
      <c r="J33" s="1674">
        <f t="shared" si="1"/>
        <v>0</v>
      </c>
      <c r="K33" s="1674">
        <f t="shared" si="1"/>
        <v>4427311</v>
      </c>
      <c r="L33" s="1674">
        <f t="shared" si="1"/>
        <v>4587166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2979</v>
      </c>
      <c r="D36" s="1586">
        <v>0</v>
      </c>
      <c r="E36" s="1586">
        <v>598</v>
      </c>
      <c r="F36" s="1586">
        <v>160</v>
      </c>
      <c r="G36" s="1586">
        <v>0</v>
      </c>
      <c r="H36" s="1586">
        <v>0</v>
      </c>
      <c r="I36" s="1574">
        <v>0</v>
      </c>
      <c r="J36" s="1574">
        <v>0</v>
      </c>
      <c r="K36" s="1672">
        <f t="shared" ref="K36:K41" si="2">SUM(C36:J36)</f>
        <v>3737</v>
      </c>
      <c r="L36" s="1573">
        <v>4887</v>
      </c>
    </row>
    <row r="37" spans="1:14" x14ac:dyDescent="0.2">
      <c r="A37" s="1274" t="s">
        <v>1081</v>
      </c>
      <c r="B37" s="503">
        <v>2120</v>
      </c>
      <c r="C37" s="1573">
        <v>60540</v>
      </c>
      <c r="D37" s="1573">
        <v>9164</v>
      </c>
      <c r="E37" s="1573">
        <v>0</v>
      </c>
      <c r="F37" s="1573">
        <v>0</v>
      </c>
      <c r="G37" s="1573">
        <v>0</v>
      </c>
      <c r="H37" s="1573">
        <v>0</v>
      </c>
      <c r="I37" s="1574">
        <v>0</v>
      </c>
      <c r="J37" s="1574">
        <v>0</v>
      </c>
      <c r="K37" s="1672">
        <f t="shared" si="2"/>
        <v>69704</v>
      </c>
      <c r="L37" s="1573">
        <v>70658</v>
      </c>
    </row>
    <row r="38" spans="1:14" x14ac:dyDescent="0.2">
      <c r="A38" s="1274" t="s">
        <v>196</v>
      </c>
      <c r="B38" s="503">
        <v>2130</v>
      </c>
      <c r="C38" s="1573">
        <v>0</v>
      </c>
      <c r="D38" s="1573">
        <v>0</v>
      </c>
      <c r="E38" s="1573">
        <v>90</v>
      </c>
      <c r="F38" s="1573">
        <v>1015</v>
      </c>
      <c r="G38" s="1573">
        <v>0</v>
      </c>
      <c r="H38" s="1573">
        <v>0</v>
      </c>
      <c r="I38" s="1573">
        <v>0</v>
      </c>
      <c r="J38" s="1573">
        <v>0</v>
      </c>
      <c r="K38" s="1672">
        <f t="shared" si="2"/>
        <v>1105</v>
      </c>
      <c r="L38" s="1573">
        <v>14936</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67086</v>
      </c>
      <c r="D40" s="1573">
        <v>862</v>
      </c>
      <c r="E40" s="1573">
        <v>0</v>
      </c>
      <c r="F40" s="1573">
        <v>0</v>
      </c>
      <c r="G40" s="1573">
        <v>0</v>
      </c>
      <c r="H40" s="1573">
        <v>0</v>
      </c>
      <c r="I40" s="1574">
        <v>0</v>
      </c>
      <c r="J40" s="1574">
        <v>0</v>
      </c>
      <c r="K40" s="1672">
        <f t="shared" si="2"/>
        <v>67948</v>
      </c>
      <c r="L40" s="1573">
        <v>69273</v>
      </c>
    </row>
    <row r="41" spans="1:14" x14ac:dyDescent="0.2">
      <c r="A41" s="1274" t="s">
        <v>1649</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130605</v>
      </c>
      <c r="D42" s="1674">
        <f t="shared" ref="D42:L42" si="3">SUM(D36:D41)</f>
        <v>10026</v>
      </c>
      <c r="E42" s="1674">
        <f t="shared" si="3"/>
        <v>688</v>
      </c>
      <c r="F42" s="1674">
        <f t="shared" si="3"/>
        <v>1175</v>
      </c>
      <c r="G42" s="1674">
        <f t="shared" si="3"/>
        <v>0</v>
      </c>
      <c r="H42" s="1674">
        <f t="shared" si="3"/>
        <v>0</v>
      </c>
      <c r="I42" s="1674">
        <f t="shared" si="3"/>
        <v>0</v>
      </c>
      <c r="J42" s="1674">
        <f t="shared" si="3"/>
        <v>0</v>
      </c>
      <c r="K42" s="1674">
        <f t="shared" si="3"/>
        <v>142494</v>
      </c>
      <c r="L42" s="1674">
        <f t="shared" si="3"/>
        <v>159754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69510</v>
      </c>
      <c r="D44" s="1586">
        <v>4971</v>
      </c>
      <c r="E44" s="1586">
        <v>35331</v>
      </c>
      <c r="F44" s="1586">
        <v>2407</v>
      </c>
      <c r="G44" s="1586">
        <v>0</v>
      </c>
      <c r="H44" s="1586">
        <v>0</v>
      </c>
      <c r="I44" s="1574">
        <v>0</v>
      </c>
      <c r="J44" s="1574">
        <v>0</v>
      </c>
      <c r="K44" s="1678">
        <f>SUM(C44:J44)</f>
        <v>112219</v>
      </c>
      <c r="L44" s="1586">
        <v>121325</v>
      </c>
    </row>
    <row r="45" spans="1:14" x14ac:dyDescent="0.2">
      <c r="A45" s="1274" t="s">
        <v>810</v>
      </c>
      <c r="B45" s="503">
        <v>2220</v>
      </c>
      <c r="C45" s="1573">
        <v>109957</v>
      </c>
      <c r="D45" s="1573">
        <v>1300</v>
      </c>
      <c r="E45" s="1573">
        <v>81107</v>
      </c>
      <c r="F45" s="1573">
        <v>95603</v>
      </c>
      <c r="G45" s="1573">
        <v>0</v>
      </c>
      <c r="H45" s="1573">
        <v>0</v>
      </c>
      <c r="I45" s="1574">
        <v>0</v>
      </c>
      <c r="J45" s="1574">
        <v>0</v>
      </c>
      <c r="K45" s="1678">
        <f>SUM(C45:J45)</f>
        <v>287967</v>
      </c>
      <c r="L45" s="1573">
        <v>379804</v>
      </c>
    </row>
    <row r="46" spans="1:14" x14ac:dyDescent="0.2">
      <c r="A46" s="1274" t="s">
        <v>811</v>
      </c>
      <c r="B46" s="503">
        <v>2230</v>
      </c>
      <c r="C46" s="1573">
        <v>0</v>
      </c>
      <c r="D46" s="1573">
        <v>0</v>
      </c>
      <c r="E46" s="1573">
        <v>0</v>
      </c>
      <c r="F46" s="1573">
        <v>650</v>
      </c>
      <c r="G46" s="1573">
        <v>0</v>
      </c>
      <c r="H46" s="1573">
        <v>0</v>
      </c>
      <c r="I46" s="1574">
        <v>0</v>
      </c>
      <c r="J46" s="1574">
        <v>0</v>
      </c>
      <c r="K46" s="1678">
        <f>SUM(C46:J46)</f>
        <v>650</v>
      </c>
      <c r="L46" s="1573">
        <v>2000</v>
      </c>
    </row>
    <row r="47" spans="1:14" ht="12.75" customHeight="1" thickBot="1" x14ac:dyDescent="0.25">
      <c r="A47" s="1380" t="s">
        <v>557</v>
      </c>
      <c r="B47" s="1381" t="s">
        <v>32</v>
      </c>
      <c r="C47" s="1674">
        <f>SUM(C44:C46)</f>
        <v>179467</v>
      </c>
      <c r="D47" s="1674">
        <f t="shared" ref="D47:K47" si="4">SUM(D44:D46)</f>
        <v>6271</v>
      </c>
      <c r="E47" s="1674">
        <f t="shared" si="4"/>
        <v>116438</v>
      </c>
      <c r="F47" s="1674">
        <f t="shared" si="4"/>
        <v>98660</v>
      </c>
      <c r="G47" s="1674">
        <f t="shared" si="4"/>
        <v>0</v>
      </c>
      <c r="H47" s="1674">
        <f t="shared" si="4"/>
        <v>0</v>
      </c>
      <c r="I47" s="1674">
        <f t="shared" si="4"/>
        <v>0</v>
      </c>
      <c r="J47" s="1674">
        <f t="shared" si="4"/>
        <v>0</v>
      </c>
      <c r="K47" s="1674">
        <f t="shared" si="4"/>
        <v>400836</v>
      </c>
      <c r="L47" s="1674">
        <f>SUM(L44:L46)</f>
        <v>503129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3660</v>
      </c>
      <c r="D49" s="1586">
        <v>0</v>
      </c>
      <c r="E49" s="1586">
        <v>53875</v>
      </c>
      <c r="F49" s="1586">
        <v>2433</v>
      </c>
      <c r="G49" s="1586">
        <v>0</v>
      </c>
      <c r="H49" s="1586">
        <v>2850</v>
      </c>
      <c r="I49" s="1574">
        <v>0</v>
      </c>
      <c r="J49" s="1574">
        <v>0</v>
      </c>
      <c r="K49" s="1678">
        <f>SUM(C49:J49)</f>
        <v>62818</v>
      </c>
      <c r="L49" s="1586">
        <v>50892</v>
      </c>
    </row>
    <row r="50" spans="1:14" x14ac:dyDescent="0.2">
      <c r="A50" s="1274" t="s">
        <v>813</v>
      </c>
      <c r="B50" s="503">
        <v>2320</v>
      </c>
      <c r="C50" s="1574">
        <v>185584</v>
      </c>
      <c r="D50" s="1573">
        <v>11319</v>
      </c>
      <c r="E50" s="1573">
        <v>3330</v>
      </c>
      <c r="F50" s="1573">
        <v>575</v>
      </c>
      <c r="G50" s="1573">
        <v>0</v>
      </c>
      <c r="H50" s="1573">
        <v>369</v>
      </c>
      <c r="I50" s="1574">
        <v>0</v>
      </c>
      <c r="J50" s="1574">
        <v>0</v>
      </c>
      <c r="K50" s="1678">
        <f>SUM(C50:J50)</f>
        <v>201177</v>
      </c>
      <c r="L50" s="1573">
        <v>205654</v>
      </c>
    </row>
    <row r="51" spans="1:14" x14ac:dyDescent="0.2">
      <c r="A51" s="1274" t="s">
        <v>42</v>
      </c>
      <c r="B51" s="503">
        <v>2330</v>
      </c>
      <c r="C51" s="1573">
        <v>61425</v>
      </c>
      <c r="D51" s="1573">
        <v>677</v>
      </c>
      <c r="E51" s="1573">
        <v>1200</v>
      </c>
      <c r="F51" s="1573">
        <v>0</v>
      </c>
      <c r="G51" s="1573">
        <v>0</v>
      </c>
      <c r="H51" s="1573">
        <v>0</v>
      </c>
      <c r="I51" s="1574">
        <v>0</v>
      </c>
      <c r="J51" s="1574">
        <v>0</v>
      </c>
      <c r="K51" s="1678">
        <f>SUM(C51:J51)</f>
        <v>63302</v>
      </c>
      <c r="L51" s="1573">
        <v>31123</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250669</v>
      </c>
      <c r="D53" s="1674">
        <f t="shared" ref="D53:L53" si="5">SUM(D49:D52)</f>
        <v>11996</v>
      </c>
      <c r="E53" s="1674">
        <f t="shared" si="5"/>
        <v>58405</v>
      </c>
      <c r="F53" s="1674">
        <f t="shared" si="5"/>
        <v>3008</v>
      </c>
      <c r="G53" s="1674">
        <f t="shared" si="5"/>
        <v>0</v>
      </c>
      <c r="H53" s="1674">
        <f t="shared" si="5"/>
        <v>3219</v>
      </c>
      <c r="I53" s="1674">
        <f t="shared" si="5"/>
        <v>0</v>
      </c>
      <c r="J53" s="1674">
        <f t="shared" si="5"/>
        <v>0</v>
      </c>
      <c r="K53" s="1674">
        <f t="shared" si="5"/>
        <v>327297</v>
      </c>
      <c r="L53" s="1674">
        <f t="shared" si="5"/>
        <v>287669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335755</v>
      </c>
      <c r="D55" s="1586">
        <v>41021</v>
      </c>
      <c r="E55" s="1586">
        <v>2779</v>
      </c>
      <c r="F55" s="1586">
        <v>1185</v>
      </c>
      <c r="G55" s="1586">
        <v>0</v>
      </c>
      <c r="H55" s="1586">
        <v>150</v>
      </c>
      <c r="I55" s="1574">
        <v>0</v>
      </c>
      <c r="J55" s="1574">
        <v>0</v>
      </c>
      <c r="K55" s="1678">
        <f>SUM(C55:J55)</f>
        <v>380890</v>
      </c>
      <c r="L55" s="1586">
        <v>388041</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335755</v>
      </c>
      <c r="D57" s="1679">
        <f t="shared" ref="D57:K57" si="6">SUM(D55:D56)</f>
        <v>41021</v>
      </c>
      <c r="E57" s="1679">
        <f t="shared" si="6"/>
        <v>2779</v>
      </c>
      <c r="F57" s="1679">
        <f t="shared" si="6"/>
        <v>1185</v>
      </c>
      <c r="G57" s="1679">
        <f t="shared" si="6"/>
        <v>0</v>
      </c>
      <c r="H57" s="1679">
        <f t="shared" si="6"/>
        <v>150</v>
      </c>
      <c r="I57" s="1679">
        <f t="shared" si="6"/>
        <v>0</v>
      </c>
      <c r="J57" s="1679">
        <f t="shared" si="6"/>
        <v>0</v>
      </c>
      <c r="K57" s="1679">
        <f t="shared" si="6"/>
        <v>380890</v>
      </c>
      <c r="L57" s="1674">
        <f>SUM(L55:L56)</f>
        <v>388041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38892</v>
      </c>
      <c r="D60" s="1573">
        <v>21</v>
      </c>
      <c r="E60" s="1573">
        <v>580</v>
      </c>
      <c r="F60" s="1573">
        <v>335</v>
      </c>
      <c r="G60" s="1573">
        <v>0</v>
      </c>
      <c r="H60" s="1573">
        <v>0</v>
      </c>
      <c r="I60" s="1574">
        <v>0</v>
      </c>
      <c r="J60" s="1574">
        <v>0</v>
      </c>
      <c r="K60" s="1678">
        <f t="shared" si="7"/>
        <v>39828</v>
      </c>
      <c r="L60" s="1573">
        <v>41103</v>
      </c>
      <c r="M60" s="501"/>
      <c r="N60" s="501"/>
    </row>
    <row r="61" spans="1:14" s="321" customFormat="1" x14ac:dyDescent="0.2">
      <c r="A61" s="1274" t="s">
        <v>195</v>
      </c>
      <c r="B61" s="503">
        <v>2540</v>
      </c>
      <c r="C61" s="1573">
        <v>0</v>
      </c>
      <c r="D61" s="1573">
        <v>0</v>
      </c>
      <c r="E61" s="1573">
        <v>39144</v>
      </c>
      <c r="F61" s="1573">
        <v>118218</v>
      </c>
      <c r="G61" s="1573">
        <v>0</v>
      </c>
      <c r="H61" s="1573">
        <v>0</v>
      </c>
      <c r="I61" s="1574">
        <v>0</v>
      </c>
      <c r="J61" s="1574">
        <v>0</v>
      </c>
      <c r="K61" s="1678">
        <f t="shared" si="7"/>
        <v>157362</v>
      </c>
      <c r="L61" s="1573">
        <v>210215</v>
      </c>
      <c r="M61" s="501"/>
      <c r="N61" s="501"/>
    </row>
    <row r="62" spans="1:14" s="321" customFormat="1" x14ac:dyDescent="0.2">
      <c r="A62" s="1274" t="s">
        <v>947</v>
      </c>
      <c r="B62" s="503">
        <v>2550</v>
      </c>
      <c r="C62" s="1573">
        <v>0</v>
      </c>
      <c r="D62" s="1573">
        <v>0</v>
      </c>
      <c r="E62" s="1573">
        <v>2600</v>
      </c>
      <c r="F62" s="1573">
        <v>0</v>
      </c>
      <c r="G62" s="1573">
        <v>0</v>
      </c>
      <c r="H62" s="1573">
        <v>0</v>
      </c>
      <c r="I62" s="1574">
        <v>0</v>
      </c>
      <c r="J62" s="1574">
        <v>0</v>
      </c>
      <c r="K62" s="1678">
        <f t="shared" si="7"/>
        <v>2600</v>
      </c>
      <c r="L62" s="1573">
        <v>3296</v>
      </c>
      <c r="M62" s="501"/>
      <c r="N62" s="501"/>
    </row>
    <row r="63" spans="1:14" s="501" customFormat="1" x14ac:dyDescent="0.2">
      <c r="A63" s="1274" t="s">
        <v>100</v>
      </c>
      <c r="B63" s="503">
        <v>2560</v>
      </c>
      <c r="C63" s="1573">
        <v>146211</v>
      </c>
      <c r="D63" s="1573">
        <v>17971</v>
      </c>
      <c r="E63" s="1573">
        <v>6941</v>
      </c>
      <c r="F63" s="1573">
        <v>128149</v>
      </c>
      <c r="G63" s="1573">
        <v>0</v>
      </c>
      <c r="H63" s="1573">
        <v>0</v>
      </c>
      <c r="I63" s="1574">
        <v>0</v>
      </c>
      <c r="J63" s="1574">
        <v>0</v>
      </c>
      <c r="K63" s="1678">
        <f t="shared" si="7"/>
        <v>299272</v>
      </c>
      <c r="L63" s="1573">
        <v>288317</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185103</v>
      </c>
      <c r="D65" s="1674">
        <f t="shared" ref="D65:L65" si="8">SUM(D59:D64)</f>
        <v>17992</v>
      </c>
      <c r="E65" s="1674">
        <f t="shared" si="8"/>
        <v>49265</v>
      </c>
      <c r="F65" s="1674">
        <f t="shared" si="8"/>
        <v>246702</v>
      </c>
      <c r="G65" s="1674">
        <f t="shared" si="8"/>
        <v>0</v>
      </c>
      <c r="H65" s="1674">
        <f t="shared" si="8"/>
        <v>0</v>
      </c>
      <c r="I65" s="1674">
        <f t="shared" si="8"/>
        <v>0</v>
      </c>
      <c r="J65" s="1674">
        <f t="shared" si="8"/>
        <v>0</v>
      </c>
      <c r="K65" s="1674">
        <f t="shared" si="8"/>
        <v>499062</v>
      </c>
      <c r="L65" s="1674">
        <f t="shared" si="8"/>
        <v>542931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158660</v>
      </c>
      <c r="D73" s="1649">
        <v>12832</v>
      </c>
      <c r="E73" s="1649">
        <v>1514</v>
      </c>
      <c r="F73" s="1649">
        <v>505</v>
      </c>
      <c r="G73" s="1649">
        <v>0</v>
      </c>
      <c r="H73" s="1649">
        <v>0</v>
      </c>
      <c r="I73" s="1627">
        <v>0</v>
      </c>
      <c r="J73" s="1627">
        <v>0</v>
      </c>
      <c r="K73" s="1674">
        <f>SUM(C73:J73)</f>
        <v>173511</v>
      </c>
      <c r="L73" s="1651">
        <v>140292</v>
      </c>
      <c r="M73" s="501"/>
      <c r="N73" s="501"/>
    </row>
    <row r="74" spans="1:14" ht="12.75" customHeight="1" thickTop="1" thickBot="1" x14ac:dyDescent="0.25">
      <c r="A74" s="1380" t="s">
        <v>806</v>
      </c>
      <c r="B74" s="1384">
        <v>2000</v>
      </c>
      <c r="C74" s="1681">
        <f>SUM(C42,C47,C53,C57,C65,C72,C73)</f>
        <v>1240259</v>
      </c>
      <c r="D74" s="1681">
        <f t="shared" ref="D74:K74" si="10">SUM(D42,D47,D53,D57,D65,D72,D73)</f>
        <v>100138</v>
      </c>
      <c r="E74" s="1681">
        <f t="shared" si="10"/>
        <v>229089</v>
      </c>
      <c r="F74" s="1681">
        <f t="shared" si="10"/>
        <v>351235</v>
      </c>
      <c r="G74" s="1681">
        <f t="shared" si="10"/>
        <v>0</v>
      </c>
      <c r="H74" s="1681">
        <f t="shared" si="10"/>
        <v>3369</v>
      </c>
      <c r="I74" s="1681">
        <f t="shared" si="10"/>
        <v>0</v>
      </c>
      <c r="J74" s="1681">
        <f t="shared" si="10"/>
        <v>0</v>
      </c>
      <c r="K74" s="1681">
        <f t="shared" si="10"/>
        <v>1924090</v>
      </c>
      <c r="L74" s="1681">
        <f>SUM(L42,L47,L53,L57,L65,L72,L73)</f>
        <v>2021816</v>
      </c>
    </row>
    <row r="75" spans="1:14" s="254" customFormat="1" ht="15.75" customHeight="1" thickTop="1" thickBot="1" x14ac:dyDescent="0.25">
      <c r="A75" s="1348" t="s">
        <v>47</v>
      </c>
      <c r="B75" s="1349" t="s">
        <v>571</v>
      </c>
      <c r="C75" s="1649">
        <v>2565</v>
      </c>
      <c r="D75" s="1649">
        <v>0</v>
      </c>
      <c r="E75" s="1649">
        <v>122</v>
      </c>
      <c r="F75" s="1649">
        <v>1063</v>
      </c>
      <c r="G75" s="1649">
        <v>0</v>
      </c>
      <c r="H75" s="1649">
        <v>0</v>
      </c>
      <c r="I75" s="1627">
        <v>0</v>
      </c>
      <c r="J75" s="1627">
        <v>0</v>
      </c>
      <c r="K75" s="1674">
        <f>SUM(C75:J75)</f>
        <v>3750</v>
      </c>
      <c r="L75" s="1651">
        <v>50069</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42142</v>
      </c>
      <c r="F78" s="1673"/>
      <c r="G78" s="1673"/>
      <c r="H78" s="1682">
        <v>0</v>
      </c>
      <c r="I78" s="1582"/>
      <c r="J78" s="1582"/>
      <c r="K78" s="1672">
        <f t="shared" ref="K78:K83" si="11">SUM(C78:J78)</f>
        <v>42142</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42142</v>
      </c>
      <c r="F84" s="1673"/>
      <c r="G84" s="1673"/>
      <c r="H84" s="1674">
        <f>SUM(H78:H83)</f>
        <v>0</v>
      </c>
      <c r="I84" s="1582"/>
      <c r="J84" s="1582"/>
      <c r="K84" s="1674">
        <f>SUM(K78:K83)</f>
        <v>42142</v>
      </c>
      <c r="L84" s="1674">
        <f>SUM(L78:L83)</f>
        <v>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389183</v>
      </c>
      <c r="I86" s="1582"/>
      <c r="J86" s="1582"/>
      <c r="K86" s="1681">
        <f t="shared" ref="K86:K98" si="12">H86</f>
        <v>389183</v>
      </c>
      <c r="L86" s="1626">
        <v>400000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1542</v>
      </c>
      <c r="B92" s="1385">
        <v>4200</v>
      </c>
      <c r="C92" s="1673"/>
      <c r="D92" s="1673"/>
      <c r="E92" s="1684"/>
      <c r="F92" s="1673"/>
      <c r="G92" s="1673"/>
      <c r="H92" s="1674">
        <f>SUM(H85:H91)</f>
        <v>389183</v>
      </c>
      <c r="I92" s="1582"/>
      <c r="J92" s="1582"/>
      <c r="K92" s="1681">
        <f t="shared" si="12"/>
        <v>389183</v>
      </c>
      <c r="L92" s="1674">
        <f>SUM(L85:L91)</f>
        <v>400000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42142</v>
      </c>
      <c r="F102" s="1673"/>
      <c r="G102" s="1673"/>
      <c r="H102" s="1681">
        <f>SUM(H84,H92,H100,H101)</f>
        <v>389183</v>
      </c>
      <c r="I102" s="1582"/>
      <c r="J102" s="1582"/>
      <c r="K102" s="1681">
        <f>SUM(K84,K92,K100,K101)</f>
        <v>431325</v>
      </c>
      <c r="L102" s="1681">
        <f>SUM(L84,L92,L100,L101)</f>
        <v>400000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4814544</v>
      </c>
      <c r="D114" s="1674">
        <f t="shared" ref="D114:K114" si="13">SUM(D33,D74,D75,D102,D112,D113)</f>
        <v>537348</v>
      </c>
      <c r="E114" s="1674">
        <f t="shared" si="13"/>
        <v>415859</v>
      </c>
      <c r="F114" s="1674">
        <f t="shared" si="13"/>
        <v>514873</v>
      </c>
      <c r="G114" s="1674">
        <f t="shared" si="13"/>
        <v>100918</v>
      </c>
      <c r="H114" s="1674">
        <f>SUM(H33,H74,H75,H102,H112,H113)</f>
        <v>402934</v>
      </c>
      <c r="I114" s="1674">
        <f t="shared" si="13"/>
        <v>0</v>
      </c>
      <c r="J114" s="1674">
        <f t="shared" si="13"/>
        <v>0</v>
      </c>
      <c r="K114" s="1674">
        <f t="shared" si="13"/>
        <v>6786476</v>
      </c>
      <c r="L114" s="1674">
        <f>SUM(L33,L74,L75,L102,L112,L113)</f>
        <v>7059051</v>
      </c>
    </row>
    <row r="115" spans="1:14" ht="13.5" thickTop="1" x14ac:dyDescent="0.2">
      <c r="A115" s="2364" t="s">
        <v>989</v>
      </c>
      <c r="B115" s="2365"/>
      <c r="C115" s="1675"/>
      <c r="D115" s="1675"/>
      <c r="E115" s="1675"/>
      <c r="F115" s="1675"/>
      <c r="G115" s="1675"/>
      <c r="H115" s="1675"/>
      <c r="I115" s="1675"/>
      <c r="J115" s="1675"/>
      <c r="K115" s="1689">
        <f>'Revenues 9-14'!C268-'Expenditures 15-22'!K114</f>
        <v>-1101366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69" t="s">
        <v>293</v>
      </c>
      <c r="B117" s="23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1959</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266002</v>
      </c>
      <c r="D124" s="1573">
        <v>47929</v>
      </c>
      <c r="E124" s="1573">
        <v>63528</v>
      </c>
      <c r="F124" s="1573">
        <v>89084</v>
      </c>
      <c r="G124" s="1573">
        <v>15065</v>
      </c>
      <c r="H124" s="1573">
        <v>0</v>
      </c>
      <c r="I124" s="1574">
        <v>0</v>
      </c>
      <c r="J124" s="1574">
        <v>0</v>
      </c>
      <c r="K124" s="1674">
        <f>SUM(C124:J124)</f>
        <v>481608</v>
      </c>
      <c r="L124" s="1573">
        <v>479644</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266002</v>
      </c>
      <c r="D127" s="1674">
        <f t="shared" ref="D127:L127" si="14">SUM(D122:D126)</f>
        <v>47929</v>
      </c>
      <c r="E127" s="1674">
        <f t="shared" si="14"/>
        <v>63528</v>
      </c>
      <c r="F127" s="1674">
        <f t="shared" si="14"/>
        <v>89084</v>
      </c>
      <c r="G127" s="1674">
        <f t="shared" si="14"/>
        <v>15065</v>
      </c>
      <c r="H127" s="1674">
        <f t="shared" si="14"/>
        <v>0</v>
      </c>
      <c r="I127" s="1674">
        <f t="shared" si="14"/>
        <v>0</v>
      </c>
      <c r="J127" s="1674">
        <f t="shared" si="14"/>
        <v>0</v>
      </c>
      <c r="K127" s="1674">
        <f t="shared" si="14"/>
        <v>481608</v>
      </c>
      <c r="L127" s="1674">
        <f t="shared" si="14"/>
        <v>479644</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266002</v>
      </c>
      <c r="D129" s="1681">
        <f t="shared" ref="D129:L129" si="15">SUM(D120,D127,D128)</f>
        <v>47929</v>
      </c>
      <c r="E129" s="1681">
        <f t="shared" si="15"/>
        <v>63528</v>
      </c>
      <c r="F129" s="1681">
        <f t="shared" si="15"/>
        <v>89084</v>
      </c>
      <c r="G129" s="1681">
        <f t="shared" si="15"/>
        <v>15065</v>
      </c>
      <c r="H129" s="1681">
        <f t="shared" si="15"/>
        <v>0</v>
      </c>
      <c r="I129" s="1681">
        <f t="shared" si="15"/>
        <v>0</v>
      </c>
      <c r="J129" s="1681">
        <f t="shared" si="15"/>
        <v>0</v>
      </c>
      <c r="K129" s="1681">
        <f t="shared" si="15"/>
        <v>481608</v>
      </c>
      <c r="L129" s="1681">
        <f t="shared" si="15"/>
        <v>479644</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1812</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81" t="s">
        <v>616</v>
      </c>
      <c r="B151" s="2361"/>
      <c r="C151" s="1674">
        <f>SUM(C129,C130,C139,C149,C150)</f>
        <v>266002</v>
      </c>
      <c r="D151" s="1674">
        <f t="shared" ref="D151:K151" si="16">SUM(D129,D130,D139,D149,D150)</f>
        <v>47929</v>
      </c>
      <c r="E151" s="1674">
        <f t="shared" si="16"/>
        <v>63528</v>
      </c>
      <c r="F151" s="1674">
        <f t="shared" si="16"/>
        <v>89084</v>
      </c>
      <c r="G151" s="1674">
        <f t="shared" si="16"/>
        <v>15065</v>
      </c>
      <c r="H151" s="1674">
        <f t="shared" si="16"/>
        <v>0</v>
      </c>
      <c r="I151" s="1674">
        <f t="shared" si="16"/>
        <v>0</v>
      </c>
      <c r="J151" s="1674">
        <f t="shared" si="16"/>
        <v>0</v>
      </c>
      <c r="K151" s="1674">
        <f t="shared" si="16"/>
        <v>481608</v>
      </c>
      <c r="L151" s="1674">
        <f>SUM(L129,L130,L139,L149,L150)</f>
        <v>479644</v>
      </c>
    </row>
    <row r="152" spans="1:14" ht="12.75" customHeight="1" thickTop="1" x14ac:dyDescent="0.2">
      <c r="A152" s="2384" t="s">
        <v>1168</v>
      </c>
      <c r="B152" s="2385"/>
      <c r="C152" s="1675"/>
      <c r="D152" s="1675"/>
      <c r="E152" s="1675"/>
      <c r="F152" s="1675"/>
      <c r="G152" s="1675"/>
      <c r="H152" s="1675"/>
      <c r="I152" s="1675"/>
      <c r="J152" s="1673"/>
      <c r="K152" s="1689">
        <f>'Revenues 9-14'!D268-'Expenditures 15-22'!K151</f>
        <v>-167109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69" t="s">
        <v>617</v>
      </c>
      <c r="B154" s="23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1812</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1814</v>
      </c>
      <c r="C158" s="1673"/>
      <c r="D158" s="1673"/>
      <c r="E158" s="1673"/>
      <c r="F158" s="1673"/>
      <c r="G158" s="1673"/>
      <c r="H158" s="1574">
        <v>0</v>
      </c>
      <c r="I158" s="1673"/>
      <c r="J158" s="1673"/>
      <c r="K158" s="1672">
        <f>H158</f>
        <v>0</v>
      </c>
      <c r="L158" s="1574">
        <v>0</v>
      </c>
      <c r="M158" s="505"/>
      <c r="N158" s="505"/>
    </row>
    <row r="159" spans="1:14" s="506" customFormat="1" ht="12" x14ac:dyDescent="0.2">
      <c r="A159" s="1462" t="s">
        <v>1815</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1816</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426574</v>
      </c>
      <c r="I169" s="1673"/>
      <c r="J169" s="1673"/>
      <c r="K169" s="1672">
        <f>SUM(C169:H169)</f>
        <v>426574</v>
      </c>
      <c r="L169" s="1695">
        <v>404200</v>
      </c>
    </row>
    <row r="170" spans="1:14" ht="33.75" customHeight="1" x14ac:dyDescent="0.2">
      <c r="A170" s="543" t="s">
        <v>1650</v>
      </c>
      <c r="B170" s="545" t="s">
        <v>31</v>
      </c>
      <c r="C170" s="1673"/>
      <c r="D170" s="1673"/>
      <c r="E170" s="1673"/>
      <c r="F170" s="1673"/>
      <c r="G170" s="1673"/>
      <c r="H170" s="1646">
        <v>475000</v>
      </c>
      <c r="I170" s="1673"/>
      <c r="J170" s="1673"/>
      <c r="K170" s="1672">
        <f>SUM(C170:J170)</f>
        <v>475000</v>
      </c>
      <c r="L170" s="1646">
        <v>496561</v>
      </c>
    </row>
    <row r="171" spans="1:14" ht="15.75" customHeight="1" x14ac:dyDescent="0.2">
      <c r="A171" s="507" t="s">
        <v>761</v>
      </c>
      <c r="B171" s="546" t="s">
        <v>84</v>
      </c>
      <c r="C171" s="1673"/>
      <c r="D171" s="1673"/>
      <c r="E171" s="1573">
        <v>26673</v>
      </c>
      <c r="F171" s="1673"/>
      <c r="G171" s="1673"/>
      <c r="H171" s="1646">
        <v>0</v>
      </c>
      <c r="I171" s="1582"/>
      <c r="J171" s="1673"/>
      <c r="K171" s="1672">
        <f>SUM(C171:J171)</f>
        <v>26673</v>
      </c>
      <c r="L171" s="1646">
        <v>1000</v>
      </c>
    </row>
    <row r="172" spans="1:14" ht="12.75" customHeight="1" thickBot="1" x14ac:dyDescent="0.25">
      <c r="A172" s="1380" t="s">
        <v>633</v>
      </c>
      <c r="B172" s="1381" t="s">
        <v>489</v>
      </c>
      <c r="C172" s="1673"/>
      <c r="D172" s="1673"/>
      <c r="E172" s="1681">
        <f>SUM(E168,E169,E170,E171)</f>
        <v>26673</v>
      </c>
      <c r="F172" s="1673"/>
      <c r="G172" s="1673"/>
      <c r="H172" s="1681">
        <f>SUM(H168,H169,H170,H171)</f>
        <v>901574</v>
      </c>
      <c r="I172" s="1684"/>
      <c r="J172" s="1673"/>
      <c r="K172" s="1681">
        <f>SUM(K168,K169,K170,K171)</f>
        <v>928247</v>
      </c>
      <c r="L172" s="1681">
        <f>SUM(L168,L169,L170,L171)</f>
        <v>901761</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26673</v>
      </c>
      <c r="F174" s="1673"/>
      <c r="G174" s="1673"/>
      <c r="H174" s="1681">
        <f>SUM(H160,H172,H173)</f>
        <v>901574</v>
      </c>
      <c r="I174" s="1684"/>
      <c r="J174" s="1673"/>
      <c r="K174" s="1681">
        <f>SUM(K160,K172,K173)</f>
        <v>928247</v>
      </c>
      <c r="L174" s="1681">
        <f>SUM(L160,L172,L173)</f>
        <v>901761</v>
      </c>
    </row>
    <row r="175" spans="1:14" ht="13.5" thickTop="1" x14ac:dyDescent="0.2">
      <c r="A175" s="2364" t="s">
        <v>989</v>
      </c>
      <c r="B175" s="2365"/>
      <c r="C175" s="1673"/>
      <c r="D175" s="1673"/>
      <c r="E175" s="1673"/>
      <c r="F175" s="1673"/>
      <c r="G175" s="1673"/>
      <c r="H175" s="1675"/>
      <c r="I175" s="1673"/>
      <c r="J175" s="1673"/>
      <c r="K175" s="1689">
        <f>'Revenues 9-14'!E268-'Expenditures 15-22'!K174</f>
        <v>-341684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191931</v>
      </c>
      <c r="D182" s="1573">
        <v>14562</v>
      </c>
      <c r="E182" s="1573">
        <v>139965</v>
      </c>
      <c r="F182" s="1573">
        <v>52730</v>
      </c>
      <c r="G182" s="1573">
        <v>0</v>
      </c>
      <c r="H182" s="1573">
        <v>0</v>
      </c>
      <c r="I182" s="1574">
        <v>0</v>
      </c>
      <c r="J182" s="1574">
        <v>0</v>
      </c>
      <c r="K182" s="1672">
        <f>SUM(C182:J182)</f>
        <v>399188</v>
      </c>
      <c r="L182" s="1573">
        <v>420103</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191931</v>
      </c>
      <c r="D184" s="1681">
        <f t="shared" ref="D184:J184" si="17">SUM(D180,D182,D183)</f>
        <v>14562</v>
      </c>
      <c r="E184" s="1681">
        <f t="shared" si="17"/>
        <v>139965</v>
      </c>
      <c r="F184" s="1681">
        <f t="shared" si="17"/>
        <v>52730</v>
      </c>
      <c r="G184" s="1681">
        <f t="shared" si="17"/>
        <v>0</v>
      </c>
      <c r="H184" s="1681">
        <f t="shared" si="17"/>
        <v>0</v>
      </c>
      <c r="I184" s="1681">
        <f t="shared" si="17"/>
        <v>0</v>
      </c>
      <c r="J184" s="1681">
        <f t="shared" si="17"/>
        <v>0</v>
      </c>
      <c r="K184" s="1681">
        <f>SUM(K180,K182,K183)</f>
        <v>399188</v>
      </c>
      <c r="L184" s="1681">
        <f>SUM(L180, L182:L183)</f>
        <v>420103</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1651</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191931</v>
      </c>
      <c r="D210" s="1674">
        <f>SUM(D184,D185)</f>
        <v>14562</v>
      </c>
      <c r="E210" s="1674">
        <f>SUM(E184,E185,E196)</f>
        <v>139965</v>
      </c>
      <c r="F210" s="1674">
        <f>SUM(F184,F185)</f>
        <v>52730</v>
      </c>
      <c r="G210" s="1674">
        <f>SUM(G184,G185)</f>
        <v>0</v>
      </c>
      <c r="H210" s="1674">
        <f>SUM(H184,H185,H196,H208,H209)</f>
        <v>0</v>
      </c>
      <c r="I210" s="1674">
        <f>SUM(I184,I185)</f>
        <v>0</v>
      </c>
      <c r="J210" s="1674">
        <f>SUM(J184,J185)</f>
        <v>0</v>
      </c>
      <c r="K210" s="1672">
        <f>SUM(K184,K185,K196,K208,K209)</f>
        <v>399188</v>
      </c>
      <c r="L210" s="1674">
        <f>SUM(L184,L185,L196,L208,L209)</f>
        <v>420103</v>
      </c>
    </row>
    <row r="211" spans="1:14" ht="13.5" thickTop="1" x14ac:dyDescent="0.2">
      <c r="A211" s="2364" t="s">
        <v>989</v>
      </c>
      <c r="B211" s="2365"/>
      <c r="C211" s="1675"/>
      <c r="D211" s="1675"/>
      <c r="E211" s="1675"/>
      <c r="F211" s="1675"/>
      <c r="G211" s="1675"/>
      <c r="H211" s="1675"/>
      <c r="I211" s="1673"/>
      <c r="J211" s="1673"/>
      <c r="K211" s="1689">
        <f>'Revenues 9-14'!F268-'Expenditures 15-22'!K210</f>
        <v>-78925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86" t="s">
        <v>959</v>
      </c>
      <c r="B213" s="23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43462</v>
      </c>
      <c r="E215" s="1673"/>
      <c r="F215" s="1673"/>
      <c r="G215" s="1673"/>
      <c r="H215" s="1673"/>
      <c r="I215" s="1673"/>
      <c r="J215" s="1673"/>
      <c r="K215" s="1672">
        <f>D215</f>
        <v>43462</v>
      </c>
      <c r="L215" s="1573">
        <v>59431</v>
      </c>
    </row>
    <row r="216" spans="1:14" x14ac:dyDescent="0.2">
      <c r="A216" s="1274" t="s">
        <v>162</v>
      </c>
      <c r="B216" s="503" t="s">
        <v>961</v>
      </c>
      <c r="C216" s="1673"/>
      <c r="D216" s="1574">
        <v>6156</v>
      </c>
      <c r="E216" s="1673"/>
      <c r="F216" s="1673"/>
      <c r="G216" s="1673"/>
      <c r="H216" s="1673"/>
      <c r="I216" s="1673"/>
      <c r="J216" s="1673"/>
      <c r="K216" s="1672">
        <f t="shared" ref="K216:K228" si="19">D216</f>
        <v>6156</v>
      </c>
      <c r="L216" s="1573">
        <v>522</v>
      </c>
    </row>
    <row r="217" spans="1:14" x14ac:dyDescent="0.2">
      <c r="A217" s="1274" t="s">
        <v>163</v>
      </c>
      <c r="B217" s="503">
        <v>1200</v>
      </c>
      <c r="C217" s="1673"/>
      <c r="D217" s="1573">
        <v>31426</v>
      </c>
      <c r="E217" s="1673"/>
      <c r="F217" s="1673"/>
      <c r="G217" s="1673"/>
      <c r="H217" s="1673"/>
      <c r="I217" s="1673"/>
      <c r="J217" s="1673"/>
      <c r="K217" s="1672">
        <f t="shared" si="19"/>
        <v>31426</v>
      </c>
      <c r="L217" s="1573">
        <v>21210</v>
      </c>
    </row>
    <row r="218" spans="1:14" x14ac:dyDescent="0.2">
      <c r="A218" s="1274" t="s">
        <v>276</v>
      </c>
      <c r="B218" s="503" t="s">
        <v>962</v>
      </c>
      <c r="C218" s="1673"/>
      <c r="D218" s="1574">
        <v>15162</v>
      </c>
      <c r="E218" s="1673"/>
      <c r="F218" s="1673"/>
      <c r="G218" s="1673"/>
      <c r="H218" s="1673"/>
      <c r="I218" s="1673"/>
      <c r="J218" s="1673"/>
      <c r="K218" s="1672">
        <f t="shared" si="19"/>
        <v>15162</v>
      </c>
      <c r="L218" s="1573">
        <v>6000</v>
      </c>
    </row>
    <row r="219" spans="1:14" x14ac:dyDescent="0.2">
      <c r="A219" s="1274" t="s">
        <v>277</v>
      </c>
      <c r="B219" s="503">
        <v>1250</v>
      </c>
      <c r="C219" s="1673"/>
      <c r="D219" s="1573">
        <v>723</v>
      </c>
      <c r="E219" s="1673"/>
      <c r="F219" s="1673"/>
      <c r="G219" s="1673"/>
      <c r="H219" s="1673"/>
      <c r="I219" s="1673"/>
      <c r="J219" s="1673"/>
      <c r="K219" s="1672">
        <f t="shared" si="19"/>
        <v>723</v>
      </c>
      <c r="L219" s="1573">
        <v>177</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3567</v>
      </c>
      <c r="E222" s="1673"/>
      <c r="F222" s="1673"/>
      <c r="G222" s="1673"/>
      <c r="H222" s="1673"/>
      <c r="I222" s="1673"/>
      <c r="J222" s="1673"/>
      <c r="K222" s="1672">
        <f t="shared" si="19"/>
        <v>3567</v>
      </c>
      <c r="L222" s="1573">
        <v>3665</v>
      </c>
    </row>
    <row r="223" spans="1:14" x14ac:dyDescent="0.2">
      <c r="A223" s="1274" t="s">
        <v>957</v>
      </c>
      <c r="B223" s="503">
        <v>1500</v>
      </c>
      <c r="C223" s="1673"/>
      <c r="D223" s="1573">
        <v>6496</v>
      </c>
      <c r="E223" s="1673"/>
      <c r="F223" s="1673"/>
      <c r="G223" s="1673"/>
      <c r="H223" s="1673"/>
      <c r="I223" s="1673"/>
      <c r="J223" s="1673"/>
      <c r="K223" s="1672">
        <f t="shared" si="19"/>
        <v>6496</v>
      </c>
      <c r="L223" s="1573">
        <v>7533</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10</v>
      </c>
      <c r="E226" s="1673"/>
      <c r="F226" s="1673"/>
      <c r="G226" s="1673"/>
      <c r="H226" s="1673"/>
      <c r="I226" s="1673"/>
      <c r="J226" s="1673"/>
      <c r="K226" s="1672">
        <f t="shared" si="19"/>
        <v>10</v>
      </c>
      <c r="L226" s="1573">
        <v>19</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107002</v>
      </c>
      <c r="E229" s="1673"/>
      <c r="F229" s="1673"/>
      <c r="G229" s="1673"/>
      <c r="H229" s="1673"/>
      <c r="I229" s="1673"/>
      <c r="J229" s="1673"/>
      <c r="K229" s="1674">
        <f>SUM(K215:K228)</f>
        <v>107002</v>
      </c>
      <c r="L229" s="1674">
        <f>SUM(L215:L228)</f>
        <v>98557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249</v>
      </c>
      <c r="E232" s="1673"/>
      <c r="F232" s="1673"/>
      <c r="G232" s="1673"/>
      <c r="H232" s="1673"/>
      <c r="I232" s="1673"/>
      <c r="J232" s="1673"/>
      <c r="K232" s="1672">
        <f t="shared" ref="K232:K237" si="20">D232</f>
        <v>249</v>
      </c>
      <c r="L232" s="1573">
        <v>77</v>
      </c>
    </row>
    <row r="233" spans="1:12" x14ac:dyDescent="0.2">
      <c r="A233" s="1274" t="s">
        <v>1081</v>
      </c>
      <c r="B233" s="503">
        <v>2120</v>
      </c>
      <c r="C233" s="1673"/>
      <c r="D233" s="1573">
        <v>827</v>
      </c>
      <c r="E233" s="1673"/>
      <c r="F233" s="1673"/>
      <c r="G233" s="1673"/>
      <c r="H233" s="1673"/>
      <c r="I233" s="1673"/>
      <c r="J233" s="1673"/>
      <c r="K233" s="1672">
        <f t="shared" si="20"/>
        <v>827</v>
      </c>
      <c r="L233" s="1573">
        <v>882</v>
      </c>
    </row>
    <row r="234" spans="1:12" x14ac:dyDescent="0.2">
      <c r="A234" s="1274" t="s">
        <v>196</v>
      </c>
      <c r="B234" s="503">
        <v>2130</v>
      </c>
      <c r="C234" s="1673"/>
      <c r="D234" s="1573">
        <v>0</v>
      </c>
      <c r="E234" s="1673"/>
      <c r="F234" s="1673"/>
      <c r="G234" s="1673"/>
      <c r="H234" s="1673"/>
      <c r="I234" s="1673"/>
      <c r="J234" s="1673"/>
      <c r="K234" s="1672">
        <f t="shared" si="20"/>
        <v>0</v>
      </c>
      <c r="L234" s="1573">
        <v>5198</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906</v>
      </c>
      <c r="E236" s="1673"/>
      <c r="F236" s="1673"/>
      <c r="G236" s="1673"/>
      <c r="H236" s="1673"/>
      <c r="I236" s="1673"/>
      <c r="J236" s="1673"/>
      <c r="K236" s="1672">
        <f t="shared" si="20"/>
        <v>906</v>
      </c>
      <c r="L236" s="1573">
        <v>980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1982</v>
      </c>
      <c r="E238" s="1673"/>
      <c r="F238" s="1673"/>
      <c r="G238" s="1673"/>
      <c r="H238" s="1673"/>
      <c r="I238" s="1673"/>
      <c r="J238" s="1673"/>
      <c r="K238" s="1674">
        <f>SUM(K232:K237)</f>
        <v>1982</v>
      </c>
      <c r="L238" s="1674">
        <f>SUM(L232:L237)</f>
        <v>7137</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801</v>
      </c>
      <c r="E240" s="1673"/>
      <c r="F240" s="1673"/>
      <c r="G240" s="1673"/>
      <c r="H240" s="1673"/>
      <c r="I240" s="1673"/>
      <c r="J240" s="1673"/>
      <c r="K240" s="1678">
        <f>D240</f>
        <v>801</v>
      </c>
      <c r="L240" s="1586">
        <v>0</v>
      </c>
    </row>
    <row r="241" spans="1:12" x14ac:dyDescent="0.2">
      <c r="A241" s="1274" t="s">
        <v>810</v>
      </c>
      <c r="B241" s="503">
        <v>2220</v>
      </c>
      <c r="C241" s="1673"/>
      <c r="D241" s="1573">
        <v>14561</v>
      </c>
      <c r="E241" s="1673"/>
      <c r="F241" s="1673"/>
      <c r="G241" s="1673"/>
      <c r="H241" s="1673"/>
      <c r="I241" s="1673"/>
      <c r="J241" s="1673"/>
      <c r="K241" s="1678">
        <f>D241</f>
        <v>14561</v>
      </c>
      <c r="L241" s="1573">
        <v>12151</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15362</v>
      </c>
      <c r="E243" s="1673"/>
      <c r="F243" s="1673"/>
      <c r="G243" s="1673"/>
      <c r="H243" s="1673"/>
      <c r="I243" s="1673"/>
      <c r="J243" s="1673"/>
      <c r="K243" s="1674">
        <f>SUM(K240:K242)</f>
        <v>15362</v>
      </c>
      <c r="L243" s="1674">
        <f>SUM(L240:L242)</f>
        <v>12151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280</v>
      </c>
      <c r="E245" s="1673"/>
      <c r="F245" s="1673"/>
      <c r="G245" s="1673"/>
      <c r="H245" s="1673"/>
      <c r="I245" s="1673"/>
      <c r="J245" s="1673"/>
      <c r="K245" s="1678">
        <f>D245</f>
        <v>280</v>
      </c>
      <c r="L245" s="1586">
        <v>283</v>
      </c>
    </row>
    <row r="246" spans="1:12" x14ac:dyDescent="0.2">
      <c r="A246" s="1274" t="s">
        <v>813</v>
      </c>
      <c r="B246" s="503">
        <v>2320</v>
      </c>
      <c r="C246" s="1673"/>
      <c r="D246" s="1573">
        <v>7984</v>
      </c>
      <c r="E246" s="1673"/>
      <c r="F246" s="1673"/>
      <c r="G246" s="1673"/>
      <c r="H246" s="1673"/>
      <c r="I246" s="1673"/>
      <c r="J246" s="1673"/>
      <c r="K246" s="1678">
        <f t="shared" ref="K246:K256" si="21">D246</f>
        <v>7984</v>
      </c>
      <c r="L246" s="1573">
        <v>9383</v>
      </c>
    </row>
    <row r="247" spans="1:12" x14ac:dyDescent="0.2">
      <c r="A247" s="1274" t="s">
        <v>814</v>
      </c>
      <c r="B247" s="503">
        <v>2330</v>
      </c>
      <c r="C247" s="1673"/>
      <c r="D247" s="1573">
        <v>824</v>
      </c>
      <c r="E247" s="1673"/>
      <c r="F247" s="1673"/>
      <c r="G247" s="1673"/>
      <c r="H247" s="1673"/>
      <c r="I247" s="1673"/>
      <c r="J247" s="1673"/>
      <c r="K247" s="1678">
        <f t="shared" si="21"/>
        <v>824</v>
      </c>
      <c r="L247" s="1573">
        <v>87</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1778</v>
      </c>
      <c r="B249" s="557" t="s">
        <v>280</v>
      </c>
      <c r="C249" s="1673"/>
      <c r="D249" s="1579">
        <v>0</v>
      </c>
      <c r="E249" s="1673"/>
      <c r="F249" s="1673"/>
      <c r="G249" s="1673"/>
      <c r="H249" s="1673"/>
      <c r="I249" s="1673"/>
      <c r="J249" s="1673"/>
      <c r="K249" s="1678">
        <f t="shared" si="21"/>
        <v>0</v>
      </c>
      <c r="L249" s="1573">
        <v>0</v>
      </c>
    </row>
    <row r="250" spans="1:12" x14ac:dyDescent="0.2">
      <c r="A250" s="1275" t="s">
        <v>1779</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4773</v>
      </c>
      <c r="E254" s="1673"/>
      <c r="F254" s="1673"/>
      <c r="G254" s="1673"/>
      <c r="H254" s="1673"/>
      <c r="I254" s="1673"/>
      <c r="J254" s="1673"/>
      <c r="K254" s="1678">
        <f t="shared" si="21"/>
        <v>4773</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13861</v>
      </c>
      <c r="E257" s="1673"/>
      <c r="F257" s="1673"/>
      <c r="G257" s="1673"/>
      <c r="H257" s="1673"/>
      <c r="I257" s="1673"/>
      <c r="J257" s="1673"/>
      <c r="K257" s="1674">
        <f>SUM(K245:K256)</f>
        <v>13861</v>
      </c>
      <c r="L257" s="1674">
        <f>SUM(L245:L256)</f>
        <v>9753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14185</v>
      </c>
      <c r="E259" s="1673"/>
      <c r="F259" s="1673"/>
      <c r="G259" s="1673"/>
      <c r="H259" s="1673"/>
      <c r="I259" s="1673"/>
      <c r="J259" s="1673"/>
      <c r="K259" s="1678">
        <f>D259</f>
        <v>14185</v>
      </c>
      <c r="L259" s="1586">
        <v>14310</v>
      </c>
    </row>
    <row r="260" spans="1:14" s="493" customFormat="1" x14ac:dyDescent="0.2">
      <c r="A260" s="1292" t="s">
        <v>1777</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14185</v>
      </c>
      <c r="E261" s="1673"/>
      <c r="F261" s="1673"/>
      <c r="G261" s="1673"/>
      <c r="H261" s="1673"/>
      <c r="I261" s="1673"/>
      <c r="J261" s="1673"/>
      <c r="K261" s="1674">
        <f>SUM(K259:K260)</f>
        <v>14185</v>
      </c>
      <c r="L261" s="1674">
        <f>SUM(L259:L260)</f>
        <v>14310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5867</v>
      </c>
      <c r="E264" s="1673"/>
      <c r="F264" s="1673"/>
      <c r="G264" s="1673"/>
      <c r="H264" s="1673"/>
      <c r="I264" s="1673"/>
      <c r="J264" s="1673"/>
      <c r="K264" s="1678">
        <f t="shared" ref="K264:K269" si="22">D264</f>
        <v>5867</v>
      </c>
      <c r="L264" s="1573">
        <v>6461</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40091</v>
      </c>
      <c r="E266" s="1673"/>
      <c r="F266" s="1673"/>
      <c r="G266" s="1673"/>
      <c r="H266" s="1673"/>
      <c r="I266" s="1673"/>
      <c r="J266" s="1673"/>
      <c r="K266" s="1678">
        <f t="shared" si="22"/>
        <v>40091</v>
      </c>
      <c r="L266" s="1573">
        <v>44244</v>
      </c>
    </row>
    <row r="267" spans="1:14" x14ac:dyDescent="0.2">
      <c r="A267" s="1274" t="s">
        <v>947</v>
      </c>
      <c r="B267" s="503">
        <v>2550</v>
      </c>
      <c r="C267" s="1673"/>
      <c r="D267" s="1573">
        <v>22966</v>
      </c>
      <c r="E267" s="1673"/>
      <c r="F267" s="1673"/>
      <c r="G267" s="1673"/>
      <c r="H267" s="1673"/>
      <c r="I267" s="1673"/>
      <c r="J267" s="1673"/>
      <c r="K267" s="1678">
        <f t="shared" si="22"/>
        <v>22966</v>
      </c>
      <c r="L267" s="1573">
        <v>28506</v>
      </c>
    </row>
    <row r="268" spans="1:14" x14ac:dyDescent="0.2">
      <c r="A268" s="1274" t="s">
        <v>100</v>
      </c>
      <c r="B268" s="503">
        <v>2560</v>
      </c>
      <c r="C268" s="1673"/>
      <c r="D268" s="1573">
        <v>23004</v>
      </c>
      <c r="E268" s="1673"/>
      <c r="F268" s="1673"/>
      <c r="G268" s="1673"/>
      <c r="H268" s="1673"/>
      <c r="I268" s="1673"/>
      <c r="J268" s="1673"/>
      <c r="K268" s="1678">
        <f t="shared" si="22"/>
        <v>23004</v>
      </c>
      <c r="L268" s="1573">
        <v>21350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91928</v>
      </c>
      <c r="E270" s="1673"/>
      <c r="F270" s="1673"/>
      <c r="G270" s="1673"/>
      <c r="H270" s="1673"/>
      <c r="I270" s="1673"/>
      <c r="J270" s="1673"/>
      <c r="K270" s="1674">
        <f>SUM(K263:K269)</f>
        <v>91928</v>
      </c>
      <c r="L270" s="1674">
        <f>SUM(L263:L269)</f>
        <v>100561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23136</v>
      </c>
      <c r="E278" s="1673"/>
      <c r="F278" s="1673"/>
      <c r="G278" s="1673"/>
      <c r="H278" s="1673"/>
      <c r="I278" s="1673"/>
      <c r="J278" s="1673"/>
      <c r="K278" s="1696">
        <f>D278</f>
        <v>23136</v>
      </c>
      <c r="L278" s="1695">
        <v>16699</v>
      </c>
    </row>
    <row r="279" spans="1:12" ht="12.75" customHeight="1" thickBot="1" x14ac:dyDescent="0.25">
      <c r="A279" s="1400" t="s">
        <v>806</v>
      </c>
      <c r="B279" s="1387">
        <v>2000</v>
      </c>
      <c r="C279" s="1673"/>
      <c r="D279" s="1681">
        <f>SUM(D238,D243,D257,D261,D270,D277,D278)</f>
        <v>160454</v>
      </c>
      <c r="E279" s="1673"/>
      <c r="F279" s="1673"/>
      <c r="G279" s="1673"/>
      <c r="H279" s="1673"/>
      <c r="I279" s="1673"/>
      <c r="J279" s="1673"/>
      <c r="K279" s="1681">
        <f>SUM(K238,K243,K257,K261,K270,K277,K278)</f>
        <v>160454</v>
      </c>
      <c r="L279" s="1681">
        <f>SUM(L238,L243,L257,L261,L270,L277,L278)</f>
        <v>160611</v>
      </c>
    </row>
    <row r="280" spans="1:12" ht="15.75" customHeight="1" thickTop="1" thickBot="1" x14ac:dyDescent="0.25">
      <c r="A280" s="1362" t="s">
        <v>870</v>
      </c>
      <c r="B280" s="1351">
        <v>3000</v>
      </c>
      <c r="C280" s="1673"/>
      <c r="D280" s="1651">
        <v>196</v>
      </c>
      <c r="E280" s="1673"/>
      <c r="F280" s="1673"/>
      <c r="G280" s="1673"/>
      <c r="H280" s="1673"/>
      <c r="I280" s="1673"/>
      <c r="J280" s="1673"/>
      <c r="K280" s="1687">
        <f>D280</f>
        <v>196</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1812</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82" t="s">
        <v>502</v>
      </c>
      <c r="B295" s="2383"/>
      <c r="C295" s="1673"/>
      <c r="D295" s="1674">
        <f>SUM(D229,D279,D280,D285)</f>
        <v>267652</v>
      </c>
      <c r="E295" s="1673"/>
      <c r="F295" s="1673"/>
      <c r="G295" s="1673"/>
      <c r="H295" s="1674">
        <f>H293</f>
        <v>0</v>
      </c>
      <c r="I295" s="1673"/>
      <c r="J295" s="1673"/>
      <c r="K295" s="1674">
        <f>SUM(K229,K279,K280,K285,K293,K294)</f>
        <v>267652</v>
      </c>
      <c r="L295" s="1674">
        <f>SUM(L229,L279,L280,L285,L293,L294)</f>
        <v>259168</v>
      </c>
    </row>
    <row r="296" spans="1:14" ht="13.5" thickTop="1" x14ac:dyDescent="0.2">
      <c r="A296" s="2364" t="s">
        <v>989</v>
      </c>
      <c r="B296" s="2365"/>
      <c r="C296" s="1673"/>
      <c r="D296" s="1675"/>
      <c r="E296" s="1673"/>
      <c r="F296" s="1673"/>
      <c r="G296" s="1673"/>
      <c r="H296" s="1707"/>
      <c r="I296" s="1673"/>
      <c r="J296" s="1673"/>
      <c r="K296" s="1689">
        <f>'Revenues 9-14'!G268-'Expenditures 15-22'!K295</f>
        <v>-86394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74" t="s">
        <v>142</v>
      </c>
      <c r="B298" s="23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13095</v>
      </c>
      <c r="F301" s="1573">
        <v>0</v>
      </c>
      <c r="G301" s="1573">
        <v>2554502</v>
      </c>
      <c r="H301" s="1573">
        <v>0</v>
      </c>
      <c r="I301" s="1574">
        <v>0</v>
      </c>
      <c r="J301" s="1574">
        <v>0</v>
      </c>
      <c r="K301" s="1672">
        <f>SUM(C301:J301)</f>
        <v>2567597</v>
      </c>
      <c r="L301" s="1574">
        <v>2950000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13095</v>
      </c>
      <c r="F303" s="1681">
        <f t="shared" si="23"/>
        <v>0</v>
      </c>
      <c r="G303" s="1681">
        <f t="shared" si="23"/>
        <v>2554502</v>
      </c>
      <c r="H303" s="1681">
        <f t="shared" si="23"/>
        <v>0</v>
      </c>
      <c r="I303" s="1681">
        <f t="shared" si="23"/>
        <v>0</v>
      </c>
      <c r="J303" s="1681">
        <f t="shared" si="23"/>
        <v>0</v>
      </c>
      <c r="K303" s="1681">
        <f t="shared" si="23"/>
        <v>2567597</v>
      </c>
      <c r="L303" s="1681">
        <f t="shared" si="23"/>
        <v>2950000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79" t="s">
        <v>275</v>
      </c>
      <c r="B312" s="2380"/>
      <c r="C312" s="1674">
        <f>SUM(C303)</f>
        <v>0</v>
      </c>
      <c r="D312" s="1674">
        <f>SUM(D303)</f>
        <v>0</v>
      </c>
      <c r="E312" s="1674">
        <f>SUM(E303,E310)</f>
        <v>13095</v>
      </c>
      <c r="F312" s="1674">
        <f>SUM(F303)</f>
        <v>0</v>
      </c>
      <c r="G312" s="1674">
        <f>SUM(G303)</f>
        <v>2554502</v>
      </c>
      <c r="H312" s="1674">
        <f>SUM(H303,H310)</f>
        <v>0</v>
      </c>
      <c r="I312" s="1674">
        <f>SUM(I303)</f>
        <v>0</v>
      </c>
      <c r="J312" s="1674">
        <f>SUM(J303)</f>
        <v>0</v>
      </c>
      <c r="K312" s="1674">
        <f>SUM(K303,K310,K311)</f>
        <v>2567597</v>
      </c>
      <c r="L312" s="1674">
        <f>SUM(L303,L310,L311)</f>
        <v>2950000</v>
      </c>
      <c r="M312" s="539"/>
      <c r="N312" s="539"/>
    </row>
    <row r="313" spans="1:14" ht="13.5" thickTop="1" x14ac:dyDescent="0.2">
      <c r="A313" s="2375" t="s">
        <v>989</v>
      </c>
      <c r="B313" s="2376"/>
      <c r="C313" s="1677"/>
      <c r="D313" s="1677"/>
      <c r="E313" s="1677"/>
      <c r="F313" s="1677"/>
      <c r="G313" s="1677"/>
      <c r="H313" s="1677"/>
      <c r="I313" s="1677"/>
      <c r="J313" s="1677"/>
      <c r="K313" s="1696">
        <f>'Revenues 9-14'!H268-'Expenditures 15-22'!K312</f>
        <v>-2440238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88" t="s">
        <v>148</v>
      </c>
      <c r="B315" s="23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90" t="s">
        <v>892</v>
      </c>
      <c r="B317" s="23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1778</v>
      </c>
      <c r="B320" s="568" t="s">
        <v>280</v>
      </c>
      <c r="C320" s="1574">
        <v>0</v>
      </c>
      <c r="D320" s="1574">
        <v>0</v>
      </c>
      <c r="E320" s="1574">
        <v>41216</v>
      </c>
      <c r="F320" s="1574">
        <v>0</v>
      </c>
      <c r="G320" s="1574">
        <v>0</v>
      </c>
      <c r="H320" s="1574">
        <v>0</v>
      </c>
      <c r="I320" s="1574">
        <v>0</v>
      </c>
      <c r="J320" s="1574">
        <v>0</v>
      </c>
      <c r="K320" s="1672">
        <f t="shared" ref="K320:K327" si="24">SUM(C320:J320)</f>
        <v>41216</v>
      </c>
      <c r="L320" s="1574">
        <v>45000</v>
      </c>
      <c r="M320" s="539"/>
      <c r="N320" s="539"/>
    </row>
    <row r="321" spans="1:14" s="548" customFormat="1" x14ac:dyDescent="0.2">
      <c r="A321" s="1289" t="s">
        <v>297</v>
      </c>
      <c r="B321" s="567" t="s">
        <v>281</v>
      </c>
      <c r="C321" s="1574">
        <v>0</v>
      </c>
      <c r="D321" s="1574">
        <v>0</v>
      </c>
      <c r="E321" s="1574">
        <v>3264</v>
      </c>
      <c r="F321" s="1574">
        <v>0</v>
      </c>
      <c r="G321" s="1574">
        <v>0</v>
      </c>
      <c r="H321" s="1574">
        <v>0</v>
      </c>
      <c r="I321" s="1574">
        <v>0</v>
      </c>
      <c r="J321" s="1574">
        <v>0</v>
      </c>
      <c r="K321" s="1672">
        <f t="shared" si="24"/>
        <v>3264</v>
      </c>
      <c r="L321" s="1574">
        <v>3000</v>
      </c>
      <c r="M321" s="539"/>
      <c r="N321" s="539"/>
    </row>
    <row r="322" spans="1:14" s="548" customFormat="1" x14ac:dyDescent="0.2">
      <c r="A322" s="1289" t="s">
        <v>236</v>
      </c>
      <c r="B322" s="567" t="s">
        <v>282</v>
      </c>
      <c r="C322" s="1574">
        <v>0</v>
      </c>
      <c r="D322" s="1574">
        <v>0</v>
      </c>
      <c r="E322" s="1574">
        <v>67769</v>
      </c>
      <c r="F322" s="1574">
        <v>0</v>
      </c>
      <c r="G322" s="1574">
        <v>0</v>
      </c>
      <c r="H322" s="1574">
        <v>0</v>
      </c>
      <c r="I322" s="1574">
        <v>0</v>
      </c>
      <c r="J322" s="1574">
        <v>0</v>
      </c>
      <c r="K322" s="1672">
        <f t="shared" si="24"/>
        <v>67769</v>
      </c>
      <c r="L322" s="1574">
        <v>72000</v>
      </c>
      <c r="M322" s="539"/>
      <c r="N322" s="539"/>
    </row>
    <row r="323" spans="1:14" s="548" customFormat="1" x14ac:dyDescent="0.2">
      <c r="A323" s="1289" t="s">
        <v>697</v>
      </c>
      <c r="B323" s="567" t="s">
        <v>283</v>
      </c>
      <c r="C323" s="1574">
        <v>0</v>
      </c>
      <c r="D323" s="1574">
        <v>0</v>
      </c>
      <c r="E323" s="1574">
        <v>39291</v>
      </c>
      <c r="F323" s="1574">
        <v>0</v>
      </c>
      <c r="G323" s="1574">
        <v>0</v>
      </c>
      <c r="H323" s="1574">
        <v>0</v>
      </c>
      <c r="I323" s="1574">
        <v>0</v>
      </c>
      <c r="J323" s="1574">
        <v>0</v>
      </c>
      <c r="K323" s="1672">
        <f t="shared" si="24"/>
        <v>39291</v>
      </c>
      <c r="L323" s="1574">
        <v>47000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32705</v>
      </c>
      <c r="D325" s="1574">
        <v>13413</v>
      </c>
      <c r="E325" s="1574">
        <v>0</v>
      </c>
      <c r="F325" s="1574">
        <v>0</v>
      </c>
      <c r="G325" s="1574">
        <v>0</v>
      </c>
      <c r="H325" s="1574">
        <v>0</v>
      </c>
      <c r="I325" s="1574">
        <v>0</v>
      </c>
      <c r="J325" s="1574">
        <v>0</v>
      </c>
      <c r="K325" s="1672">
        <f t="shared" si="24"/>
        <v>46118</v>
      </c>
      <c r="L325" s="1574">
        <v>173000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2710</v>
      </c>
      <c r="F327" s="1574">
        <v>0</v>
      </c>
      <c r="G327" s="1574">
        <v>0</v>
      </c>
      <c r="H327" s="1574">
        <v>0</v>
      </c>
      <c r="I327" s="1574">
        <v>0</v>
      </c>
      <c r="J327" s="1574">
        <v>0</v>
      </c>
      <c r="K327" s="1672">
        <f t="shared" si="24"/>
        <v>2710</v>
      </c>
      <c r="L327" s="1574">
        <v>25000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32705</v>
      </c>
      <c r="D330" s="1674">
        <f t="shared" ref="D330:J330" si="25">SUM(D319:D329)</f>
        <v>13413</v>
      </c>
      <c r="E330" s="1674">
        <f t="shared" si="25"/>
        <v>154250</v>
      </c>
      <c r="F330" s="1674">
        <f t="shared" si="25"/>
        <v>0</v>
      </c>
      <c r="G330" s="1674">
        <f t="shared" si="25"/>
        <v>0</v>
      </c>
      <c r="H330" s="1674">
        <f t="shared" si="25"/>
        <v>0</v>
      </c>
      <c r="I330" s="1674">
        <f t="shared" si="25"/>
        <v>0</v>
      </c>
      <c r="J330" s="1674">
        <f t="shared" si="25"/>
        <v>0</v>
      </c>
      <c r="K330" s="1674">
        <f>SUM(K319:K329)</f>
        <v>200368</v>
      </c>
      <c r="L330" s="1674">
        <f>SUM(L319:L329)</f>
        <v>365000</v>
      </c>
      <c r="M330" s="539"/>
      <c r="N330" s="539"/>
    </row>
    <row r="331" spans="1:14" s="548" customFormat="1" ht="12.75" customHeight="1" thickTop="1" x14ac:dyDescent="0.2">
      <c r="A331" s="1467" t="s">
        <v>1818</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1812</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1814</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1819</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32705</v>
      </c>
      <c r="D342" s="1674">
        <f>SUM(D330)</f>
        <v>13413</v>
      </c>
      <c r="E342" s="1674">
        <f>SUM(E330)</f>
        <v>154250</v>
      </c>
      <c r="F342" s="1674">
        <f>SUM(F330)</f>
        <v>0</v>
      </c>
      <c r="G342" s="1674">
        <f>SUM(G330)</f>
        <v>0</v>
      </c>
      <c r="H342" s="1674">
        <f>SUM(H330,H334,H340)</f>
        <v>0</v>
      </c>
      <c r="I342" s="1674">
        <f>SUM(I330)</f>
        <v>0</v>
      </c>
      <c r="J342" s="1674">
        <f>SUM(J330)</f>
        <v>0</v>
      </c>
      <c r="K342" s="1674">
        <f>SUM(K330,K334,K340)</f>
        <v>200368</v>
      </c>
      <c r="L342" s="1681">
        <f>SUM(L330,L334,L340,L341)</f>
        <v>365000</v>
      </c>
    </row>
    <row r="343" spans="1:14" ht="12.75" customHeight="1" thickTop="1" x14ac:dyDescent="0.2">
      <c r="A343" s="2377" t="s">
        <v>989</v>
      </c>
      <c r="B343" s="2378"/>
      <c r="C343" s="1673"/>
      <c r="D343" s="1673"/>
      <c r="E343" s="1673"/>
      <c r="F343" s="1673"/>
      <c r="G343" s="1673"/>
      <c r="H343" s="1673"/>
      <c r="I343" s="1673"/>
      <c r="J343" s="1673"/>
      <c r="K343" s="1689">
        <f>'Revenues 9-14'!J268-'Expenditures 15-22'!K342</f>
        <v>11661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67" t="s">
        <v>960</v>
      </c>
      <c r="B345" s="23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313375</v>
      </c>
      <c r="H349" s="1573">
        <v>0</v>
      </c>
      <c r="I349" s="1574">
        <v>0</v>
      </c>
      <c r="J349" s="1574">
        <v>0</v>
      </c>
      <c r="K349" s="1672">
        <f>SUM(C349:J349)</f>
        <v>313375</v>
      </c>
      <c r="L349" s="1573">
        <v>288328</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313375</v>
      </c>
      <c r="H350" s="1674">
        <f t="shared" si="26"/>
        <v>0</v>
      </c>
      <c r="I350" s="1674">
        <f t="shared" si="26"/>
        <v>0</v>
      </c>
      <c r="J350" s="1674">
        <f t="shared" si="26"/>
        <v>0</v>
      </c>
      <c r="K350" s="1674">
        <f t="shared" si="26"/>
        <v>313375</v>
      </c>
      <c r="L350" s="1674">
        <f t="shared" si="26"/>
        <v>288328</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313375</v>
      </c>
      <c r="H352" s="1674">
        <f t="shared" si="27"/>
        <v>0</v>
      </c>
      <c r="I352" s="1674">
        <f t="shared" si="27"/>
        <v>0</v>
      </c>
      <c r="J352" s="1674">
        <f t="shared" si="27"/>
        <v>0</v>
      </c>
      <c r="K352" s="1674">
        <f t="shared" si="27"/>
        <v>313375</v>
      </c>
      <c r="L352" s="1674">
        <f t="shared" si="27"/>
        <v>288328</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v>0</v>
      </c>
      <c r="I354" s="1716"/>
      <c r="J354" s="1673"/>
      <c r="K354" s="1713">
        <f>H354</f>
        <v>0</v>
      </c>
      <c r="L354" s="1577">
        <v>0</v>
      </c>
    </row>
    <row r="355" spans="1:14" ht="12.75" customHeight="1" x14ac:dyDescent="0.2">
      <c r="A355" s="1283" t="s">
        <v>1821</v>
      </c>
      <c r="B355" s="562" t="s">
        <v>1814</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1652</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313375</v>
      </c>
      <c r="H367" s="1674">
        <f t="shared" si="28"/>
        <v>0</v>
      </c>
      <c r="I367" s="1674">
        <f t="shared" si="28"/>
        <v>0</v>
      </c>
      <c r="J367" s="1674">
        <f t="shared" si="28"/>
        <v>0</v>
      </c>
      <c r="K367" s="1674">
        <f t="shared" si="28"/>
        <v>313375</v>
      </c>
      <c r="L367" s="1674">
        <f t="shared" si="28"/>
        <v>288328</v>
      </c>
    </row>
    <row r="368" spans="1:14" ht="13.5" thickTop="1" x14ac:dyDescent="0.2">
      <c r="A368" s="2364" t="s">
        <v>989</v>
      </c>
      <c r="B368" s="2365"/>
      <c r="C368" s="1694"/>
      <c r="D368" s="1694"/>
      <c r="E368" s="1677"/>
      <c r="F368" s="1677"/>
      <c r="G368" s="1677"/>
      <c r="H368" s="1677"/>
      <c r="I368" s="1677"/>
      <c r="J368" s="1676"/>
      <c r="K368" s="1672">
        <f>'Revenues 9-14'!K268-'Expenditures 15-22'!K367</f>
        <v>-285345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2"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purl.org/dc/elements/1.1/"/>
    <ds:schemaRef ds:uri="d21dc803-237d-4c68-8692-8d731fd29118"/>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SEFA20</vt:lpstr>
      <vt:lpstr>SEFA NOTES</vt:lpstr>
      <vt:lpstr>SF&amp;QC Sec-1</vt:lpstr>
      <vt:lpstr>SF&amp;QC Sec-2</vt:lpstr>
      <vt:lpstr>SF&amp;QC Sec-3</vt:lpstr>
      <vt:lpstr>SSPAF</vt:lpstr>
      <vt:lpstr>CAP 2020-001</vt:lpstr>
      <vt:lpstr>CAP 2020-002</vt:lpstr>
      <vt:lpstr>' SEFA'!Print_Area</vt:lpstr>
      <vt:lpstr>'SEFA NOTES'!Print_Area</vt:lpstr>
      <vt:lpstr>'SEFA Reconcile'!Print_Area</vt:lpstr>
      <vt:lpstr>SEFA20!Print_Area</vt:lpstr>
      <vt:lpstr>'SF&amp;QC Sec-1'!Print_Area</vt:lpstr>
      <vt:lpstr>'SF&amp;QC Sec-3'!Print_Area</vt:lpstr>
      <vt:lpstr>'Single Audit Checklist'!Print_Area</vt:lpstr>
      <vt:lpstr>'Single Audit Cover'!Print_Area</vt:lpstr>
      <vt:lpstr>SEFA20!Print_Area_MI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2020-12-08T20:40:01Z</cp:lastPrinted>
  <dcterms:created xsi:type="dcterms:W3CDTF">2003-10-29T19:06:34Z</dcterms:created>
  <dcterms:modified xsi:type="dcterms:W3CDTF">2021-01-15T13:27:27Z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