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16C873E6-5DA8-49B3-BB7F-060A6BB4E2A9}" xr6:coauthVersionLast="45" xr6:coauthVersionMax="45" xr10:uidLastSave="{00000000-0000-0000-0000-000000000000}"/>
  <bookViews>
    <workbookView xWindow="-120" yWindow="-120" windowWidth="29040" windowHeight="15840" tabRatio="93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20" sheetId="192" r:id="rId28"/>
    <sheet name=" SEFA" sheetId="179" r:id="rId29"/>
    <sheet name="SEFA NOTES" sheetId="173" r:id="rId30"/>
    <sheet name="SF&amp;QC Sec-1" sheetId="174" r:id="rId31"/>
    <sheet name="SF&amp;QC Sec-3" sheetId="176" r:id="rId32"/>
    <sheet name="Finding 2020-001" sheetId="175" r:id="rId33"/>
    <sheet name="Finding 2020-002" sheetId="186" r:id="rId34"/>
    <sheet name="Finding 2020-003" sheetId="188" r:id="rId35"/>
    <sheet name="Finding 2020-004" sheetId="201" r:id="rId36"/>
    <sheet name="Finding 2020-005" sheetId="193" r:id="rId37"/>
    <sheet name="Finding 2020-006" sheetId="194" r:id="rId38"/>
    <sheet name="Finding 2020-007" sheetId="199" r:id="rId39"/>
    <sheet name="SSPAF" sheetId="177" r:id="rId40"/>
    <sheet name="CAP 2020-001" sheetId="185" r:id="rId41"/>
    <sheet name="CAP 2020-002" sheetId="187" r:id="rId42"/>
    <sheet name="CAP 2020-003" sheetId="189" r:id="rId43"/>
    <sheet name="CAP 2020-004" sheetId="202" r:id="rId44"/>
    <sheet name="CAP 2020-005" sheetId="196" r:id="rId45"/>
    <sheet name="CAP 2020-006" sheetId="197" r:id="rId46"/>
    <sheet name="CAP 2020-007" sheetId="200" r:id="rId47"/>
  </sheets>
  <definedNames>
    <definedName name="_xlnm._FilterDatabase" localSheetId="23" hidden="1">'AFR20'!$A$1:$F$7884</definedName>
    <definedName name="Finding" localSheetId="43">#REF!</definedName>
    <definedName name="Finding" localSheetId="35">#REF!</definedName>
    <definedName name="Finding">#REF!</definedName>
    <definedName name="Finding2" localSheetId="43">#REF!</definedName>
    <definedName name="Finding2" localSheetId="35">#REF!</definedName>
    <definedName name="Finding2">#REF!</definedName>
    <definedName name="goof" localSheetId="43">#REF!</definedName>
    <definedName name="goof" localSheetId="44">#REF!</definedName>
    <definedName name="goof" localSheetId="45">#REF!</definedName>
    <definedName name="goof" localSheetId="46">#REF!</definedName>
    <definedName name="goof" localSheetId="33">#REF!</definedName>
    <definedName name="goof" localSheetId="35">#REF!</definedName>
    <definedName name="goof" localSheetId="37">#REF!</definedName>
    <definedName name="goof" localSheetId="38">#REF!</definedName>
    <definedName name="goof" localSheetId="27">#REF!</definedName>
    <definedName name="goof">#REF!</definedName>
    <definedName name="New" localSheetId="43">#REF!</definedName>
    <definedName name="New" localSheetId="35">#REF!</definedName>
    <definedName name="New">#REF!</definedName>
    <definedName name="oops" localSheetId="43">#REF!</definedName>
    <definedName name="oops" localSheetId="44">#REF!</definedName>
    <definedName name="oops" localSheetId="45">#REF!</definedName>
    <definedName name="oops" localSheetId="46">#REF!</definedName>
    <definedName name="oops" localSheetId="33">#REF!</definedName>
    <definedName name="oops" localSheetId="35">#REF!</definedName>
    <definedName name="oops" localSheetId="37">#REF!</definedName>
    <definedName name="oops" localSheetId="38">#REF!</definedName>
    <definedName name="oops" localSheetId="27">#REF!</definedName>
    <definedName name="oops">#REF!</definedName>
    <definedName name="pass" localSheetId="43">#REF!</definedName>
    <definedName name="pass" localSheetId="33">#REF!</definedName>
    <definedName name="pass" localSheetId="35">#REF!</definedName>
    <definedName name="pass">#REF!</definedName>
    <definedName name="pass1" localSheetId="43">#REF!</definedName>
    <definedName name="pass1" localSheetId="33">#REF!</definedName>
    <definedName name="pass1" localSheetId="35">#REF!</definedName>
    <definedName name="pass1">#REF!</definedName>
    <definedName name="pass2" localSheetId="43">#REF!</definedName>
    <definedName name="pass2" localSheetId="33">#REF!</definedName>
    <definedName name="pass2" localSheetId="35">#REF!</definedName>
    <definedName name="pass2">#REF!</definedName>
    <definedName name="pass3" localSheetId="43">#REF!</definedName>
    <definedName name="pass3" localSheetId="33">#REF!</definedName>
    <definedName name="pass3" localSheetId="35">#REF!</definedName>
    <definedName name="pass3">#REF!</definedName>
    <definedName name="pass4" localSheetId="43">#REF!</definedName>
    <definedName name="pass4" localSheetId="33">#REF!</definedName>
    <definedName name="pass4" localSheetId="35">#REF!</definedName>
    <definedName name="pass4">#REF!</definedName>
    <definedName name="_xlnm.Print_Area" localSheetId="28">' SEFA'!$B$1:$M$46</definedName>
    <definedName name="_xlnm.Print_Area" localSheetId="36">'Finding 2020-005'!$A$1:$K$52</definedName>
    <definedName name="_xlnm.Print_Area" localSheetId="37">'Finding 2020-006'!$A$1:$K$52</definedName>
    <definedName name="_xlnm.Print_Area" localSheetId="38">'Finding 2020-007'!$A$1:$K$52</definedName>
    <definedName name="_xlnm.Print_Area" localSheetId="27">'SEFA 20'!$A$2:$S$150</definedName>
    <definedName name="_xlnm.Print_Area" localSheetId="29">'SEFA NOTES'!$A$1:$F$57</definedName>
    <definedName name="_xlnm.Print_Area" localSheetId="26">'SEFA Reconcile'!$A$1:$E$49</definedName>
    <definedName name="_xlnm.Print_Area" localSheetId="30">'SF&amp;QC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Print_Area_MI" localSheetId="27">'SEFA 20'!$B$20:$T$128</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20'!$A:$B,'SEFA 20'!$1:$14</definedName>
    <definedName name="_xlnm.Print_Titles" localSheetId="16">'Shared Outsourced Services 31'!$5:$5</definedName>
    <definedName name="_xlnm.Print_Titles" localSheetId="25">'Single Audit Checklist'!$1:$4</definedName>
    <definedName name="SCHADDRS" localSheetId="28">#REF!</definedName>
    <definedName name="SCHADDRS" localSheetId="40">#REF!</definedName>
    <definedName name="SCHADDRS" localSheetId="41">#REF!</definedName>
    <definedName name="SCHADDRS" localSheetId="42">#REF!</definedName>
    <definedName name="SCHADDRS" localSheetId="43">#REF!</definedName>
    <definedName name="SCHADDRS" localSheetId="44">#REF!</definedName>
    <definedName name="SCHADDRS" localSheetId="45">#REF!</definedName>
    <definedName name="SCHADDRS" localSheetId="46">#REF!</definedName>
    <definedName name="SCHADDRS" localSheetId="14">#REF!</definedName>
    <definedName name="SCHADDRS" localSheetId="21">#REF!</definedName>
    <definedName name="SCHADDRS" localSheetId="4">#REF!</definedName>
    <definedName name="SCHADDRS" localSheetId="32">#REF!</definedName>
    <definedName name="SCHADDRS" localSheetId="33">#REF!</definedName>
    <definedName name="SCHADDRS" localSheetId="34">#REF!</definedName>
    <definedName name="SCHADDRS" localSheetId="35">#REF!</definedName>
    <definedName name="SCHADDRS" localSheetId="37">#REF!</definedName>
    <definedName name="SCHADDRS" localSheetId="38">#REF!</definedName>
    <definedName name="SCHADDRS" localSheetId="27">#REF!</definedName>
    <definedName name="SCHADDRS" localSheetId="29">#REF!</definedName>
    <definedName name="SCHADDRS" localSheetId="26">#REF!</definedName>
    <definedName name="SCHADDRS" localSheetId="30">#REF!</definedName>
    <definedName name="SCHADDRS" localSheetId="31">#REF!</definedName>
    <definedName name="SCHADDRS" localSheetId="25">#REF!</definedName>
    <definedName name="SCHADDRS" localSheetId="24">#REF!</definedName>
    <definedName name="SCHADDRS" localSheetId="39">#REF!</definedName>
    <definedName name="SCHADDRS">#REF!</definedName>
    <definedName name="SCHCTY" localSheetId="28">#REF!</definedName>
    <definedName name="SCHCTY" localSheetId="40">#REF!</definedName>
    <definedName name="SCHCTY" localSheetId="41">#REF!</definedName>
    <definedName name="SCHCTY" localSheetId="42">#REF!</definedName>
    <definedName name="SCHCTY" localSheetId="43">#REF!</definedName>
    <definedName name="SCHCTY" localSheetId="44">#REF!</definedName>
    <definedName name="SCHCTY" localSheetId="45">#REF!</definedName>
    <definedName name="SCHCTY" localSheetId="46">#REF!</definedName>
    <definedName name="SCHCTY" localSheetId="14">#REF!</definedName>
    <definedName name="SCHCTY" localSheetId="21">#REF!</definedName>
    <definedName name="SCHCTY" localSheetId="4">#REF!</definedName>
    <definedName name="SCHCTY" localSheetId="32">#REF!</definedName>
    <definedName name="SCHCTY" localSheetId="33">#REF!</definedName>
    <definedName name="SCHCTY" localSheetId="34">#REF!</definedName>
    <definedName name="SCHCTY" localSheetId="35">#REF!</definedName>
    <definedName name="SCHCTY" localSheetId="37">#REF!</definedName>
    <definedName name="SCHCTY" localSheetId="38">#REF!</definedName>
    <definedName name="SCHCTY" localSheetId="27">#REF!</definedName>
    <definedName name="SCHCTY" localSheetId="29">#REF!</definedName>
    <definedName name="SCHCTY" localSheetId="26">#REF!</definedName>
    <definedName name="SCHCTY" localSheetId="30">#REF!</definedName>
    <definedName name="SCHCTY" localSheetId="31">#REF!</definedName>
    <definedName name="SCHCTY" localSheetId="25">#REF!</definedName>
    <definedName name="SCHCTY" localSheetId="24">#REF!</definedName>
    <definedName name="SCHCTY" localSheetId="39">#REF!</definedName>
    <definedName name="SCHCTY">#REF!</definedName>
    <definedName name="SCHNMBR" localSheetId="28">#REF!</definedName>
    <definedName name="SCHNMBR" localSheetId="40">#REF!</definedName>
    <definedName name="SCHNMBR" localSheetId="41">#REF!</definedName>
    <definedName name="SCHNMBR" localSheetId="42">#REF!</definedName>
    <definedName name="SCHNMBR" localSheetId="43">#REF!</definedName>
    <definedName name="SCHNMBR" localSheetId="44">#REF!</definedName>
    <definedName name="SCHNMBR" localSheetId="45">#REF!</definedName>
    <definedName name="SCHNMBR" localSheetId="46">#REF!</definedName>
    <definedName name="SCHNMBR" localSheetId="14">#REF!</definedName>
    <definedName name="SCHNMBR" localSheetId="21">#REF!</definedName>
    <definedName name="SCHNMBR" localSheetId="4">#REF!</definedName>
    <definedName name="SCHNMBR" localSheetId="32">#REF!</definedName>
    <definedName name="SCHNMBR" localSheetId="33">#REF!</definedName>
    <definedName name="SCHNMBR" localSheetId="34">#REF!</definedName>
    <definedName name="SCHNMBR" localSheetId="35">#REF!</definedName>
    <definedName name="SCHNMBR" localSheetId="37">#REF!</definedName>
    <definedName name="SCHNMBR" localSheetId="38">#REF!</definedName>
    <definedName name="SCHNMBR" localSheetId="27">#REF!</definedName>
    <definedName name="SCHNMBR" localSheetId="29">#REF!</definedName>
    <definedName name="SCHNMBR" localSheetId="26">#REF!</definedName>
    <definedName name="SCHNMBR" localSheetId="30">#REF!</definedName>
    <definedName name="SCHNMBR" localSheetId="31">#REF!</definedName>
    <definedName name="SCHNMBR" localSheetId="25">#REF!</definedName>
    <definedName name="SCHNMBR" localSheetId="24">#REF!</definedName>
    <definedName name="SCHNMBR" localSheetId="39">#REF!</definedName>
    <definedName name="SCHNMBR">#REF!</definedName>
    <definedName name="SCHNME" localSheetId="28">#REF!</definedName>
    <definedName name="SCHNME" localSheetId="40">#REF!</definedName>
    <definedName name="SCHNME" localSheetId="41">#REF!</definedName>
    <definedName name="SCHNME" localSheetId="42">#REF!</definedName>
    <definedName name="SCHNME" localSheetId="43">#REF!</definedName>
    <definedName name="SCHNME" localSheetId="44">#REF!</definedName>
    <definedName name="SCHNME" localSheetId="45">#REF!</definedName>
    <definedName name="SCHNME" localSheetId="46">#REF!</definedName>
    <definedName name="SCHNME" localSheetId="14">#REF!</definedName>
    <definedName name="SCHNME" localSheetId="21">#REF!</definedName>
    <definedName name="SCHNME" localSheetId="4">#REF!</definedName>
    <definedName name="SCHNME" localSheetId="32">#REF!</definedName>
    <definedName name="SCHNME" localSheetId="33">#REF!</definedName>
    <definedName name="SCHNME" localSheetId="34">#REF!</definedName>
    <definedName name="SCHNME" localSheetId="35">#REF!</definedName>
    <definedName name="SCHNME" localSheetId="37">#REF!</definedName>
    <definedName name="SCHNME" localSheetId="38">#REF!</definedName>
    <definedName name="SCHNME" localSheetId="27">#REF!</definedName>
    <definedName name="SCHNME" localSheetId="29">#REF!</definedName>
    <definedName name="SCHNME" localSheetId="26">#REF!</definedName>
    <definedName name="SCHNME" localSheetId="30">#REF!</definedName>
    <definedName name="SCHNME" localSheetId="31">#REF!</definedName>
    <definedName name="SCHNME" localSheetId="25">#REF!</definedName>
    <definedName name="SCHNME" localSheetId="24">#REF!</definedName>
    <definedName name="SCHNME" localSheetId="39">#REF!</definedName>
    <definedName name="SCHNME">#REF!</definedName>
    <definedName name="SUPT" localSheetId="28">#REF!</definedName>
    <definedName name="SUPT" localSheetId="40">#REF!</definedName>
    <definedName name="SUPT" localSheetId="41">#REF!</definedName>
    <definedName name="SUPT" localSheetId="42">#REF!</definedName>
    <definedName name="SUPT" localSheetId="43">#REF!</definedName>
    <definedName name="SUPT" localSheetId="44">#REF!</definedName>
    <definedName name="SUPT" localSheetId="45">#REF!</definedName>
    <definedName name="SUPT" localSheetId="46">#REF!</definedName>
    <definedName name="SUPT" localSheetId="14">#REF!</definedName>
    <definedName name="SUPT" localSheetId="21">#REF!</definedName>
    <definedName name="SUPT" localSheetId="4">#REF!</definedName>
    <definedName name="SUPT" localSheetId="32">#REF!</definedName>
    <definedName name="SUPT" localSheetId="33">#REF!</definedName>
    <definedName name="SUPT" localSheetId="34">#REF!</definedName>
    <definedName name="SUPT" localSheetId="35">#REF!</definedName>
    <definedName name="SUPT" localSheetId="37">#REF!</definedName>
    <definedName name="SUPT" localSheetId="38">#REF!</definedName>
    <definedName name="SUPT" localSheetId="27">#REF!</definedName>
    <definedName name="SUPT" localSheetId="29">#REF!</definedName>
    <definedName name="SUPT" localSheetId="26">#REF!</definedName>
    <definedName name="SUPT" localSheetId="30">#REF!</definedName>
    <definedName name="SUPT" localSheetId="31">#REF!</definedName>
    <definedName name="SUPT" localSheetId="25">#REF!</definedName>
    <definedName name="SUPT" localSheetId="24">#REF!</definedName>
    <definedName name="SUPT" localSheetId="39">#REF!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1" i="200" l="1"/>
  <c r="E19" i="202"/>
  <c r="B15" i="189"/>
  <c r="B12" i="189"/>
  <c r="B12" i="185" l="1"/>
  <c r="M94" i="192"/>
  <c r="K94" i="192"/>
  <c r="G94" i="192"/>
  <c r="I94" i="192"/>
  <c r="O36" i="192"/>
  <c r="M36" i="192"/>
  <c r="K36" i="192"/>
  <c r="I36" i="192"/>
  <c r="G36" i="192"/>
  <c r="O32" i="192"/>
  <c r="M32" i="192"/>
  <c r="K32" i="192"/>
  <c r="I32" i="192"/>
  <c r="G32" i="192"/>
  <c r="J31" i="8" l="1"/>
  <c r="J32" i="8" l="1"/>
  <c r="I88" i="192" l="1"/>
  <c r="B22" i="200" l="1"/>
  <c r="I14" i="199"/>
  <c r="D14" i="199"/>
  <c r="I14" i="194"/>
  <c r="D14" i="194"/>
  <c r="E29" i="196"/>
  <c r="E29" i="197" s="1"/>
  <c r="E29" i="200" s="1"/>
  <c r="E27" i="196"/>
  <c r="E27" i="197" s="1"/>
  <c r="E27" i="200" s="1"/>
  <c r="C34" i="173" l="1"/>
  <c r="C33" i="173"/>
  <c r="O130" i="192"/>
  <c r="M130" i="192"/>
  <c r="K130" i="192"/>
  <c r="I130" i="192"/>
  <c r="G130" i="192"/>
  <c r="Q127" i="192"/>
  <c r="Q126" i="192"/>
  <c r="O119" i="192"/>
  <c r="M119" i="192"/>
  <c r="K119" i="192"/>
  <c r="I119" i="192"/>
  <c r="G119" i="192"/>
  <c r="Q118" i="192"/>
  <c r="Q116" i="192"/>
  <c r="Q115" i="192"/>
  <c r="O109" i="192"/>
  <c r="M109" i="192"/>
  <c r="K109" i="192"/>
  <c r="I109" i="192"/>
  <c r="G109" i="192"/>
  <c r="Q108" i="192"/>
  <c r="Q109" i="192" s="1"/>
  <c r="O104" i="192"/>
  <c r="M104" i="192"/>
  <c r="K104" i="192"/>
  <c r="I104" i="192"/>
  <c r="G104" i="192"/>
  <c r="Q103" i="192"/>
  <c r="Q102" i="192"/>
  <c r="O94" i="192"/>
  <c r="G39" i="174"/>
  <c r="Q92" i="192"/>
  <c r="Q91" i="192"/>
  <c r="Q88" i="192"/>
  <c r="Q87" i="192"/>
  <c r="Q82" i="192"/>
  <c r="Q81" i="192"/>
  <c r="Q79" i="192"/>
  <c r="Q78" i="192"/>
  <c r="Q76" i="192"/>
  <c r="Q74" i="192"/>
  <c r="Q72" i="192"/>
  <c r="Q71" i="192"/>
  <c r="Q69" i="192"/>
  <c r="Q67" i="192"/>
  <c r="Q66" i="192"/>
  <c r="Q64" i="192"/>
  <c r="Q63" i="192"/>
  <c r="O61" i="192"/>
  <c r="O96" i="192" s="1"/>
  <c r="M61" i="192"/>
  <c r="M96" i="192" s="1"/>
  <c r="K61" i="192"/>
  <c r="K96" i="192" s="1"/>
  <c r="I61" i="192"/>
  <c r="I96" i="192" s="1"/>
  <c r="G61" i="192"/>
  <c r="G96" i="192" s="1"/>
  <c r="Q60" i="192"/>
  <c r="Q59" i="192"/>
  <c r="Q57" i="192"/>
  <c r="Q56" i="192"/>
  <c r="Q54" i="192"/>
  <c r="Q53" i="192"/>
  <c r="Q45" i="192"/>
  <c r="Q44" i="192"/>
  <c r="Q42" i="192"/>
  <c r="Q40" i="192"/>
  <c r="Q39" i="192"/>
  <c r="Q35" i="192"/>
  <c r="Q34" i="192"/>
  <c r="Q31" i="192"/>
  <c r="Q30" i="192"/>
  <c r="O28" i="192"/>
  <c r="O47" i="192" s="1"/>
  <c r="O135" i="192" s="1"/>
  <c r="O139" i="192" s="1"/>
  <c r="M28" i="192"/>
  <c r="K28" i="192"/>
  <c r="K47" i="192" s="1"/>
  <c r="K135" i="192" s="1"/>
  <c r="I28" i="192"/>
  <c r="I47" i="192" s="1"/>
  <c r="I135" i="192" s="1"/>
  <c r="G28" i="192"/>
  <c r="G47" i="192" s="1"/>
  <c r="G135" i="192" s="1"/>
  <c r="Q27" i="192"/>
  <c r="Q26" i="192"/>
  <c r="Q24" i="192"/>
  <c r="Q23" i="192"/>
  <c r="Q21" i="192"/>
  <c r="Q20" i="192"/>
  <c r="M13" i="192"/>
  <c r="K13" i="192"/>
  <c r="M12" i="192"/>
  <c r="A16" i="169"/>
  <c r="M47" i="192" l="1"/>
  <c r="Q32" i="192"/>
  <c r="Q36" i="192"/>
  <c r="M137" i="192"/>
  <c r="G121" i="192"/>
  <c r="G132" i="192" s="1"/>
  <c r="I121" i="192"/>
  <c r="I132" i="192" s="1"/>
  <c r="Q130" i="192"/>
  <c r="Q94" i="192"/>
  <c r="M121" i="192"/>
  <c r="M132" i="192" s="1"/>
  <c r="D45" i="174" s="1"/>
  <c r="K121" i="192"/>
  <c r="K132" i="192" s="1"/>
  <c r="K137" i="192"/>
  <c r="K139" i="192" s="1"/>
  <c r="O121" i="192"/>
  <c r="O132" i="192" s="1"/>
  <c r="Q104" i="192"/>
  <c r="Q119" i="192"/>
  <c r="Q28" i="192"/>
  <c r="Q47" i="192" s="1"/>
  <c r="Q135" i="192" s="1"/>
  <c r="Q61" i="192"/>
  <c r="Q96" i="192" s="1"/>
  <c r="G137" i="192"/>
  <c r="G139" i="192" s="1"/>
  <c r="I137" i="192"/>
  <c r="I139" i="192" s="1"/>
  <c r="D35" i="171" s="1"/>
  <c r="G38" i="174" l="1"/>
  <c r="M135" i="192"/>
  <c r="M139" i="192" s="1"/>
  <c r="Q121" i="192"/>
  <c r="Q132" i="192" s="1"/>
  <c r="Q137" i="192"/>
  <c r="Q139" i="192" s="1"/>
  <c r="Q140" i="192"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3" i="106" l="1"/>
  <c r="D7883"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93"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2" i="193" s="1"/>
  <c r="B1" i="175"/>
  <c r="B1" i="201" s="1"/>
  <c r="B1" i="177"/>
  <c r="A1" i="170"/>
  <c r="A2" i="171"/>
  <c r="A1" i="173"/>
  <c r="B1" i="174"/>
  <c r="B2" i="175"/>
  <c r="B2" i="201" s="1"/>
  <c r="B1" i="176"/>
  <c r="B1" i="193" s="1"/>
  <c r="B1" i="194" s="1"/>
  <c r="B2" i="194" l="1"/>
  <c r="B3" i="185"/>
  <c r="B1" i="199"/>
  <c r="B2" i="185"/>
  <c r="B2" i="202" s="1"/>
  <c r="B1" i="186"/>
  <c r="B1" i="188" s="1"/>
  <c r="B2" i="187"/>
  <c r="B2" i="189"/>
  <c r="B12" i="196" s="1"/>
  <c r="B12" i="197" s="1"/>
  <c r="B2" i="186"/>
  <c r="B2" i="188"/>
  <c r="B7773" i="106"/>
  <c r="B3" i="187" l="1"/>
  <c r="B3" i="189" s="1"/>
  <c r="B14" i="196" s="1"/>
  <c r="B14" i="197" s="1"/>
  <c r="B14" i="200" s="1"/>
  <c r="B3" i="202"/>
  <c r="B12" i="200"/>
  <c r="B2" i="199"/>
  <c r="B61" i="106"/>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D7734" i="106" s="1"/>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D24" i="37" l="1"/>
  <c r="B4270" i="106" s="1"/>
  <c r="D4270" i="106" s="1"/>
  <c r="D22" i="37"/>
  <c r="H33" i="118"/>
  <c r="L22" i="37"/>
  <c r="H28" i="118"/>
  <c r="J22" i="37"/>
  <c r="F19" i="7"/>
  <c r="B1807" i="106" s="1"/>
  <c r="D1807" i="106" s="1"/>
  <c r="L13" i="11"/>
  <c r="B2060" i="106" s="1"/>
  <c r="D2060" i="106" s="1"/>
  <c r="L5" i="11"/>
  <c r="B2056" i="106" s="1"/>
  <c r="D2056" i="106" s="1"/>
  <c r="D11" i="37"/>
  <c r="H29" i="118"/>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K28" i="118" l="1"/>
  <c r="O27" i="118" s="1"/>
  <c r="O29" i="118" s="1"/>
  <c r="L16" i="11"/>
  <c r="B2061" i="106" s="1"/>
  <c r="D2061" i="106" s="1"/>
  <c r="I7" i="4"/>
  <c r="B4444" i="106" s="1"/>
  <c r="D4444"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76" i="106" l="1"/>
  <c r="D276" i="106" s="1"/>
  <c r="M23" i="3"/>
  <c r="B279" i="106" s="1"/>
  <c r="D279" i="106" s="1"/>
  <c r="B7815" i="106" l="1"/>
  <c r="D7815" i="106" s="1"/>
  <c r="B7810" i="106"/>
  <c r="D7810" i="106" s="1"/>
  <c r="B7811" i="106"/>
  <c r="D7811" i="106" s="1"/>
  <c r="B7812" i="106"/>
  <c r="D7812" i="106" s="1"/>
  <c r="B7814" i="106"/>
  <c r="D7814" i="106" s="1"/>
  <c r="B7816" i="106"/>
  <c r="D7816" i="106" s="1"/>
  <c r="F168" i="34" l="1"/>
  <c r="B7813" i="106"/>
  <c r="D7813" i="106" s="1"/>
  <c r="F167" i="34"/>
  <c r="B7809" i="106"/>
  <c r="D7809" i="106" s="1"/>
  <c r="L334" i="29" l="1"/>
  <c r="B7783" i="106" l="1"/>
  <c r="D7783" i="106" s="1"/>
  <c r="K282" i="29"/>
  <c r="B7774" i="106"/>
  <c r="D7774" i="106" s="1"/>
  <c r="K133" i="29"/>
  <c r="K333" i="29"/>
  <c r="B7788" i="106" s="1"/>
  <c r="D7788" i="106" s="1"/>
  <c r="B7787" i="106"/>
  <c r="D7787" i="106" s="1"/>
  <c r="K354" i="29"/>
  <c r="B7791" i="106"/>
  <c r="D7791" i="106" s="1"/>
  <c r="B7779" i="106"/>
  <c r="D7779" i="106" s="1"/>
  <c r="K158" i="29"/>
  <c r="B7780" i="106" s="1"/>
  <c r="D7780" i="106" s="1"/>
  <c r="K332" i="29"/>
  <c r="B7785" i="106"/>
  <c r="D7785" i="106" s="1"/>
  <c r="H334" i="29"/>
  <c r="B7789" i="106" s="1"/>
  <c r="D7789" i="106" s="1"/>
  <c r="B7775" i="106"/>
  <c r="D7775" i="106" s="1"/>
  <c r="K355" i="29"/>
  <c r="B7794" i="106" s="1"/>
  <c r="D7794" i="106" s="1"/>
  <c r="B7793" i="106"/>
  <c r="D7793" i="106" s="1"/>
  <c r="B7781" i="106"/>
  <c r="D7781" i="106" s="1"/>
  <c r="K159" i="29"/>
  <c r="B7782" i="106" s="1"/>
  <c r="D7782" i="106" s="1"/>
  <c r="B7792" i="106" l="1"/>
  <c r="D7792" i="106" s="1"/>
  <c r="B7786" i="106"/>
  <c r="D7786" i="106" s="1"/>
  <c r="K334" i="29"/>
  <c r="B7776" i="106"/>
  <c r="D7776" i="106" s="1"/>
  <c r="B7784" i="106"/>
  <c r="D7784" i="106" s="1"/>
  <c r="F74" i="34" l="1"/>
  <c r="B7790" i="106"/>
  <c r="D7790" i="106" s="1"/>
  <c r="J15" i="4"/>
  <c r="B7796" i="106" s="1"/>
  <c r="D7796" i="106" s="1"/>
  <c r="B177" i="106" l="1"/>
  <c r="D177" i="106" s="1"/>
  <c r="B7769" i="106" l="1"/>
  <c r="D7769" i="106" s="1"/>
  <c r="B7768" i="106"/>
  <c r="D7768" i="106" s="1"/>
  <c r="B7766" i="106"/>
  <c r="D7766" i="106" s="1"/>
  <c r="B6107" i="106" l="1"/>
  <c r="D6107" i="106" s="1"/>
  <c r="B6106" i="106"/>
  <c r="D6106" i="106" s="1"/>
  <c r="B6105" i="106"/>
  <c r="D6105" i="106" s="1"/>
  <c r="B6104" i="106"/>
  <c r="D6104" i="106" s="1"/>
  <c r="B6103" i="106"/>
  <c r="D6103" i="106" s="1"/>
  <c r="B6101" i="106"/>
  <c r="D6101" i="106" s="1"/>
  <c r="B5818" i="106"/>
  <c r="D5818" i="106" s="1"/>
  <c r="B5692" i="106"/>
  <c r="D5692" i="106" s="1"/>
  <c r="B5275" i="106"/>
  <c r="D5275" i="106" s="1"/>
  <c r="B5821" i="106"/>
  <c r="D5821" i="106" s="1"/>
  <c r="B5695" i="106"/>
  <c r="D5695" i="106" s="1"/>
  <c r="B5462" i="106"/>
  <c r="D5462" i="106" s="1"/>
  <c r="B5822" i="106"/>
  <c r="D5822" i="106" s="1"/>
  <c r="B5696" i="106"/>
  <c r="D5696" i="106" s="1"/>
  <c r="B5463" i="106"/>
  <c r="D5463" i="106" s="1"/>
  <c r="B5823" i="106"/>
  <c r="D5823" i="106" s="1"/>
  <c r="B5697" i="106"/>
  <c r="D5697" i="106" s="1"/>
  <c r="B5464" i="106"/>
  <c r="D5464" i="106" s="1"/>
  <c r="B4343" i="106"/>
  <c r="D4343" i="106" s="1"/>
  <c r="B4342" i="106"/>
  <c r="D4342" i="106" s="1"/>
  <c r="B4341" i="106"/>
  <c r="D4341"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351" i="106"/>
  <c r="D5351" i="106" s="1"/>
  <c r="B5584" i="106"/>
  <c r="D5584"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6349" i="106"/>
  <c r="D6349"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4" i="106"/>
  <c r="D5384"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6241" i="106"/>
  <c r="D6241" i="106" s="1"/>
  <c r="B7652" i="106"/>
  <c r="D7652" i="106" s="1"/>
  <c r="B7655" i="106"/>
  <c r="D7655" i="106" s="1"/>
  <c r="B7658" i="106"/>
  <c r="D7658" i="106" s="1"/>
  <c r="B6244" i="106"/>
  <c r="D6244" i="106" s="1"/>
  <c r="B7661" i="106"/>
  <c r="D7661" i="106" s="1"/>
  <c r="B7664" i="106"/>
  <c r="D7664" i="106" s="1"/>
  <c r="B7667" i="106"/>
  <c r="D7667" i="106" s="1"/>
  <c r="B6247" i="106"/>
  <c r="D6247" i="106" s="1"/>
  <c r="B7670" i="106"/>
  <c r="D7670" i="106" s="1"/>
  <c r="B7672" i="106"/>
  <c r="D7672" i="106" s="1"/>
  <c r="B7674" i="106"/>
  <c r="D7674" i="106" s="1"/>
  <c r="B6249" i="106"/>
  <c r="D6249" i="106" s="1"/>
  <c r="B7676" i="106"/>
  <c r="D7676" i="106" s="1"/>
  <c r="B7678" i="106"/>
  <c r="D7678" i="106" s="1"/>
  <c r="B7680" i="106"/>
  <c r="D7680" i="106" s="1"/>
  <c r="B6251" i="106"/>
  <c r="D6251"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6369" i="106"/>
  <c r="D6369" i="106" s="1"/>
  <c r="B4354" i="106"/>
  <c r="D4354" i="106" s="1"/>
  <c r="B5617" i="106"/>
  <c r="D5617" i="106" s="1"/>
  <c r="B4316" i="106"/>
  <c r="D4316" i="106" s="1"/>
  <c r="B5619" i="106"/>
  <c r="D5619" i="106" s="1"/>
  <c r="B5625" i="106"/>
  <c r="D5625" i="106" s="1"/>
  <c r="B5627" i="106"/>
  <c r="D5627" i="106" s="1"/>
  <c r="B4918" i="106"/>
  <c r="D4918" i="106" s="1"/>
  <c r="B6391" i="106"/>
  <c r="D6391" i="106" s="1"/>
  <c r="B4318" i="106"/>
  <c r="D4318"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5014" i="106"/>
  <c r="D5014"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4353" i="106"/>
  <c r="D4353" i="106" s="1"/>
  <c r="B6370" i="106"/>
  <c r="D6370" i="106" s="1"/>
  <c r="B4355" i="106"/>
  <c r="D4355" i="106" s="1"/>
  <c r="B6381" i="106"/>
  <c r="D6381" i="106" s="1"/>
  <c r="B4356" i="106"/>
  <c r="D4356" i="106" s="1"/>
  <c r="B5757" i="106"/>
  <c r="D5757" i="106" s="1"/>
  <c r="B5763" i="106"/>
  <c r="D5763" i="106" s="1"/>
  <c r="B5765" i="106"/>
  <c r="D5765" i="106" s="1"/>
  <c r="B4919" i="106"/>
  <c r="D4919" i="106" s="1"/>
  <c r="B6392" i="106"/>
  <c r="D6392"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25" i="106"/>
  <c r="D6625" i="106" s="1"/>
  <c r="B6630" i="106"/>
  <c r="D6630" i="106" s="1"/>
  <c r="B6638" i="106"/>
  <c r="D6638" i="106" s="1"/>
  <c r="B6646" i="106"/>
  <c r="D6646" i="106" s="1"/>
  <c r="B6654" i="106"/>
  <c r="D6654" i="106" s="1"/>
  <c r="B6662" i="106"/>
  <c r="D6662" i="106" s="1"/>
  <c r="B6670" i="106"/>
  <c r="D6670" i="106" s="1"/>
  <c r="B6678" i="106"/>
  <c r="D6678" i="106" s="1"/>
  <c r="B6686" i="106"/>
  <c r="D6686" i="106" s="1"/>
  <c r="B6693" i="106"/>
  <c r="D6693" i="106" s="1"/>
  <c r="B6708" i="106"/>
  <c r="D6708" i="106" s="1"/>
  <c r="B6716" i="106"/>
  <c r="D6716" i="106" s="1"/>
  <c r="B6724" i="106"/>
  <c r="D6724" i="106" s="1"/>
  <c r="B6733" i="106"/>
  <c r="D6733" i="106" s="1"/>
  <c r="B6741" i="106"/>
  <c r="D6741" i="106" s="1"/>
  <c r="B6749" i="106"/>
  <c r="D6749" i="106" s="1"/>
  <c r="B6757" i="106"/>
  <c r="D6757" i="106" s="1"/>
  <c r="B6765" i="106"/>
  <c r="D6765" i="106" s="1"/>
  <c r="B6773" i="106"/>
  <c r="D6773" i="106" s="1"/>
  <c r="B6781" i="106"/>
  <c r="D6781" i="106" s="1"/>
  <c r="B6789" i="106"/>
  <c r="D6789" i="106" s="1"/>
  <c r="B6797" i="106"/>
  <c r="D6797" i="106" s="1"/>
  <c r="B6805" i="106"/>
  <c r="D6805" i="106" s="1"/>
  <c r="B6813" i="106"/>
  <c r="D6813" i="106" s="1"/>
  <c r="B6821" i="106"/>
  <c r="D6821" i="106" s="1"/>
  <c r="B6829" i="106"/>
  <c r="D6829" i="106" s="1"/>
  <c r="B5855" i="106"/>
  <c r="D5855" i="106" s="1"/>
  <c r="B4417" i="106"/>
  <c r="D4417" i="106" s="1"/>
  <c r="B5858" i="106"/>
  <c r="D5858" i="106" s="1"/>
  <c r="B5860" i="106"/>
  <c r="D5860" i="106" s="1"/>
  <c r="B4421" i="106"/>
  <c r="D4421" i="106" s="1"/>
  <c r="B4192" i="106"/>
  <c r="D4192" i="106" s="1"/>
  <c r="B4361" i="106"/>
  <c r="D4361" i="106" s="1"/>
  <c r="B4448" i="106"/>
  <c r="D4448" i="106" s="1"/>
  <c r="B4864" i="106"/>
  <c r="D4864"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78" i="106"/>
  <c r="D3578" i="106" s="1"/>
  <c r="B3579" i="106"/>
  <c r="D3579" i="106" s="1"/>
  <c r="B3580" i="106"/>
  <c r="D3580" i="106" s="1"/>
  <c r="B3581" i="106"/>
  <c r="D3581" i="106" s="1"/>
  <c r="B3582" i="106"/>
  <c r="D3582" i="106" s="1"/>
  <c r="B6296" i="106"/>
  <c r="D6296" i="106" s="1"/>
  <c r="B3583" i="106"/>
  <c r="D3583" i="106" s="1"/>
  <c r="B6257" i="106"/>
  <c r="D6257"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B5917" i="106" l="1"/>
  <c r="D5917" i="106" s="1"/>
  <c r="L285" i="29"/>
  <c r="B5509" i="106"/>
  <c r="D5509" i="106" s="1"/>
  <c r="L270" i="29"/>
  <c r="B7043" i="106"/>
  <c r="D7043" i="106" s="1"/>
  <c r="B5333" i="106"/>
  <c r="D5333" i="106" s="1"/>
  <c r="B5328" i="106"/>
  <c r="D5328" i="106" s="1"/>
  <c r="E13" i="3"/>
  <c r="B3419" i="106"/>
  <c r="D3419" i="106" s="1"/>
  <c r="B5511" i="106"/>
  <c r="D5511" i="106" s="1"/>
  <c r="L168" i="29"/>
  <c r="K13" i="3"/>
  <c r="L100" i="29"/>
  <c r="B5061" i="106"/>
  <c r="D5061" i="106" s="1"/>
  <c r="B11" i="7"/>
  <c r="B6890" i="106"/>
  <c r="D6890" i="106" s="1"/>
  <c r="K27" i="29"/>
  <c r="B4113" i="106"/>
  <c r="D4113" i="106" s="1"/>
  <c r="D78" i="36"/>
  <c r="C18" i="4"/>
  <c r="B4131" i="106" s="1"/>
  <c r="D4131" i="106" s="1"/>
  <c r="K363" i="29"/>
  <c r="B7241" i="106" s="1"/>
  <c r="D7241" i="106" s="1"/>
  <c r="B7240" i="106"/>
  <c r="D7240" i="106" s="1"/>
  <c r="B3721" i="106"/>
  <c r="D3721" i="106" s="1"/>
  <c r="K283" i="29"/>
  <c r="D285" i="29"/>
  <c r="B3722" i="106" s="1"/>
  <c r="D3722" i="106" s="1"/>
  <c r="I184" i="29"/>
  <c r="B7057" i="106"/>
  <c r="D7057" i="106" s="1"/>
  <c r="B5563" i="106"/>
  <c r="D5563" i="106" s="1"/>
  <c r="F85" i="34"/>
  <c r="B4075" i="106"/>
  <c r="D4075" i="106" s="1"/>
  <c r="B5691" i="106"/>
  <c r="D5691" i="106" s="1"/>
  <c r="F217" i="5"/>
  <c r="B5703" i="106" s="1"/>
  <c r="D5703" i="106" s="1"/>
  <c r="L293" i="29"/>
  <c r="K307" i="29"/>
  <c r="B4099" i="106" s="1"/>
  <c r="D4099" i="106" s="1"/>
  <c r="B7108" i="106"/>
  <c r="D7108" i="106" s="1"/>
  <c r="B7099" i="106"/>
  <c r="D7099" i="106" s="1"/>
  <c r="I303" i="29"/>
  <c r="B5872" i="106"/>
  <c r="D5872" i="106" s="1"/>
  <c r="B1051" i="106"/>
  <c r="D1051" i="106" s="1"/>
  <c r="K109" i="29"/>
  <c r="B1149" i="106" s="1"/>
  <c r="D1149" i="106" s="1"/>
  <c r="K95" i="29"/>
  <c r="B7001" i="106" s="1"/>
  <c r="D7001" i="106" s="1"/>
  <c r="B7000" i="106"/>
  <c r="D7000" i="106" s="1"/>
  <c r="K67" i="29"/>
  <c r="B1031" i="106"/>
  <c r="D1031" i="106" s="1"/>
  <c r="K59" i="29"/>
  <c r="B794" i="106"/>
  <c r="D794" i="106" s="1"/>
  <c r="H53" i="29"/>
  <c r="B1024" i="106" s="1"/>
  <c r="D1024" i="106" s="1"/>
  <c r="B1022" i="106"/>
  <c r="D1022" i="106" s="1"/>
  <c r="B1018" i="106"/>
  <c r="D1018" i="106" s="1"/>
  <c r="H47" i="29"/>
  <c r="B1021" i="106" s="1"/>
  <c r="D1021" i="106" s="1"/>
  <c r="B784" i="106"/>
  <c r="D784" i="106" s="1"/>
  <c r="H42" i="29"/>
  <c r="B1011" i="106"/>
  <c r="D1011" i="106" s="1"/>
  <c r="K26" i="29"/>
  <c r="B6888" i="106"/>
  <c r="D6888" i="106" s="1"/>
  <c r="B6809" i="106"/>
  <c r="D6809" i="106" s="1"/>
  <c r="F155" i="34"/>
  <c r="B6712" i="106"/>
  <c r="D6712" i="106" s="1"/>
  <c r="F144" i="34"/>
  <c r="B5072" i="106"/>
  <c r="D5072" i="106" s="1"/>
  <c r="K361" i="29"/>
  <c r="B7239" i="106" s="1"/>
  <c r="D7239" i="106" s="1"/>
  <c r="B7238" i="106"/>
  <c r="D7238" i="106" s="1"/>
  <c r="B3631" i="106"/>
  <c r="D3631" i="106" s="1"/>
  <c r="E350" i="29"/>
  <c r="B6374" i="106"/>
  <c r="D6374" i="106" s="1"/>
  <c r="K169" i="5"/>
  <c r="B5000" i="106" s="1"/>
  <c r="D5000" i="106" s="1"/>
  <c r="B1447" i="106"/>
  <c r="D1447" i="106" s="1"/>
  <c r="K280" i="29"/>
  <c r="K264" i="29"/>
  <c r="B1493" i="106" s="1"/>
  <c r="D1493" i="106" s="1"/>
  <c r="B1429" i="106"/>
  <c r="D1429" i="106" s="1"/>
  <c r="K248" i="29"/>
  <c r="B7082" i="106" s="1"/>
  <c r="D7082" i="106" s="1"/>
  <c r="B7081" i="106"/>
  <c r="D7081" i="106" s="1"/>
  <c r="K232" i="29"/>
  <c r="B1411" i="106"/>
  <c r="D1411" i="106" s="1"/>
  <c r="D238" i="29"/>
  <c r="K217" i="29"/>
  <c r="B3391" i="106" s="1"/>
  <c r="D3391" i="106" s="1"/>
  <c r="B3388" i="106"/>
  <c r="D3388" i="106" s="1"/>
  <c r="B5791" i="106"/>
  <c r="D5791" i="106" s="1"/>
  <c r="B5739" i="106"/>
  <c r="D5739" i="106" s="1"/>
  <c r="K207" i="29"/>
  <c r="B7070" i="106" s="1"/>
  <c r="D7070" i="106" s="1"/>
  <c r="B7069" i="106"/>
  <c r="D7069" i="106" s="1"/>
  <c r="B4086" i="106"/>
  <c r="D4086" i="106" s="1"/>
  <c r="B5589" i="106"/>
  <c r="D5589" i="106" s="1"/>
  <c r="F114" i="5"/>
  <c r="B5572" i="106"/>
  <c r="D5572" i="106" s="1"/>
  <c r="F90" i="34"/>
  <c r="K166" i="29"/>
  <c r="B2819" i="106" s="1"/>
  <c r="D2819" i="106" s="1"/>
  <c r="B2813" i="106"/>
  <c r="D2813" i="106" s="1"/>
  <c r="B4200" i="106"/>
  <c r="D4200" i="106" s="1"/>
  <c r="K135" i="29"/>
  <c r="B2987" i="106" s="1"/>
  <c r="D2987" i="106" s="1"/>
  <c r="K124" i="29"/>
  <c r="B1276" i="106" s="1"/>
  <c r="D1276" i="106" s="1"/>
  <c r="B1221" i="106"/>
  <c r="D1221" i="106" s="1"/>
  <c r="B1251" i="106"/>
  <c r="D1251" i="106" s="1"/>
  <c r="G127" i="29"/>
  <c r="B1256" i="106" s="1"/>
  <c r="D1256" i="106" s="1"/>
  <c r="K120" i="29"/>
  <c r="B4074" i="106"/>
  <c r="D4074" i="106" s="1"/>
  <c r="B6615" i="106"/>
  <c r="D6615" i="106" s="1"/>
  <c r="D252" i="5"/>
  <c r="B6834" i="106" s="1"/>
  <c r="D6834" i="106" s="1"/>
  <c r="B5335" i="106"/>
  <c r="D5335" i="106" s="1"/>
  <c r="D18" i="5"/>
  <c r="B5339" i="106" s="1"/>
  <c r="D5339" i="106" s="1"/>
  <c r="B5330" i="106"/>
  <c r="D5330" i="106" s="1"/>
  <c r="B6398" i="106"/>
  <c r="D6398" i="106" s="1"/>
  <c r="J175" i="5"/>
  <c r="B5924" i="106"/>
  <c r="D5924" i="106" s="1"/>
  <c r="B5996" i="106"/>
  <c r="D5996" i="106" s="1"/>
  <c r="K108" i="5"/>
  <c r="B5999" i="106" s="1"/>
  <c r="D5999" i="106" s="1"/>
  <c r="B6402" i="106"/>
  <c r="D6402" i="106" s="1"/>
  <c r="G198" i="5"/>
  <c r="B6409" i="106" s="1"/>
  <c r="D6409" i="106" s="1"/>
  <c r="B5817" i="106"/>
  <c r="D5817" i="106" s="1"/>
  <c r="G217" i="5"/>
  <c r="B5829" i="106" s="1"/>
  <c r="D5829" i="106" s="1"/>
  <c r="B6918" i="106"/>
  <c r="D6918" i="106" s="1"/>
  <c r="I47" i="29"/>
  <c r="B6924" i="106" s="1"/>
  <c r="D6924" i="106" s="1"/>
  <c r="K218" i="29"/>
  <c r="B7075" i="106"/>
  <c r="D7075" i="106" s="1"/>
  <c r="B7751" i="106"/>
  <c r="D7751" i="106" s="1"/>
  <c r="B5110" i="106"/>
  <c r="D5110" i="106" s="1"/>
  <c r="F100" i="34"/>
  <c r="L238" i="29"/>
  <c r="L261" i="29"/>
  <c r="L362" i="29"/>
  <c r="L365" i="29" s="1"/>
  <c r="I34" i="3"/>
  <c r="B6139" i="106"/>
  <c r="D6139" i="106" s="1"/>
  <c r="H310" i="29"/>
  <c r="B7115" i="106" s="1"/>
  <c r="D7115" i="106" s="1"/>
  <c r="B7106" i="106"/>
  <c r="D7106" i="106" s="1"/>
  <c r="B1549" i="106"/>
  <c r="D1549" i="106" s="1"/>
  <c r="H303" i="29"/>
  <c r="B5907" i="106"/>
  <c r="D5907" i="106" s="1"/>
  <c r="H181" i="5"/>
  <c r="B5908" i="106" s="1"/>
  <c r="D5908" i="106" s="1"/>
  <c r="E39" i="4"/>
  <c r="B6287" i="106" s="1"/>
  <c r="D6287" i="106" s="1"/>
  <c r="B6246" i="106"/>
  <c r="D6246" i="106" s="1"/>
  <c r="B6290" i="106"/>
  <c r="D6290" i="106" s="1"/>
  <c r="D73" i="36"/>
  <c r="B2792" i="106"/>
  <c r="D2792" i="106" s="1"/>
  <c r="K108" i="29"/>
  <c r="B2796" i="106" s="1"/>
  <c r="D2796" i="106" s="1"/>
  <c r="K94" i="29"/>
  <c r="B6999" i="106" s="1"/>
  <c r="D6999" i="106" s="1"/>
  <c r="B6998" i="106"/>
  <c r="D6998" i="106" s="1"/>
  <c r="K82" i="29"/>
  <c r="B2977" i="106" s="1"/>
  <c r="D2977" i="106" s="1"/>
  <c r="B2953" i="106"/>
  <c r="D2953" i="106" s="1"/>
  <c r="B988" i="106"/>
  <c r="D988" i="106" s="1"/>
  <c r="K73" i="29"/>
  <c r="B754" i="106"/>
  <c r="D754" i="106" s="1"/>
  <c r="B748" i="106"/>
  <c r="D748" i="106" s="1"/>
  <c r="K69" i="29"/>
  <c r="B978" i="106"/>
  <c r="D978" i="106" s="1"/>
  <c r="B743" i="106"/>
  <c r="D743" i="106" s="1"/>
  <c r="B973" i="106"/>
  <c r="D973" i="106" s="1"/>
  <c r="B740" i="106"/>
  <c r="D740" i="106" s="1"/>
  <c r="B970" i="106"/>
  <c r="D970" i="106" s="1"/>
  <c r="B736" i="106"/>
  <c r="D736" i="106" s="1"/>
  <c r="B6936" i="106"/>
  <c r="D6936" i="106" s="1"/>
  <c r="B2718" i="106"/>
  <c r="D2718" i="106" s="1"/>
  <c r="K51" i="29"/>
  <c r="B964" i="106"/>
  <c r="D964" i="106" s="1"/>
  <c r="K46" i="29"/>
  <c r="B1118" i="106" s="1"/>
  <c r="D1118" i="106" s="1"/>
  <c r="B730" i="106"/>
  <c r="D730" i="106" s="1"/>
  <c r="G47" i="29"/>
  <c r="B963" i="106" s="1"/>
  <c r="D963" i="106" s="1"/>
  <c r="B960" i="106"/>
  <c r="D960" i="106" s="1"/>
  <c r="B726" i="106"/>
  <c r="D726" i="106" s="1"/>
  <c r="B723" i="106"/>
  <c r="D723" i="106" s="1"/>
  <c r="K38" i="29"/>
  <c r="B1111" i="106" s="1"/>
  <c r="D1111" i="106" s="1"/>
  <c r="B953" i="106"/>
  <c r="D953" i="106" s="1"/>
  <c r="G42" i="29"/>
  <c r="B6886" i="106"/>
  <c r="D6886" i="106" s="1"/>
  <c r="K25" i="29"/>
  <c r="D17" i="171"/>
  <c r="B4362" i="106"/>
  <c r="D4362" i="106" s="1"/>
  <c r="F170" i="34"/>
  <c r="B7875" i="106" s="1"/>
  <c r="D7875" i="106" s="1"/>
  <c r="B6622" i="106"/>
  <c r="D6622" i="106" s="1"/>
  <c r="F134" i="34"/>
  <c r="B5168" i="106"/>
  <c r="D5168" i="106" s="1"/>
  <c r="F111" i="34"/>
  <c r="B7846" i="106" s="1"/>
  <c r="D7846" i="106" s="1"/>
  <c r="K360" i="29"/>
  <c r="H362" i="29"/>
  <c r="B3657" i="106"/>
  <c r="D3657" i="106" s="1"/>
  <c r="D350" i="29"/>
  <c r="B3624" i="106"/>
  <c r="D3624" i="106" s="1"/>
  <c r="B1445" i="106"/>
  <c r="D1445" i="106" s="1"/>
  <c r="K278" i="29"/>
  <c r="B1509" i="106" s="1"/>
  <c r="D1509" i="106" s="1"/>
  <c r="D270" i="29"/>
  <c r="B1436" i="106" s="1"/>
  <c r="D1436" i="106" s="1"/>
  <c r="K263" i="29"/>
  <c r="B1428" i="106"/>
  <c r="D1428" i="106" s="1"/>
  <c r="K247" i="29"/>
  <c r="B2726" i="106" s="1"/>
  <c r="D2726" i="106" s="1"/>
  <c r="B2725" i="106"/>
  <c r="D2725" i="106" s="1"/>
  <c r="B3389" i="106"/>
  <c r="D3389" i="106" s="1"/>
  <c r="K228" i="29"/>
  <c r="B3392" i="106" s="1"/>
  <c r="D3392" i="106" s="1"/>
  <c r="K216" i="29"/>
  <c r="B7073" i="106"/>
  <c r="D7073" i="106" s="1"/>
  <c r="B5790" i="106"/>
  <c r="D5790" i="106" s="1"/>
  <c r="B5738" i="106"/>
  <c r="D5738" i="106" s="1"/>
  <c r="B5024" i="106"/>
  <c r="D5024" i="106" s="1"/>
  <c r="B4210" i="106"/>
  <c r="D4210" i="106" s="1"/>
  <c r="K206" i="29"/>
  <c r="B2993" i="106"/>
  <c r="D2993" i="106" s="1"/>
  <c r="K192" i="29"/>
  <c r="B3011" i="106" s="1"/>
  <c r="D3011" i="106" s="1"/>
  <c r="B1338" i="106"/>
  <c r="D1338" i="106" s="1"/>
  <c r="B4085" i="106"/>
  <c r="D4085" i="106" s="1"/>
  <c r="F204" i="5"/>
  <c r="B5677" i="106" s="1"/>
  <c r="D5677" i="106" s="1"/>
  <c r="B5664" i="106"/>
  <c r="D5664" i="106" s="1"/>
  <c r="B5571" i="106"/>
  <c r="D5571" i="106" s="1"/>
  <c r="F23" i="34"/>
  <c r="K165" i="29"/>
  <c r="B2818" i="106" s="1"/>
  <c r="D2818" i="106" s="1"/>
  <c r="B2812" i="106"/>
  <c r="D2812" i="106" s="1"/>
  <c r="D76" i="4"/>
  <c r="B3237" i="106" s="1"/>
  <c r="D3237" i="106" s="1"/>
  <c r="B5023" i="106"/>
  <c r="D5023" i="106" s="1"/>
  <c r="D44" i="4"/>
  <c r="B7749" i="106"/>
  <c r="D7749" i="106" s="1"/>
  <c r="B2979" i="106"/>
  <c r="D2979" i="106" s="1"/>
  <c r="H137" i="29"/>
  <c r="F127" i="29"/>
  <c r="B1247" i="106" s="1"/>
  <c r="D1247" i="106" s="1"/>
  <c r="B1243" i="106"/>
  <c r="D1243" i="106" s="1"/>
  <c r="F33" i="34"/>
  <c r="B5494" i="106"/>
  <c r="D5494" i="106" s="1"/>
  <c r="B5357" i="106"/>
  <c r="D5357" i="106" s="1"/>
  <c r="D114" i="5"/>
  <c r="B6319" i="106"/>
  <c r="D6319" i="106" s="1"/>
  <c r="J108" i="5"/>
  <c r="B6351" i="106" s="1"/>
  <c r="D6351" i="106" s="1"/>
  <c r="B4340" i="106"/>
  <c r="D4340" i="106" s="1"/>
  <c r="F132" i="34"/>
  <c r="B7864" i="106" s="1"/>
  <c r="D7864" i="106" s="1"/>
  <c r="B5278" i="106"/>
  <c r="D5278" i="106" s="1"/>
  <c r="F129" i="34"/>
  <c r="B7861" i="106" s="1"/>
  <c r="D7861" i="106" s="1"/>
  <c r="B6132" i="106"/>
  <c r="D6132" i="106" s="1"/>
  <c r="B7016" i="106"/>
  <c r="D7016" i="106" s="1"/>
  <c r="K111" i="29"/>
  <c r="B7017" i="106" s="1"/>
  <c r="D7017" i="106" s="1"/>
  <c r="B6963" i="106"/>
  <c r="D6963" i="106" s="1"/>
  <c r="I72" i="29"/>
  <c r="B6973" i="106" s="1"/>
  <c r="D6973" i="106" s="1"/>
  <c r="I53" i="29"/>
  <c r="B6942" i="106" s="1"/>
  <c r="D6942" i="106" s="1"/>
  <c r="B6926" i="106"/>
  <c r="D6926" i="106" s="1"/>
  <c r="B6817" i="106"/>
  <c r="D6817" i="106" s="1"/>
  <c r="F156" i="34"/>
  <c r="K233" i="29"/>
  <c r="B1476" i="106" s="1"/>
  <c r="D1476" i="106" s="1"/>
  <c r="B1412" i="106"/>
  <c r="D1412" i="106" s="1"/>
  <c r="B6314" i="106"/>
  <c r="D6314" i="106" s="1"/>
  <c r="F91" i="34"/>
  <c r="B1313" i="106"/>
  <c r="D1313" i="106" s="1"/>
  <c r="K167" i="29"/>
  <c r="B1327" i="106" s="1"/>
  <c r="D1327" i="106" s="1"/>
  <c r="H127" i="29"/>
  <c r="B1264" i="106" s="1"/>
  <c r="D1264" i="106" s="1"/>
  <c r="B1260" i="106"/>
  <c r="D1260" i="106" s="1"/>
  <c r="K306" i="29"/>
  <c r="E310" i="29"/>
  <c r="B7114" i="106" s="1"/>
  <c r="D7114" i="106" s="1"/>
  <c r="B7105" i="106"/>
  <c r="D7105" i="106" s="1"/>
  <c r="G303" i="29"/>
  <c r="B1543" i="106"/>
  <c r="D1543" i="106" s="1"/>
  <c r="B7882" i="106"/>
  <c r="D7882" i="106" s="1"/>
  <c r="H122" i="5"/>
  <c r="B2791" i="106"/>
  <c r="D2791" i="106" s="1"/>
  <c r="K107" i="29"/>
  <c r="B2795" i="106" s="1"/>
  <c r="D2795" i="106" s="1"/>
  <c r="K93" i="29"/>
  <c r="B6996" i="106"/>
  <c r="D6996" i="106" s="1"/>
  <c r="H100" i="29"/>
  <c r="B7012" i="106" s="1"/>
  <c r="D7012" i="106" s="1"/>
  <c r="F72" i="29"/>
  <c r="B927" i="106" s="1"/>
  <c r="D927" i="106" s="1"/>
  <c r="B920" i="106"/>
  <c r="D920" i="106" s="1"/>
  <c r="B912" i="106"/>
  <c r="D912" i="106" s="1"/>
  <c r="F65" i="29"/>
  <c r="B919" i="106" s="1"/>
  <c r="D919" i="106" s="1"/>
  <c r="B6945" i="106"/>
  <c r="D6945" i="106" s="1"/>
  <c r="J57" i="29"/>
  <c r="B6949" i="106" s="1"/>
  <c r="D6949" i="106" s="1"/>
  <c r="B906" i="106"/>
  <c r="D906" i="106" s="1"/>
  <c r="F53" i="29"/>
  <c r="B908" i="106" s="1"/>
  <c r="D908" i="106" s="1"/>
  <c r="B902" i="106"/>
  <c r="D902" i="106" s="1"/>
  <c r="F47" i="29"/>
  <c r="B905" i="106" s="1"/>
  <c r="D905" i="106" s="1"/>
  <c r="F42" i="29"/>
  <c r="B895" i="106"/>
  <c r="D895" i="106" s="1"/>
  <c r="K24" i="29"/>
  <c r="B6884" i="106"/>
  <c r="D6884" i="106" s="1"/>
  <c r="K19" i="29"/>
  <c r="B3381" i="106" s="1"/>
  <c r="D3381" i="106" s="1"/>
  <c r="B3367" i="106"/>
  <c r="D3367" i="106" s="1"/>
  <c r="B706" i="106"/>
  <c r="D706" i="106" s="1"/>
  <c r="B717" i="106"/>
  <c r="D717" i="106" s="1"/>
  <c r="K13" i="29"/>
  <c r="B1105" i="106" s="1"/>
  <c r="D1105" i="106" s="1"/>
  <c r="B3055" i="106"/>
  <c r="D3055" i="106" s="1"/>
  <c r="K10" i="29"/>
  <c r="B3062" i="106" s="1"/>
  <c r="D3062" i="106" s="1"/>
  <c r="K7" i="29"/>
  <c r="B6727" i="106"/>
  <c r="D6727" i="106" s="1"/>
  <c r="B4358" i="106"/>
  <c r="D4358" i="106" s="1"/>
  <c r="F169" i="34"/>
  <c r="B7874" i="106" s="1"/>
  <c r="D7874" i="106" s="1"/>
  <c r="F153" i="34"/>
  <c r="B6793" i="106"/>
  <c r="D6793" i="106" s="1"/>
  <c r="B4351" i="106"/>
  <c r="D4351" i="106" s="1"/>
  <c r="F110" i="34"/>
  <c r="B7845" i="106" s="1"/>
  <c r="D7845" i="106" s="1"/>
  <c r="B6031" i="106"/>
  <c r="D6031" i="106" s="1"/>
  <c r="B5080" i="106"/>
  <c r="D5080" i="106" s="1"/>
  <c r="B7236" i="106"/>
  <c r="D7236" i="106" s="1"/>
  <c r="K356" i="29"/>
  <c r="H357" i="29"/>
  <c r="B7237" i="106" s="1"/>
  <c r="D7237" i="106" s="1"/>
  <c r="B3617" i="106"/>
  <c r="D3617" i="106" s="1"/>
  <c r="C350" i="29"/>
  <c r="K348" i="29"/>
  <c r="B5986" i="106"/>
  <c r="D5986" i="106" s="1"/>
  <c r="D261" i="29"/>
  <c r="B1427" i="106" s="1"/>
  <c r="D1427" i="106" s="1"/>
  <c r="B1423" i="106"/>
  <c r="D1423" i="106" s="1"/>
  <c r="K246" i="29"/>
  <c r="B1487" i="106" s="1"/>
  <c r="D1487" i="106" s="1"/>
  <c r="B1402" i="106"/>
  <c r="D1402" i="106" s="1"/>
  <c r="K227" i="29"/>
  <c r="B1466" i="106" s="1"/>
  <c r="D1466" i="106" s="1"/>
  <c r="D229" i="29"/>
  <c r="B1410" i="106" s="1"/>
  <c r="D1410" i="106" s="1"/>
  <c r="K215" i="29"/>
  <c r="B3387" i="106"/>
  <c r="D3387" i="106" s="1"/>
  <c r="K205" i="29"/>
  <c r="B7068" i="106" s="1"/>
  <c r="D7068" i="106" s="1"/>
  <c r="B7067" i="106"/>
  <c r="D7067" i="106" s="1"/>
  <c r="B4084" i="106"/>
  <c r="D4084" i="106" s="1"/>
  <c r="F184" i="29"/>
  <c r="B5580" i="106"/>
  <c r="D5580" i="106" s="1"/>
  <c r="B5570" i="106"/>
  <c r="D5570" i="106" s="1"/>
  <c r="F89" i="34"/>
  <c r="B1311" i="106"/>
  <c r="D1311" i="106" s="1"/>
  <c r="K164" i="29"/>
  <c r="B1325" i="106" s="1"/>
  <c r="D1325" i="106" s="1"/>
  <c r="B5514" i="106"/>
  <c r="D5514" i="106" s="1"/>
  <c r="E18" i="5"/>
  <c r="B5518" i="106" s="1"/>
  <c r="D5518" i="106" s="1"/>
  <c r="K148" i="29"/>
  <c r="B7050" i="106" s="1"/>
  <c r="D7050" i="106" s="1"/>
  <c r="B7049" i="106"/>
  <c r="D7049" i="106" s="1"/>
  <c r="K134" i="29"/>
  <c r="B4199" i="106"/>
  <c r="D4199" i="106" s="1"/>
  <c r="E137" i="29"/>
  <c r="K122" i="29"/>
  <c r="B5426" i="106"/>
  <c r="D5426" i="106" s="1"/>
  <c r="D188" i="5"/>
  <c r="B5347" i="106"/>
  <c r="D5347" i="106" s="1"/>
  <c r="B7697" i="106"/>
  <c r="D7697" i="106" s="1"/>
  <c r="K329" i="29"/>
  <c r="K326" i="29"/>
  <c r="B7181" i="106"/>
  <c r="D7181" i="106" s="1"/>
  <c r="B7154" i="106"/>
  <c r="D7154" i="106" s="1"/>
  <c r="K323" i="29"/>
  <c r="B7127" i="106"/>
  <c r="D7127" i="106" s="1"/>
  <c r="K320" i="29"/>
  <c r="B6302" i="106"/>
  <c r="D6302" i="106" s="1"/>
  <c r="J18" i="5"/>
  <c r="B6306" i="106" s="1"/>
  <c r="D6306" i="106" s="1"/>
  <c r="B5107" i="106"/>
  <c r="D5107" i="106" s="1"/>
  <c r="F99" i="34"/>
  <c r="B5115" i="106"/>
  <c r="D5115" i="106" s="1"/>
  <c r="F103" i="34"/>
  <c r="B7840" i="106" s="1"/>
  <c r="D7840" i="106" s="1"/>
  <c r="B5927" i="106"/>
  <c r="D5927" i="106" s="1"/>
  <c r="I108" i="5"/>
  <c r="B5930" i="106" s="1"/>
  <c r="D5930" i="106" s="1"/>
  <c r="B5118" i="106"/>
  <c r="D5118" i="106" s="1"/>
  <c r="F105" i="34"/>
  <c r="L92" i="29"/>
  <c r="B1537" i="106"/>
  <c r="D1537" i="106" s="1"/>
  <c r="F303" i="29"/>
  <c r="B4365" i="106"/>
  <c r="D4365" i="106" s="1"/>
  <c r="H175" i="5"/>
  <c r="B1049" i="106"/>
  <c r="D1049" i="106" s="1"/>
  <c r="K106" i="29"/>
  <c r="B1147" i="106" s="1"/>
  <c r="D1147" i="106" s="1"/>
  <c r="K91" i="29"/>
  <c r="B6994" i="106" s="1"/>
  <c r="D6994" i="106" s="1"/>
  <c r="B6993" i="106"/>
  <c r="D6993" i="106" s="1"/>
  <c r="K81" i="29"/>
  <c r="B2976" i="106" s="1"/>
  <c r="D2976" i="106" s="1"/>
  <c r="B2952" i="106"/>
  <c r="D2952" i="106" s="1"/>
  <c r="B862" i="106"/>
  <c r="D862" i="106" s="1"/>
  <c r="E72" i="29"/>
  <c r="B869" i="106" s="1"/>
  <c r="D869" i="106" s="1"/>
  <c r="E65" i="29"/>
  <c r="B861" i="106" s="1"/>
  <c r="D861" i="106" s="1"/>
  <c r="B854" i="106"/>
  <c r="D854" i="106" s="1"/>
  <c r="B6944" i="106"/>
  <c r="D6944" i="106" s="1"/>
  <c r="I57" i="29"/>
  <c r="B6948" i="106" s="1"/>
  <c r="D6948" i="106" s="1"/>
  <c r="E53" i="29"/>
  <c r="B850" i="106" s="1"/>
  <c r="D850" i="106" s="1"/>
  <c r="B848" i="106"/>
  <c r="D848" i="106" s="1"/>
  <c r="B844" i="106"/>
  <c r="D844" i="106" s="1"/>
  <c r="E47" i="29"/>
  <c r="B847" i="106" s="1"/>
  <c r="D847" i="106" s="1"/>
  <c r="B837" i="106"/>
  <c r="D837" i="106" s="1"/>
  <c r="E42" i="29"/>
  <c r="K23" i="29"/>
  <c r="B6882" i="106"/>
  <c r="D6882" i="106" s="1"/>
  <c r="B6845" i="106"/>
  <c r="D6845" i="106" s="1"/>
  <c r="J33" i="29"/>
  <c r="B4868" i="106"/>
  <c r="D4868" i="106" s="1"/>
  <c r="K266" i="5"/>
  <c r="B4442" i="106" s="1"/>
  <c r="D4442" i="106" s="1"/>
  <c r="B1440" i="106"/>
  <c r="D1440" i="106" s="1"/>
  <c r="K275" i="29"/>
  <c r="B1504" i="106" s="1"/>
  <c r="D1504" i="106" s="1"/>
  <c r="B1425" i="106"/>
  <c r="D1425" i="106" s="1"/>
  <c r="K259" i="29"/>
  <c r="B1422" i="106"/>
  <c r="D1422" i="106" s="1"/>
  <c r="D257" i="29"/>
  <c r="B1424" i="106" s="1"/>
  <c r="D1424" i="106" s="1"/>
  <c r="K245" i="29"/>
  <c r="K226" i="29"/>
  <c r="B7080" i="106" s="1"/>
  <c r="D7080" i="106" s="1"/>
  <c r="B7079" i="106"/>
  <c r="D7079" i="106" s="1"/>
  <c r="B6618" i="106"/>
  <c r="D6618" i="106" s="1"/>
  <c r="B5731" i="106"/>
  <c r="D5731" i="106" s="1"/>
  <c r="K203" i="29"/>
  <c r="B1385" i="106" s="1"/>
  <c r="D1385" i="106" s="1"/>
  <c r="B1373" i="106"/>
  <c r="D1373" i="106" s="1"/>
  <c r="B2992" i="106"/>
  <c r="D2992" i="106" s="1"/>
  <c r="K191" i="29"/>
  <c r="B3010" i="106" s="1"/>
  <c r="D3010" i="106" s="1"/>
  <c r="E184" i="29"/>
  <c r="B4083" i="106"/>
  <c r="D4083" i="106" s="1"/>
  <c r="B6315" i="106"/>
  <c r="D6315" i="106" s="1"/>
  <c r="F28" i="34"/>
  <c r="F22" i="34"/>
  <c r="B6313" i="106"/>
  <c r="D6313" i="106" s="1"/>
  <c r="B5558" i="106"/>
  <c r="D5558" i="106" s="1"/>
  <c r="F18" i="5"/>
  <c r="B5562" i="106" s="1"/>
  <c r="D5562" i="106" s="1"/>
  <c r="K53" i="4"/>
  <c r="B3703" i="106" s="1"/>
  <c r="D3703" i="106" s="1"/>
  <c r="B3699" i="106"/>
  <c r="D3699" i="106" s="1"/>
  <c r="B1310" i="106"/>
  <c r="D1310" i="106" s="1"/>
  <c r="K163" i="29"/>
  <c r="H168" i="29"/>
  <c r="B6368" i="106"/>
  <c r="D6368" i="106" s="1"/>
  <c r="E169" i="5"/>
  <c r="B5537" i="106" s="1"/>
  <c r="D5537" i="106" s="1"/>
  <c r="K146" i="29"/>
  <c r="B1285" i="106" s="1"/>
  <c r="D1285" i="106" s="1"/>
  <c r="B1270" i="106"/>
  <c r="D1270" i="106" s="1"/>
  <c r="D127" i="29"/>
  <c r="B1231" i="106" s="1"/>
  <c r="D1231" i="106" s="1"/>
  <c r="B1227" i="106"/>
  <c r="D1227" i="106" s="1"/>
  <c r="J44" i="4"/>
  <c r="B7754" i="106"/>
  <c r="D7754" i="106" s="1"/>
  <c r="J330" i="29"/>
  <c r="B7125" i="106"/>
  <c r="D7125" i="106" s="1"/>
  <c r="B6373" i="106"/>
  <c r="D6373" i="106" s="1"/>
  <c r="J169" i="5"/>
  <c r="B6396" i="106" s="1"/>
  <c r="D6396" i="106" s="1"/>
  <c r="B5882" i="106"/>
  <c r="D5882" i="106" s="1"/>
  <c r="H108" i="5"/>
  <c r="B5886" i="106" s="1"/>
  <c r="D5886" i="106" s="1"/>
  <c r="K83" i="29"/>
  <c r="B2978" i="106" s="1"/>
  <c r="D2978" i="106" s="1"/>
  <c r="B2954" i="106"/>
  <c r="D2954" i="106" s="1"/>
  <c r="B5754" i="106"/>
  <c r="D5754" i="106" s="1"/>
  <c r="G145" i="5"/>
  <c r="B5756" i="106" s="1"/>
  <c r="D5756" i="106" s="1"/>
  <c r="E303" i="29"/>
  <c r="B1531" i="106"/>
  <c r="D1531" i="106" s="1"/>
  <c r="H110" i="29"/>
  <c r="K105" i="29"/>
  <c r="B1048" i="106"/>
  <c r="D1048" i="106" s="1"/>
  <c r="B6991" i="106"/>
  <c r="D6991" i="106" s="1"/>
  <c r="K90" i="29"/>
  <c r="B6992" i="106" s="1"/>
  <c r="D6992" i="106" s="1"/>
  <c r="D72" i="29"/>
  <c r="B811" i="106" s="1"/>
  <c r="D811" i="106" s="1"/>
  <c r="B804" i="106"/>
  <c r="D804" i="106" s="1"/>
  <c r="D65" i="29"/>
  <c r="B803" i="106" s="1"/>
  <c r="D803" i="106" s="1"/>
  <c r="B796" i="106"/>
  <c r="D796" i="106" s="1"/>
  <c r="B1025" i="106"/>
  <c r="D1025" i="106" s="1"/>
  <c r="H57" i="29"/>
  <c r="B1027" i="106" s="1"/>
  <c r="D1027" i="106" s="1"/>
  <c r="K49" i="29"/>
  <c r="B786" i="106"/>
  <c r="D786" i="106" s="1"/>
  <c r="D47" i="29"/>
  <c r="B789" i="106" s="1"/>
  <c r="D789" i="106" s="1"/>
  <c r="B779" i="106"/>
  <c r="D779" i="106" s="1"/>
  <c r="K22" i="29"/>
  <c r="B6880" i="106"/>
  <c r="D6880" i="106" s="1"/>
  <c r="B6859" i="106"/>
  <c r="D6859" i="106" s="1"/>
  <c r="B6851" i="106"/>
  <c r="D6851" i="106" s="1"/>
  <c r="B6844" i="106"/>
  <c r="D6844" i="106" s="1"/>
  <c r="B5088" i="106"/>
  <c r="D5088" i="106" s="1"/>
  <c r="B5067" i="106"/>
  <c r="D5067" i="106" s="1"/>
  <c r="C18" i="5"/>
  <c r="B5071" i="106" s="1"/>
  <c r="D5071" i="106" s="1"/>
  <c r="B4816" i="106"/>
  <c r="D4816" i="106" s="1"/>
  <c r="K181" i="5"/>
  <c r="B6016" i="106" s="1"/>
  <c r="D6016" i="106" s="1"/>
  <c r="B6000" i="106"/>
  <c r="D6000" i="106" s="1"/>
  <c r="K122" i="5"/>
  <c r="G44" i="4"/>
  <c r="B7752" i="106"/>
  <c r="D7752" i="106" s="1"/>
  <c r="B1439" i="106"/>
  <c r="D1439" i="106" s="1"/>
  <c r="K274" i="29"/>
  <c r="B1503" i="106" s="1"/>
  <c r="D1503" i="106" s="1"/>
  <c r="K256" i="29"/>
  <c r="B7098" i="106" s="1"/>
  <c r="D7098" i="106" s="1"/>
  <c r="B7097" i="106"/>
  <c r="D7097" i="106" s="1"/>
  <c r="B1420" i="106"/>
  <c r="D1420" i="106" s="1"/>
  <c r="K242" i="29"/>
  <c r="B1484" i="106" s="1"/>
  <c r="D1484" i="106" s="1"/>
  <c r="B1396" i="106"/>
  <c r="D1396" i="106" s="1"/>
  <c r="K225" i="29"/>
  <c r="B1460" i="106" s="1"/>
  <c r="D1460" i="106" s="1"/>
  <c r="B6700" i="106"/>
  <c r="D6700" i="106" s="1"/>
  <c r="B5722" i="106"/>
  <c r="D5722" i="106" s="1"/>
  <c r="K202" i="29"/>
  <c r="B2842" i="106" s="1"/>
  <c r="D2842" i="106" s="1"/>
  <c r="B2832" i="106"/>
  <c r="D2832" i="106" s="1"/>
  <c r="B4082" i="106"/>
  <c r="D4082" i="106" s="1"/>
  <c r="D184" i="29"/>
  <c r="B5578" i="106"/>
  <c r="D5578" i="106" s="1"/>
  <c r="F27" i="34"/>
  <c r="B5569" i="106"/>
  <c r="D5569" i="106" s="1"/>
  <c r="F21" i="34"/>
  <c r="E76" i="4"/>
  <c r="B3276" i="106" s="1"/>
  <c r="D3276" i="106" s="1"/>
  <c r="B2817" i="106"/>
  <c r="D2817" i="106" s="1"/>
  <c r="K157" i="29"/>
  <c r="H160" i="29"/>
  <c r="B7053" i="106" s="1"/>
  <c r="D7053" i="106" s="1"/>
  <c r="B7777" i="106"/>
  <c r="D7777" i="106" s="1"/>
  <c r="B2808" i="106"/>
  <c r="D2808" i="106" s="1"/>
  <c r="K145" i="29"/>
  <c r="B2811" i="106" s="1"/>
  <c r="D2811" i="106" s="1"/>
  <c r="K125" i="29"/>
  <c r="B3488" i="106" s="1"/>
  <c r="D3488" i="106" s="1"/>
  <c r="B3482" i="106"/>
  <c r="D3482" i="106" s="1"/>
  <c r="B1219" i="106"/>
  <c r="D1219" i="106" s="1"/>
  <c r="C127" i="29"/>
  <c r="B1223" i="106" s="1"/>
  <c r="D1223" i="106" s="1"/>
  <c r="B5370" i="106"/>
  <c r="D5370" i="106" s="1"/>
  <c r="D141" i="5"/>
  <c r="B5383" i="106" s="1"/>
  <c r="D5383" i="106" s="1"/>
  <c r="B7212" i="106"/>
  <c r="D7212" i="106" s="1"/>
  <c r="K339" i="29"/>
  <c r="B7213" i="106" s="1"/>
  <c r="D7213" i="106" s="1"/>
  <c r="B7124" i="106"/>
  <c r="D7124" i="106" s="1"/>
  <c r="I330" i="29"/>
  <c r="B5919" i="106"/>
  <c r="D5919" i="106" s="1"/>
  <c r="I18" i="5"/>
  <c r="B5923" i="106" s="1"/>
  <c r="D5923" i="106" s="1"/>
  <c r="B5734" i="106"/>
  <c r="D5734" i="106" s="1"/>
  <c r="G108" i="5"/>
  <c r="B5737" i="106" s="1"/>
  <c r="D5737" i="106" s="1"/>
  <c r="C34" i="3"/>
  <c r="B6125" i="106"/>
  <c r="D6125" i="106" s="1"/>
  <c r="K249" i="29"/>
  <c r="B7084" i="106" s="1"/>
  <c r="D7084" i="106" s="1"/>
  <c r="B7083" i="106"/>
  <c r="D7083" i="106" s="1"/>
  <c r="B280" i="106"/>
  <c r="D280" i="106" s="1"/>
  <c r="M41" i="3"/>
  <c r="B6131" i="106"/>
  <c r="D6131" i="106" s="1"/>
  <c r="J34" i="3"/>
  <c r="G34" i="3"/>
  <c r="B6129" i="106"/>
  <c r="D6129" i="106" s="1"/>
  <c r="B1525" i="106"/>
  <c r="D1525" i="106" s="1"/>
  <c r="D303" i="29"/>
  <c r="B5879" i="106"/>
  <c r="D5879" i="106" s="1"/>
  <c r="H41" i="4"/>
  <c r="B6289" i="106" s="1"/>
  <c r="D6289" i="106" s="1"/>
  <c r="B6250" i="106"/>
  <c r="D6250" i="106" s="1"/>
  <c r="B6243" i="106"/>
  <c r="D6243" i="106" s="1"/>
  <c r="E38" i="4"/>
  <c r="B6286" i="106" s="1"/>
  <c r="D6286" i="106" s="1"/>
  <c r="B323" i="106"/>
  <c r="D323" i="106" s="1"/>
  <c r="D68" i="36"/>
  <c r="B6989" i="106"/>
  <c r="D6989" i="106" s="1"/>
  <c r="K89" i="29"/>
  <c r="B6990" i="106" s="1"/>
  <c r="D6990" i="106" s="1"/>
  <c r="K80" i="29"/>
  <c r="B2975" i="106" s="1"/>
  <c r="D2975" i="106" s="1"/>
  <c r="B2951" i="106"/>
  <c r="D2951" i="106" s="1"/>
  <c r="B756" i="106"/>
  <c r="D756" i="106" s="1"/>
  <c r="B983" i="106"/>
  <c r="D983" i="106" s="1"/>
  <c r="B749" i="106"/>
  <c r="D749" i="106" s="1"/>
  <c r="K70" i="29"/>
  <c r="B746" i="106"/>
  <c r="D746" i="106" s="1"/>
  <c r="C72" i="29"/>
  <c r="B753" i="106" s="1"/>
  <c r="D753" i="106" s="1"/>
  <c r="B741" i="106"/>
  <c r="D741" i="106" s="1"/>
  <c r="B738" i="106"/>
  <c r="D738" i="106" s="1"/>
  <c r="C65" i="29"/>
  <c r="B745" i="106" s="1"/>
  <c r="D745" i="106" s="1"/>
  <c r="B967" i="106"/>
  <c r="D967" i="106" s="1"/>
  <c r="G57" i="29"/>
  <c r="B969" i="106" s="1"/>
  <c r="D969" i="106" s="1"/>
  <c r="B6932" i="106"/>
  <c r="D6932" i="106" s="1"/>
  <c r="B732" i="106"/>
  <c r="D732" i="106" s="1"/>
  <c r="C53" i="29"/>
  <c r="B734" i="106" s="1"/>
  <c r="D734" i="106" s="1"/>
  <c r="B728" i="106"/>
  <c r="D728" i="106" s="1"/>
  <c r="C47" i="29"/>
  <c r="B731" i="106" s="1"/>
  <c r="D731" i="106" s="1"/>
  <c r="K44" i="29"/>
  <c r="B724" i="106"/>
  <c r="D724" i="106" s="1"/>
  <c r="K39" i="29"/>
  <c r="B1112" i="106" s="1"/>
  <c r="D1112" i="106" s="1"/>
  <c r="B721" i="106"/>
  <c r="D721" i="106" s="1"/>
  <c r="K36" i="29"/>
  <c r="C42" i="29"/>
  <c r="B6878" i="106"/>
  <c r="D6878" i="106" s="1"/>
  <c r="K21" i="29"/>
  <c r="B995" i="106"/>
  <c r="D995" i="106" s="1"/>
  <c r="H33" i="29"/>
  <c r="B5163" i="106"/>
  <c r="D5163" i="106" s="1"/>
  <c r="B1451" i="106"/>
  <c r="D1451" i="106" s="1"/>
  <c r="K292" i="29"/>
  <c r="B1514" i="106" s="1"/>
  <c r="D1514" i="106" s="1"/>
  <c r="B1438" i="106"/>
  <c r="D1438" i="106" s="1"/>
  <c r="K273" i="29"/>
  <c r="B1502" i="106" s="1"/>
  <c r="D1502" i="106" s="1"/>
  <c r="K255" i="29"/>
  <c r="B7096" i="106" s="1"/>
  <c r="D7096" i="106" s="1"/>
  <c r="B7095" i="106"/>
  <c r="D7095" i="106" s="1"/>
  <c r="B1419" i="106"/>
  <c r="D1419" i="106" s="1"/>
  <c r="K241" i="29"/>
  <c r="B1483" i="106" s="1"/>
  <c r="D1483" i="106" s="1"/>
  <c r="B1409" i="106"/>
  <c r="D1409" i="106" s="1"/>
  <c r="K224" i="29"/>
  <c r="B5785" i="106"/>
  <c r="D5785" i="106" s="1"/>
  <c r="G188" i="5"/>
  <c r="K201" i="29"/>
  <c r="B2841" i="106" s="1"/>
  <c r="D2841" i="106" s="1"/>
  <c r="B2831" i="106"/>
  <c r="D2831" i="106" s="1"/>
  <c r="B2991" i="106"/>
  <c r="D2991" i="106" s="1"/>
  <c r="K190" i="29"/>
  <c r="B3009" i="106" s="1"/>
  <c r="D3009" i="106" s="1"/>
  <c r="K185" i="29"/>
  <c r="B2820" i="106"/>
  <c r="D2820" i="106" s="1"/>
  <c r="B5659" i="106"/>
  <c r="D5659" i="106" s="1"/>
  <c r="F188" i="5"/>
  <c r="B5600" i="106"/>
  <c r="D5600" i="106" s="1"/>
  <c r="F132" i="5"/>
  <c r="B5577" i="106"/>
  <c r="D5577" i="106" s="1"/>
  <c r="F26" i="34"/>
  <c r="F20" i="34"/>
  <c r="B5568" i="106"/>
  <c r="D5568" i="106" s="1"/>
  <c r="B5512" i="106"/>
  <c r="D5512" i="106" s="1"/>
  <c r="B2807" i="106"/>
  <c r="D2807" i="106" s="1"/>
  <c r="K144" i="29"/>
  <c r="B2810" i="106" s="1"/>
  <c r="D2810" i="106" s="1"/>
  <c r="B7023" i="106"/>
  <c r="D7023" i="106" s="1"/>
  <c r="B5424" i="106"/>
  <c r="D5424" i="106" s="1"/>
  <c r="D181" i="5"/>
  <c r="B5425" i="106" s="1"/>
  <c r="D5425" i="106" s="1"/>
  <c r="B5391" i="106"/>
  <c r="D5391" i="106" s="1"/>
  <c r="D155" i="5"/>
  <c r="B5394" i="106" s="1"/>
  <c r="D5394" i="106" s="1"/>
  <c r="B7210" i="106"/>
  <c r="D7210" i="106" s="1"/>
  <c r="K338" i="29"/>
  <c r="B7211" i="106" s="1"/>
  <c r="D7211" i="106" s="1"/>
  <c r="H330" i="29"/>
  <c r="B7123" i="106"/>
  <c r="D7123" i="106" s="1"/>
  <c r="B6300" i="106"/>
  <c r="D6300" i="106" s="1"/>
  <c r="B5583" i="106"/>
  <c r="D5583" i="106" s="1"/>
  <c r="F108" i="5"/>
  <c r="B5587" i="106" s="1"/>
  <c r="D5587" i="106" s="1"/>
  <c r="B6720" i="106"/>
  <c r="D6720" i="106" s="1"/>
  <c r="F145" i="34"/>
  <c r="E34" i="3"/>
  <c r="B6127" i="106"/>
  <c r="D6127" i="106" s="1"/>
  <c r="B179" i="106"/>
  <c r="D179" i="106" s="1"/>
  <c r="B7753" i="106"/>
  <c r="D7753" i="106" s="1"/>
  <c r="B1519" i="106"/>
  <c r="D1519" i="106" s="1"/>
  <c r="C303" i="29"/>
  <c r="K301" i="29"/>
  <c r="B6299" i="106"/>
  <c r="D6299" i="106" s="1"/>
  <c r="K101" i="29"/>
  <c r="B7015" i="106" s="1"/>
  <c r="D7015" i="106" s="1"/>
  <c r="B2947" i="106"/>
  <c r="D2947" i="106" s="1"/>
  <c r="B6987" i="106"/>
  <c r="D6987" i="106" s="1"/>
  <c r="K88" i="29"/>
  <c r="B6988" i="106" s="1"/>
  <c r="D6988" i="106" s="1"/>
  <c r="F57" i="29"/>
  <c r="B911" i="106" s="1"/>
  <c r="D911" i="106" s="1"/>
  <c r="B909" i="106"/>
  <c r="D909" i="106" s="1"/>
  <c r="K32" i="29"/>
  <c r="B6900" i="106"/>
  <c r="D6900" i="106" s="1"/>
  <c r="K20" i="29"/>
  <c r="B6876" i="106"/>
  <c r="D6876" i="106" s="1"/>
  <c r="K17" i="29"/>
  <c r="B6871" i="106" s="1"/>
  <c r="D6871" i="106" s="1"/>
  <c r="B7263" i="106"/>
  <c r="D7263" i="106" s="1"/>
  <c r="B718" i="106"/>
  <c r="D718" i="106" s="1"/>
  <c r="K14" i="29"/>
  <c r="B1106" i="106" s="1"/>
  <c r="D1106" i="106" s="1"/>
  <c r="K11" i="29"/>
  <c r="B7257" i="106"/>
  <c r="D7257" i="106" s="1"/>
  <c r="B3366" i="106"/>
  <c r="D3366" i="106" s="1"/>
  <c r="K8" i="29"/>
  <c r="B3380" i="106" s="1"/>
  <c r="D3380" i="106" s="1"/>
  <c r="B5315" i="106"/>
  <c r="D5315" i="106" s="1"/>
  <c r="F163" i="34"/>
  <c r="B7870" i="106" s="1"/>
  <c r="D7870" i="106" s="1"/>
  <c r="B5086" i="106"/>
  <c r="D5086" i="106" s="1"/>
  <c r="B3618" i="106"/>
  <c r="D3618" i="106" s="1"/>
  <c r="K349" i="29"/>
  <c r="B3669" i="106" s="1"/>
  <c r="D3669" i="106" s="1"/>
  <c r="B4368" i="106"/>
  <c r="D4368" i="106" s="1"/>
  <c r="K175" i="5"/>
  <c r="B2844" i="106"/>
  <c r="D2844" i="106" s="1"/>
  <c r="K291" i="29"/>
  <c r="B2846" i="106" s="1"/>
  <c r="D2846" i="106" s="1"/>
  <c r="K254" i="29"/>
  <c r="B7094" i="106" s="1"/>
  <c r="D7094" i="106" s="1"/>
  <c r="B7093" i="106"/>
  <c r="D7093" i="106" s="1"/>
  <c r="D243" i="29"/>
  <c r="B1421" i="106" s="1"/>
  <c r="D1421" i="106" s="1"/>
  <c r="K240" i="29"/>
  <c r="B1418" i="106"/>
  <c r="D1418" i="106" s="1"/>
  <c r="B1408" i="106"/>
  <c r="D1408" i="106" s="1"/>
  <c r="K223" i="29"/>
  <c r="B1472" i="106" s="1"/>
  <c r="D1472" i="106" s="1"/>
  <c r="B5844" i="106"/>
  <c r="D5844" i="106" s="1"/>
  <c r="G221" i="5"/>
  <c r="B5847" i="106" s="1"/>
  <c r="D5847" i="106" s="1"/>
  <c r="B6380" i="106"/>
  <c r="D6380" i="106" s="1"/>
  <c r="G155" i="5"/>
  <c r="B4357" i="106" s="1"/>
  <c r="D4357" i="106" s="1"/>
  <c r="B5749" i="106"/>
  <c r="D5749" i="106" s="1"/>
  <c r="G141" i="5"/>
  <c r="B1372" i="106"/>
  <c r="D1372" i="106" s="1"/>
  <c r="K200" i="29"/>
  <c r="B1384" i="106" s="1"/>
  <c r="D1384" i="106" s="1"/>
  <c r="B6617" i="106"/>
  <c r="D6617" i="106" s="1"/>
  <c r="F252" i="5"/>
  <c r="B6836" i="106" s="1"/>
  <c r="D6836" i="106" s="1"/>
  <c r="B5576" i="106"/>
  <c r="D5576" i="106" s="1"/>
  <c r="F25" i="34"/>
  <c r="F19" i="34"/>
  <c r="B5567" i="106"/>
  <c r="D5567" i="106" s="1"/>
  <c r="B5556" i="106"/>
  <c r="D5556" i="106" s="1"/>
  <c r="B7750" i="106"/>
  <c r="D7750" i="106" s="1"/>
  <c r="B1269" i="106"/>
  <c r="D1269" i="106" s="1"/>
  <c r="K143" i="29"/>
  <c r="B1284" i="106" s="1"/>
  <c r="D1284" i="106" s="1"/>
  <c r="K128" i="29"/>
  <c r="B1280" i="106" s="1"/>
  <c r="D1280" i="106" s="1"/>
  <c r="B1224" i="106"/>
  <c r="D1224" i="106" s="1"/>
  <c r="B1236" i="106"/>
  <c r="D1236" i="106" s="1"/>
  <c r="B7022" i="106"/>
  <c r="D7022" i="106" s="1"/>
  <c r="B5440" i="106"/>
  <c r="D5440" i="106" s="1"/>
  <c r="D209" i="5"/>
  <c r="B4412" i="106" s="1"/>
  <c r="D4412" i="106" s="1"/>
  <c r="B4313" i="106"/>
  <c r="D4313" i="106" s="1"/>
  <c r="F30" i="34"/>
  <c r="B7823" i="106" s="1"/>
  <c r="B5368" i="106"/>
  <c r="D5368" i="106" s="1"/>
  <c r="D132" i="5"/>
  <c r="B5343" i="106"/>
  <c r="D5343" i="106" s="1"/>
  <c r="B7208" i="106"/>
  <c r="D7208" i="106" s="1"/>
  <c r="K337" i="29"/>
  <c r="H340" i="29"/>
  <c r="B7214" i="106" s="1"/>
  <c r="D7214" i="106" s="1"/>
  <c r="B7190" i="106"/>
  <c r="D7190" i="106" s="1"/>
  <c r="K327" i="29"/>
  <c r="B7163" i="106"/>
  <c r="D7163" i="106" s="1"/>
  <c r="K324" i="29"/>
  <c r="K321" i="29"/>
  <c r="B7136" i="106"/>
  <c r="D7136" i="106" s="1"/>
  <c r="B7122" i="106"/>
  <c r="D7122" i="106" s="1"/>
  <c r="G330" i="29"/>
  <c r="I44" i="4"/>
  <c r="B2772" i="106"/>
  <c r="D2772" i="106" s="1"/>
  <c r="B5522" i="106"/>
  <c r="D5522" i="106" s="1"/>
  <c r="E108" i="5"/>
  <c r="B5526" i="106" s="1"/>
  <c r="D5526" i="106" s="1"/>
  <c r="B5459" i="106"/>
  <c r="D5459" i="106" s="1"/>
  <c r="F32" i="34"/>
  <c r="B7825" i="106" s="1"/>
  <c r="D7825" i="106" s="1"/>
  <c r="K265" i="29"/>
  <c r="B1494" i="106" s="1"/>
  <c r="D1494" i="106" s="1"/>
  <c r="B1430" i="106"/>
  <c r="D1430" i="106" s="1"/>
  <c r="L243" i="29"/>
  <c r="L149" i="29"/>
  <c r="L147" i="29"/>
  <c r="L340" i="29"/>
  <c r="H34" i="3"/>
  <c r="B6130" i="106"/>
  <c r="D6130" i="106" s="1"/>
  <c r="B6219" i="106"/>
  <c r="D6219" i="106" s="1"/>
  <c r="B6117" i="106"/>
  <c r="D6117" i="106" s="1"/>
  <c r="B5012" i="106"/>
  <c r="D5012" i="106" s="1"/>
  <c r="D71" i="36"/>
  <c r="B6985" i="106"/>
  <c r="D6985" i="106" s="1"/>
  <c r="K87" i="29"/>
  <c r="B6986" i="106" s="1"/>
  <c r="D6986" i="106" s="1"/>
  <c r="K79" i="29"/>
  <c r="B2974" i="106" s="1"/>
  <c r="D2974" i="106" s="1"/>
  <c r="B2950" i="106"/>
  <c r="D2950" i="106" s="1"/>
  <c r="B851" i="106"/>
  <c r="D851" i="106" s="1"/>
  <c r="E57" i="29"/>
  <c r="B853" i="106" s="1"/>
  <c r="D853" i="106" s="1"/>
  <c r="K31" i="29"/>
  <c r="B6898" i="106"/>
  <c r="D6898" i="106" s="1"/>
  <c r="B879" i="106"/>
  <c r="D879" i="106" s="1"/>
  <c r="F33" i="29"/>
  <c r="B6753" i="106"/>
  <c r="D6753" i="106" s="1"/>
  <c r="F148" i="34"/>
  <c r="B6666" i="106"/>
  <c r="D6666" i="106" s="1"/>
  <c r="F140" i="34"/>
  <c r="B7227" i="106"/>
  <c r="D7227" i="106" s="1"/>
  <c r="J350" i="29"/>
  <c r="B5993" i="106"/>
  <c r="D5993" i="106" s="1"/>
  <c r="B2843" i="106"/>
  <c r="D2843" i="106" s="1"/>
  <c r="K290" i="29"/>
  <c r="B2845" i="106" s="1"/>
  <c r="D2845" i="106" s="1"/>
  <c r="B1434" i="106"/>
  <c r="D1434" i="106" s="1"/>
  <c r="K269" i="29"/>
  <c r="B1498" i="106" s="1"/>
  <c r="D1498" i="106" s="1"/>
  <c r="K253" i="29"/>
  <c r="B7092" i="106" s="1"/>
  <c r="D7092" i="106" s="1"/>
  <c r="B7091" i="106"/>
  <c r="D7091" i="106" s="1"/>
  <c r="K237" i="29"/>
  <c r="B1480" i="106" s="1"/>
  <c r="D1480" i="106" s="1"/>
  <c r="B1416" i="106"/>
  <c r="D1416" i="106" s="1"/>
  <c r="B1407" i="106"/>
  <c r="D1407" i="106" s="1"/>
  <c r="K222" i="29"/>
  <c r="B1471" i="106" s="1"/>
  <c r="D1471" i="106" s="1"/>
  <c r="B4810" i="106"/>
  <c r="D4810" i="106" s="1"/>
  <c r="G181" i="5"/>
  <c r="B5784" i="106" s="1"/>
  <c r="D5784" i="106" s="1"/>
  <c r="B5726" i="106"/>
  <c r="D5726" i="106" s="1"/>
  <c r="G18" i="5"/>
  <c r="B5730" i="106" s="1"/>
  <c r="D5730" i="106" s="1"/>
  <c r="B1371" i="106"/>
  <c r="D1371" i="106" s="1"/>
  <c r="H204" i="29"/>
  <c r="K199" i="29"/>
  <c r="B2990" i="106"/>
  <c r="D2990" i="106" s="1"/>
  <c r="K189" i="29"/>
  <c r="B3008" i="106" s="1"/>
  <c r="D3008" i="106" s="1"/>
  <c r="B4338" i="106"/>
  <c r="D4338" i="106" s="1"/>
  <c r="B4804" i="106"/>
  <c r="D4804" i="106" s="1"/>
  <c r="F181" i="5"/>
  <c r="B5658" i="106" s="1"/>
  <c r="D5658" i="106" s="1"/>
  <c r="B7764" i="106"/>
  <c r="D7764" i="106" s="1"/>
  <c r="F94" i="34"/>
  <c r="B5528" i="106"/>
  <c r="D5528" i="106" s="1"/>
  <c r="E122" i="5"/>
  <c r="B1268" i="106"/>
  <c r="D1268" i="106" s="1"/>
  <c r="H147" i="29"/>
  <c r="K142" i="29"/>
  <c r="B4079" i="106"/>
  <c r="D4079" i="106" s="1"/>
  <c r="B5422" i="106"/>
  <c r="D5422" i="106" s="1"/>
  <c r="D175" i="5"/>
  <c r="F29" i="34"/>
  <c r="B7881" i="106" s="1"/>
  <c r="D7881" i="106" s="1"/>
  <c r="B5387" i="106"/>
  <c r="D5387" i="106" s="1"/>
  <c r="J76" i="4"/>
  <c r="B6261" i="106" s="1"/>
  <c r="D6261" i="106" s="1"/>
  <c r="B6239" i="106"/>
  <c r="D6239" i="106" s="1"/>
  <c r="F330" i="29"/>
  <c r="B7121" i="106"/>
  <c r="D7121" i="106" s="1"/>
  <c r="B6353" i="106"/>
  <c r="D6353" i="106" s="1"/>
  <c r="J122" i="5"/>
  <c r="F160" i="34"/>
  <c r="B7867" i="106" s="1"/>
  <c r="D7867" i="106" s="1"/>
  <c r="B7765" i="106"/>
  <c r="D7765" i="106" s="1"/>
  <c r="C76" i="4"/>
  <c r="B3231" i="106" s="1"/>
  <c r="D3231" i="106" s="1"/>
  <c r="B5022" i="106"/>
  <c r="D5022" i="106" s="1"/>
  <c r="B3638" i="106"/>
  <c r="D3638" i="106" s="1"/>
  <c r="F350" i="29"/>
  <c r="L204" i="29"/>
  <c r="L208" i="29" s="1"/>
  <c r="L110" i="29"/>
  <c r="L112" i="29" s="1"/>
  <c r="B2848" i="106"/>
  <c r="D2848" i="106" s="1"/>
  <c r="K309" i="29"/>
  <c r="B3717" i="106" s="1"/>
  <c r="D3717" i="106" s="1"/>
  <c r="B7112" i="106"/>
  <c r="D7112" i="106" s="1"/>
  <c r="I48" i="4"/>
  <c r="B2106" i="106" s="1"/>
  <c r="D2106" i="106" s="1"/>
  <c r="B321" i="106"/>
  <c r="D321" i="106" s="1"/>
  <c r="K99" i="29"/>
  <c r="B7010" i="106" s="1"/>
  <c r="D7010" i="106" s="1"/>
  <c r="E100" i="29"/>
  <c r="B7011" i="106" s="1"/>
  <c r="D7011" i="106" s="1"/>
  <c r="B7008" i="106"/>
  <c r="D7008" i="106" s="1"/>
  <c r="B6983" i="106"/>
  <c r="D6983" i="106" s="1"/>
  <c r="K86" i="29"/>
  <c r="B6984" i="106" s="1"/>
  <c r="D6984" i="106" s="1"/>
  <c r="B2955" i="106"/>
  <c r="D2955" i="106" s="1"/>
  <c r="H84" i="29"/>
  <c r="B1033" i="106"/>
  <c r="D1033" i="106" s="1"/>
  <c r="B1030" i="106"/>
  <c r="D1030" i="106" s="1"/>
  <c r="B793" i="106"/>
  <c r="D793" i="106" s="1"/>
  <c r="B6896" i="106"/>
  <c r="D6896" i="106" s="1"/>
  <c r="K30" i="29"/>
  <c r="B6867" i="106"/>
  <c r="D6867" i="106" s="1"/>
  <c r="B7253" i="106"/>
  <c r="D7253" i="106" s="1"/>
  <c r="B821" i="106"/>
  <c r="D821" i="106" s="1"/>
  <c r="B7226" i="106"/>
  <c r="D7226" i="106" s="1"/>
  <c r="I350" i="29"/>
  <c r="B1450" i="106"/>
  <c r="D1450" i="106" s="1"/>
  <c r="K289" i="29"/>
  <c r="B1513" i="106" s="1"/>
  <c r="D1513" i="106" s="1"/>
  <c r="B1433" i="106"/>
  <c r="D1433" i="106" s="1"/>
  <c r="K268" i="29"/>
  <c r="B1497" i="106" s="1"/>
  <c r="D1497" i="106" s="1"/>
  <c r="K252" i="29"/>
  <c r="B7090" i="106" s="1"/>
  <c r="D7090" i="106" s="1"/>
  <c r="B7089" i="106"/>
  <c r="D7089" i="106" s="1"/>
  <c r="K236" i="29"/>
  <c r="B1479" i="106" s="1"/>
  <c r="D1479" i="106" s="1"/>
  <c r="B1415" i="106"/>
  <c r="D1415" i="106" s="1"/>
  <c r="K221" i="29"/>
  <c r="B1406" i="106"/>
  <c r="D1406" i="106" s="1"/>
  <c r="B2995" i="106"/>
  <c r="D2995" i="106" s="1"/>
  <c r="H194" i="29"/>
  <c r="B1369" i="106"/>
  <c r="D1369" i="106" s="1"/>
  <c r="B5615" i="106"/>
  <c r="D5615" i="106" s="1"/>
  <c r="F155" i="5"/>
  <c r="B5618" i="106" s="1"/>
  <c r="D5618" i="106" s="1"/>
  <c r="B5575" i="106"/>
  <c r="D5575" i="106" s="1"/>
  <c r="F93" i="34"/>
  <c r="B5566" i="106"/>
  <c r="D5566" i="106" s="1"/>
  <c r="F87" i="34"/>
  <c r="K171" i="29"/>
  <c r="B1330" i="106" s="1"/>
  <c r="D1330" i="106" s="1"/>
  <c r="E172" i="29"/>
  <c r="B1307" i="106"/>
  <c r="D1307" i="106" s="1"/>
  <c r="B6714" i="106"/>
  <c r="D6714" i="106" s="1"/>
  <c r="E252" i="5"/>
  <c r="K52" i="4"/>
  <c r="B3698" i="106"/>
  <c r="D3698" i="106" s="1"/>
  <c r="B2092" i="106"/>
  <c r="D2092" i="106" s="1"/>
  <c r="K138" i="29"/>
  <c r="B2094" i="106" s="1"/>
  <c r="D2094" i="106" s="1"/>
  <c r="K126" i="29"/>
  <c r="B1277" i="106" s="1"/>
  <c r="D1277" i="106" s="1"/>
  <c r="B1254" i="106"/>
  <c r="D1254" i="106" s="1"/>
  <c r="B1220" i="106"/>
  <c r="D1220" i="106" s="1"/>
  <c r="B4078" i="106"/>
  <c r="D4078" i="106" s="1"/>
  <c r="B5340" i="106"/>
  <c r="D5340" i="106" s="1"/>
  <c r="E330" i="29"/>
  <c r="B7120" i="106"/>
  <c r="D7120" i="106" s="1"/>
  <c r="B7100" i="106"/>
  <c r="D7100" i="106" s="1"/>
  <c r="J303" i="29"/>
  <c r="I65" i="29"/>
  <c r="B6961" i="106" s="1"/>
  <c r="D6961" i="106" s="1"/>
  <c r="B6950" i="106"/>
  <c r="D6950" i="106" s="1"/>
  <c r="L277" i="29"/>
  <c r="B5874" i="106"/>
  <c r="D5874" i="106" s="1"/>
  <c r="H18" i="5"/>
  <c r="B5878" i="106" s="1"/>
  <c r="D5878" i="106" s="1"/>
  <c r="E40" i="4"/>
  <c r="B6288" i="106" s="1"/>
  <c r="D6288" i="106" s="1"/>
  <c r="B6248" i="106"/>
  <c r="D6248" i="106" s="1"/>
  <c r="B6240" i="106"/>
  <c r="D6240" i="106" s="1"/>
  <c r="H19" i="118"/>
  <c r="H14" i="118"/>
  <c r="E37" i="4"/>
  <c r="B6285" i="106" s="1"/>
  <c r="D6285" i="106" s="1"/>
  <c r="I47" i="4"/>
  <c r="B7748" i="106"/>
  <c r="D7748" i="106" s="1"/>
  <c r="K98" i="29"/>
  <c r="B7007" i="106" s="1"/>
  <c r="D7007" i="106" s="1"/>
  <c r="B7006" i="106"/>
  <c r="D7006" i="106" s="1"/>
  <c r="H92" i="29"/>
  <c r="K85" i="29"/>
  <c r="B6982" i="106" s="1"/>
  <c r="D6982" i="106" s="1"/>
  <c r="B6981" i="106"/>
  <c r="D6981" i="106" s="1"/>
  <c r="K78" i="29"/>
  <c r="E84" i="29"/>
  <c r="B2949" i="106"/>
  <c r="D2949" i="106" s="1"/>
  <c r="B751" i="106"/>
  <c r="D751" i="106" s="1"/>
  <c r="B747" i="106"/>
  <c r="D747" i="106" s="1"/>
  <c r="K68" i="29"/>
  <c r="K63" i="29"/>
  <c r="B742" i="106"/>
  <c r="D742" i="106" s="1"/>
  <c r="K60" i="29"/>
  <c r="B739" i="106"/>
  <c r="D739" i="106" s="1"/>
  <c r="B735" i="106"/>
  <c r="D735" i="106" s="1"/>
  <c r="C57" i="29"/>
  <c r="B737" i="106" s="1"/>
  <c r="D737" i="106" s="1"/>
  <c r="K55" i="29"/>
  <c r="K50" i="29"/>
  <c r="B733" i="106"/>
  <c r="D733" i="106" s="1"/>
  <c r="B729" i="106"/>
  <c r="D729" i="106" s="1"/>
  <c r="K45" i="29"/>
  <c r="B1117" i="106" s="1"/>
  <c r="D1117" i="106" s="1"/>
  <c r="B725" i="106"/>
  <c r="D725" i="106" s="1"/>
  <c r="K40" i="29"/>
  <c r="B1113" i="106" s="1"/>
  <c r="D1113" i="106" s="1"/>
  <c r="B722" i="106"/>
  <c r="D722" i="106" s="1"/>
  <c r="K37" i="29"/>
  <c r="B1110" i="106" s="1"/>
  <c r="D1110" i="106" s="1"/>
  <c r="B6894" i="106"/>
  <c r="D6894" i="106" s="1"/>
  <c r="K29" i="29"/>
  <c r="B7252" i="106"/>
  <c r="D7252" i="106" s="1"/>
  <c r="B763" i="106"/>
  <c r="D763" i="106" s="1"/>
  <c r="B7761" i="106"/>
  <c r="D7761" i="106" s="1"/>
  <c r="F159" i="34"/>
  <c r="B6650" i="106"/>
  <c r="D6650" i="106" s="1"/>
  <c r="F138" i="34"/>
  <c r="B3652" i="106"/>
  <c r="D3652" i="106" s="1"/>
  <c r="H350" i="29"/>
  <c r="B1449" i="106"/>
  <c r="D1449" i="106" s="1"/>
  <c r="K288" i="29"/>
  <c r="H293" i="29"/>
  <c r="B1432" i="106"/>
  <c r="D1432" i="106" s="1"/>
  <c r="K267" i="29"/>
  <c r="B1496" i="106" s="1"/>
  <c r="D1496" i="106" s="1"/>
  <c r="K251" i="29"/>
  <c r="B7088" i="106" s="1"/>
  <c r="D7088" i="106" s="1"/>
  <c r="B7087" i="106"/>
  <c r="D7087" i="106" s="1"/>
  <c r="K235" i="29"/>
  <c r="B1478" i="106" s="1"/>
  <c r="D1478" i="106" s="1"/>
  <c r="B1414" i="106"/>
  <c r="D1414" i="106" s="1"/>
  <c r="K220" i="29"/>
  <c r="B7077" i="106"/>
  <c r="D7077" i="106" s="1"/>
  <c r="B5799" i="106"/>
  <c r="D5799" i="106" s="1"/>
  <c r="G209" i="5"/>
  <c r="B4414" i="106" s="1"/>
  <c r="D4414" i="106" s="1"/>
  <c r="B5779" i="106"/>
  <c r="D5779" i="106" s="1"/>
  <c r="G175" i="5"/>
  <c r="B2824" i="106"/>
  <c r="D2824" i="106" s="1"/>
  <c r="K195" i="29"/>
  <c r="B2839" i="106" s="1"/>
  <c r="D2839" i="106" s="1"/>
  <c r="E194" i="29"/>
  <c r="B2989" i="106"/>
  <c r="D2989" i="106" s="1"/>
  <c r="K188" i="29"/>
  <c r="B1335" i="106"/>
  <c r="D1335" i="106" s="1"/>
  <c r="B5673" i="106"/>
  <c r="D5673" i="106" s="1"/>
  <c r="B5654" i="106"/>
  <c r="D5654" i="106" s="1"/>
  <c r="F175" i="5"/>
  <c r="B5593" i="106"/>
  <c r="D5593" i="106" s="1"/>
  <c r="F122" i="5"/>
  <c r="B5574" i="106"/>
  <c r="D5574" i="106" s="1"/>
  <c r="F24" i="34"/>
  <c r="B5565" i="106"/>
  <c r="D5565" i="106" s="1"/>
  <c r="F86" i="34"/>
  <c r="B5555" i="106"/>
  <c r="D5555" i="106" s="1"/>
  <c r="B1315" i="106"/>
  <c r="D1315" i="106" s="1"/>
  <c r="K170" i="29"/>
  <c r="D69" i="36"/>
  <c r="H51" i="4"/>
  <c r="B3170" i="106" s="1"/>
  <c r="D3170" i="106" s="1"/>
  <c r="B3161" i="106"/>
  <c r="D3161" i="106" s="1"/>
  <c r="B7025" i="106"/>
  <c r="D7025" i="106" s="1"/>
  <c r="J127" i="29"/>
  <c r="B7034" i="106" s="1"/>
  <c r="D7034" i="106" s="1"/>
  <c r="B4077" i="106"/>
  <c r="D4077" i="106" s="1"/>
  <c r="B4329" i="106"/>
  <c r="D4329" i="106" s="1"/>
  <c r="F121" i="34"/>
  <c r="B5331" i="106"/>
  <c r="D5331" i="106" s="1"/>
  <c r="D330" i="29"/>
  <c r="B7119" i="106"/>
  <c r="D7119" i="106" s="1"/>
  <c r="B4215" i="106"/>
  <c r="D4215" i="106" s="1"/>
  <c r="I169" i="5"/>
  <c r="B5349" i="106"/>
  <c r="D5349" i="106" s="1"/>
  <c r="D108" i="5"/>
  <c r="B5355" i="106" s="1"/>
  <c r="D5355" i="106" s="1"/>
  <c r="B5279" i="106"/>
  <c r="D5279" i="106" s="1"/>
  <c r="F130" i="34"/>
  <c r="B7862" i="106" s="1"/>
  <c r="D7862" i="106" s="1"/>
  <c r="K96" i="29"/>
  <c r="B7003" i="106" s="1"/>
  <c r="D7003" i="106" s="1"/>
  <c r="B7002" i="106"/>
  <c r="D7002" i="106" s="1"/>
  <c r="I42" i="29"/>
  <c r="B6904" i="106"/>
  <c r="D6904" i="106" s="1"/>
  <c r="K18" i="5"/>
  <c r="B5992" i="106" s="1"/>
  <c r="D5992" i="106" s="1"/>
  <c r="B5988" i="106"/>
  <c r="D5988" i="106" s="1"/>
  <c r="B2994" i="106"/>
  <c r="D2994" i="106" s="1"/>
  <c r="K193" i="29"/>
  <c r="B3012" i="106" s="1"/>
  <c r="D3012" i="106" s="1"/>
  <c r="L257" i="29"/>
  <c r="K308" i="29"/>
  <c r="B4100" i="106" s="1"/>
  <c r="D4100" i="106" s="1"/>
  <c r="B7110" i="106"/>
  <c r="D7110" i="106" s="1"/>
  <c r="B1522" i="106"/>
  <c r="D1522" i="106" s="1"/>
  <c r="K302" i="29"/>
  <c r="B1558" i="106" s="1"/>
  <c r="D1558" i="106" s="1"/>
  <c r="B6619" i="106"/>
  <c r="D6619" i="106" s="1"/>
  <c r="H252" i="5"/>
  <c r="H169" i="5"/>
  <c r="B5899" i="106" s="1"/>
  <c r="D5899" i="106" s="1"/>
  <c r="B6371" i="106"/>
  <c r="D6371" i="106" s="1"/>
  <c r="K97" i="29"/>
  <c r="B7005" i="106" s="1"/>
  <c r="D7005" i="106" s="1"/>
  <c r="B7004" i="106"/>
  <c r="D7004" i="106" s="1"/>
  <c r="J72" i="29"/>
  <c r="B6974" i="106" s="1"/>
  <c r="D6974" i="106" s="1"/>
  <c r="B6964" i="106"/>
  <c r="D6964" i="106" s="1"/>
  <c r="B6951" i="106"/>
  <c r="D6951" i="106" s="1"/>
  <c r="J65" i="29"/>
  <c r="B6962" i="106" s="1"/>
  <c r="D6962" i="106" s="1"/>
  <c r="B6927" i="106"/>
  <c r="D6927" i="106" s="1"/>
  <c r="J53" i="29"/>
  <c r="B6943" i="106" s="1"/>
  <c r="D6943" i="106" s="1"/>
  <c r="B6919" i="106"/>
  <c r="D6919" i="106" s="1"/>
  <c r="J47" i="29"/>
  <c r="B6925" i="106" s="1"/>
  <c r="D6925" i="106" s="1"/>
  <c r="J42" i="29"/>
  <c r="B6905" i="106"/>
  <c r="D6905" i="106" s="1"/>
  <c r="B6892" i="106"/>
  <c r="D6892" i="106" s="1"/>
  <c r="K28" i="29"/>
  <c r="K18" i="29"/>
  <c r="B1100" i="106" s="1"/>
  <c r="D1100" i="106" s="1"/>
  <c r="B712" i="106"/>
  <c r="D712" i="106" s="1"/>
  <c r="B719" i="106"/>
  <c r="D719" i="106" s="1"/>
  <c r="K15" i="29"/>
  <c r="B716" i="106"/>
  <c r="D716" i="106" s="1"/>
  <c r="B7251" i="106"/>
  <c r="D7251" i="106" s="1"/>
  <c r="B705" i="106"/>
  <c r="D705" i="106" s="1"/>
  <c r="C33" i="29"/>
  <c r="B5083" i="106"/>
  <c r="D5083" i="106" s="1"/>
  <c r="K44" i="4"/>
  <c r="B7755" i="106"/>
  <c r="D7755" i="106" s="1"/>
  <c r="B3620" i="106"/>
  <c r="D3620" i="106" s="1"/>
  <c r="K351" i="29"/>
  <c r="B3671" i="106" s="1"/>
  <c r="D3671" i="106" s="1"/>
  <c r="B3645" i="106"/>
  <c r="D3645" i="106" s="1"/>
  <c r="G350" i="29"/>
  <c r="B3259" i="106"/>
  <c r="D3259" i="106" s="1"/>
  <c r="G76" i="4"/>
  <c r="B3260" i="106" s="1"/>
  <c r="D3260" i="106" s="1"/>
  <c r="K284" i="29"/>
  <c r="B4166" i="106" s="1"/>
  <c r="D4166" i="106" s="1"/>
  <c r="B4165" i="106"/>
  <c r="D4165" i="106" s="1"/>
  <c r="B1431" i="106"/>
  <c r="D1431" i="106" s="1"/>
  <c r="K266" i="29"/>
  <c r="B1495" i="106" s="1"/>
  <c r="D1495" i="106" s="1"/>
  <c r="K250" i="29"/>
  <c r="B7086" i="106" s="1"/>
  <c r="D7086" i="106" s="1"/>
  <c r="B7085" i="106"/>
  <c r="D7085" i="106" s="1"/>
  <c r="K234" i="29"/>
  <c r="B1477" i="106" s="1"/>
  <c r="D1477" i="106" s="1"/>
  <c r="B1413" i="106"/>
  <c r="D1413" i="106" s="1"/>
  <c r="B3064" i="106"/>
  <c r="D3064" i="106" s="1"/>
  <c r="K219" i="29"/>
  <c r="B3065" i="106" s="1"/>
  <c r="D3065" i="106" s="1"/>
  <c r="B5742" i="106"/>
  <c r="D5742" i="106" s="1"/>
  <c r="G122" i="5"/>
  <c r="B5748" i="106" s="1"/>
  <c r="D5748" i="106" s="1"/>
  <c r="B5724" i="106"/>
  <c r="D5724" i="106" s="1"/>
  <c r="B7058" i="106"/>
  <c r="D7058" i="106" s="1"/>
  <c r="J184" i="29"/>
  <c r="B4795" i="106"/>
  <c r="D4795" i="106" s="1"/>
  <c r="B5573" i="106"/>
  <c r="D5573" i="106" s="1"/>
  <c r="F92" i="34"/>
  <c r="B5564" i="106"/>
  <c r="D5564" i="106" s="1"/>
  <c r="F18" i="34"/>
  <c r="B1312" i="106"/>
  <c r="D1312" i="106" s="1"/>
  <c r="K169" i="29"/>
  <c r="B1326" i="106" s="1"/>
  <c r="D1326" i="106" s="1"/>
  <c r="B4364" i="106"/>
  <c r="D4364" i="106" s="1"/>
  <c r="E175" i="5"/>
  <c r="B4201" i="106"/>
  <c r="D4201" i="106" s="1"/>
  <c r="K136" i="29"/>
  <c r="B2988" i="106" s="1"/>
  <c r="D2988" i="106" s="1"/>
  <c r="B2797" i="106"/>
  <c r="D2797" i="106" s="1"/>
  <c r="K130" i="29"/>
  <c r="B7024" i="106"/>
  <c r="D7024" i="106" s="1"/>
  <c r="I127" i="29"/>
  <c r="B7033" i="106" s="1"/>
  <c r="D7033" i="106" s="1"/>
  <c r="B4076" i="106"/>
  <c r="D4076" i="106" s="1"/>
  <c r="B5431" i="106"/>
  <c r="D5431" i="106" s="1"/>
  <c r="D204" i="5"/>
  <c r="B5444" i="106" s="1"/>
  <c r="D5444" i="106" s="1"/>
  <c r="B5361" i="106"/>
  <c r="D5361" i="106" s="1"/>
  <c r="D122" i="5"/>
  <c r="K328" i="29"/>
  <c r="B7688" i="106"/>
  <c r="D7688" i="106" s="1"/>
  <c r="K325" i="29"/>
  <c r="B7172" i="106"/>
  <c r="D7172" i="106" s="1"/>
  <c r="K322" i="29"/>
  <c r="B7145" i="106"/>
  <c r="D7145" i="106" s="1"/>
  <c r="C330" i="29"/>
  <c r="B7118" i="106"/>
  <c r="D7118" i="106" s="1"/>
  <c r="K319" i="29"/>
  <c r="B6316" i="106"/>
  <c r="D6316" i="106" s="1"/>
  <c r="B5458" i="106"/>
  <c r="D5458" i="106" s="1"/>
  <c r="F31" i="34"/>
  <c r="B7824" i="106" s="1"/>
  <c r="D217" i="5"/>
  <c r="B5470" i="106" s="1"/>
  <c r="D5470" i="106" s="1"/>
  <c r="B5581" i="106"/>
  <c r="D5581" i="106" s="1"/>
  <c r="B5520" i="106"/>
  <c r="D5520" i="106" s="1"/>
  <c r="B6317" i="106"/>
  <c r="D6317" i="106" s="1"/>
  <c r="B5994" i="106"/>
  <c r="D5994" i="106" s="1"/>
  <c r="B5925" i="106"/>
  <c r="D5925" i="106" s="1"/>
  <c r="B5880" i="106"/>
  <c r="D588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C44" i="4"/>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D42" i="36" l="1"/>
  <c r="B3546" i="106"/>
  <c r="D3546" i="106" s="1"/>
  <c r="K41" i="29"/>
  <c r="B1114" i="106" s="1"/>
  <c r="D1114" i="106" s="1"/>
  <c r="D42" i="29"/>
  <c r="B785" i="106" s="1"/>
  <c r="D785" i="106" s="1"/>
  <c r="K52" i="29"/>
  <c r="B6940" i="106" s="1"/>
  <c r="D6940" i="106" s="1"/>
  <c r="L172" i="29"/>
  <c r="L174" i="29" s="1"/>
  <c r="K12" i="29"/>
  <c r="B1104" i="106" s="1"/>
  <c r="D1104" i="106" s="1"/>
  <c r="B6" i="7"/>
  <c r="D6" i="7" s="1"/>
  <c r="B1762" i="106" s="1"/>
  <c r="D1762" i="106" s="1"/>
  <c r="B5" i="7"/>
  <c r="D5" i="7" s="1"/>
  <c r="B1761" i="106" s="1"/>
  <c r="D1761" i="106" s="1"/>
  <c r="F129" i="29"/>
  <c r="F151" i="29" s="1"/>
  <c r="B1250" i="106" s="1"/>
  <c r="D1250" i="106" s="1"/>
  <c r="K56" i="29"/>
  <c r="E14" i="184" s="1"/>
  <c r="H14" i="184" s="1"/>
  <c r="G114" i="5"/>
  <c r="G5" i="4" s="1"/>
  <c r="B3409" i="106" s="1"/>
  <c r="D3409" i="106" s="1"/>
  <c r="D57" i="29"/>
  <c r="B795" i="106" s="1"/>
  <c r="D795" i="106" s="1"/>
  <c r="F209" i="5"/>
  <c r="B4413" i="106" s="1"/>
  <c r="D4413" i="106" s="1"/>
  <c r="D82" i="5"/>
  <c r="B5348" i="106" s="1"/>
  <c r="D5348" i="106" s="1"/>
  <c r="L72" i="29"/>
  <c r="K62" i="29"/>
  <c r="B1129" i="106" s="1"/>
  <c r="D1129" i="106" s="1"/>
  <c r="B4" i="7"/>
  <c r="B1744" i="106" s="1"/>
  <c r="D1744" i="106" s="1"/>
  <c r="L47" i="29"/>
  <c r="D36" i="36"/>
  <c r="J12" i="5"/>
  <c r="B6301" i="106" s="1"/>
  <c r="D6301" i="106" s="1"/>
  <c r="B3417" i="106"/>
  <c r="D3417" i="106" s="1"/>
  <c r="B6298" i="106"/>
  <c r="D6298" i="106" s="1"/>
  <c r="C12" i="5"/>
  <c r="B5066" i="106" s="1"/>
  <c r="D5066" i="106" s="1"/>
  <c r="L42" i="29"/>
  <c r="L84" i="29"/>
  <c r="L102" i="29" s="1"/>
  <c r="K75" i="29"/>
  <c r="E39" i="108" s="1"/>
  <c r="D37" i="36"/>
  <c r="L53" i="29"/>
  <c r="J129" i="29"/>
  <c r="B7038" i="106" s="1"/>
  <c r="D7038" i="106" s="1"/>
  <c r="L65" i="29"/>
  <c r="K9" i="29"/>
  <c r="F35" i="34" s="1"/>
  <c r="B7827" i="106" s="1"/>
  <c r="D7827" i="106" s="1"/>
  <c r="D33" i="29"/>
  <c r="B778" i="106" s="1"/>
  <c r="D778" i="106" s="1"/>
  <c r="K71" i="29"/>
  <c r="B1139" i="106" s="1"/>
  <c r="D1139" i="106" s="1"/>
  <c r="H129" i="29"/>
  <c r="B1266" i="106" s="1"/>
  <c r="D1266" i="106" s="1"/>
  <c r="L303" i="29"/>
  <c r="L229" i="29"/>
  <c r="G184" i="29"/>
  <c r="B1364" i="106" s="1"/>
  <c r="D1364" i="106" s="1"/>
  <c r="G129" i="29"/>
  <c r="G151" i="29" s="1"/>
  <c r="L194" i="29"/>
  <c r="L196" i="29" s="1"/>
  <c r="G53" i="29"/>
  <c r="B966" i="106" s="1"/>
  <c r="D966" i="106" s="1"/>
  <c r="E33" i="29"/>
  <c r="B836" i="106" s="1"/>
  <c r="D836" i="106" s="1"/>
  <c r="L310" i="29"/>
  <c r="K123" i="29"/>
  <c r="B1275" i="106" s="1"/>
  <c r="D1275" i="106" s="1"/>
  <c r="B1093" i="106"/>
  <c r="D1093" i="106" s="1"/>
  <c r="B6217" i="106"/>
  <c r="D6217" i="106" s="1"/>
  <c r="J13" i="3"/>
  <c r="D41" i="36"/>
  <c r="B3229" i="106"/>
  <c r="D3229" i="106" s="1"/>
  <c r="C77" i="4"/>
  <c r="B3232" i="106" s="1"/>
  <c r="D3232" i="106" s="1"/>
  <c r="B6858" i="106"/>
  <c r="D6858" i="106" s="1"/>
  <c r="F36" i="34"/>
  <c r="B7828" i="106" s="1"/>
  <c r="D7828" i="106" s="1"/>
  <c r="B6879" i="106"/>
  <c r="D6879" i="106" s="1"/>
  <c r="F40" i="34"/>
  <c r="F15" i="184"/>
  <c r="F19" i="184" s="1"/>
  <c r="E26" i="108"/>
  <c r="B1274" i="106"/>
  <c r="D1274" i="106" s="1"/>
  <c r="G26" i="108"/>
  <c r="B2091" i="106"/>
  <c r="D2091" i="106" s="1"/>
  <c r="H139" i="29"/>
  <c r="B1267" i="106" s="1"/>
  <c r="D1267" i="106" s="1"/>
  <c r="B7063" i="106"/>
  <c r="D7063" i="106" s="1"/>
  <c r="I210" i="29"/>
  <c r="B5224" i="106"/>
  <c r="D5224" i="106" s="1"/>
  <c r="C175" i="5"/>
  <c r="B6690" i="106"/>
  <c r="D6690" i="106" s="1"/>
  <c r="F143" i="34"/>
  <c r="B4915" i="106"/>
  <c r="D4915" i="106" s="1"/>
  <c r="F118" i="34"/>
  <c r="B7852" i="106" s="1"/>
  <c r="D7852" i="106" s="1"/>
  <c r="B5113" i="106"/>
  <c r="D5113" i="106" s="1"/>
  <c r="F102" i="34"/>
  <c r="B7839" i="106" s="1"/>
  <c r="D7839" i="106" s="1"/>
  <c r="C108" i="5"/>
  <c r="B5120" i="106" s="1"/>
  <c r="D5120" i="106" s="1"/>
  <c r="B4189" i="106"/>
  <c r="D4189" i="106" s="1"/>
  <c r="F166" i="34"/>
  <c r="B7873" i="106" s="1"/>
  <c r="D7873" i="106" s="1"/>
  <c r="B5519" i="106"/>
  <c r="D5519" i="106" s="1"/>
  <c r="E67" i="5"/>
  <c r="B5521" i="106" s="1"/>
  <c r="D5521" i="106" s="1"/>
  <c r="B2805" i="106"/>
  <c r="D2805" i="106" s="1"/>
  <c r="F56" i="34"/>
  <c r="B7832" i="106" s="1"/>
  <c r="D7832" i="106" s="1"/>
  <c r="D14" i="4"/>
  <c r="B2570" i="106" s="1"/>
  <c r="D2570" i="106" s="1"/>
  <c r="B3584" i="106"/>
  <c r="D3584" i="106" s="1"/>
  <c r="B6916" i="106"/>
  <c r="D6916" i="106" s="1"/>
  <c r="I74" i="29"/>
  <c r="B6977" i="106" s="1"/>
  <c r="D6977" i="106" s="1"/>
  <c r="B3007" i="106"/>
  <c r="D3007" i="106" s="1"/>
  <c r="K194" i="29"/>
  <c r="B2105" i="106"/>
  <c r="D2105" i="106" s="1"/>
  <c r="I76" i="4"/>
  <c r="B3318" i="106" s="1"/>
  <c r="D3318" i="106" s="1"/>
  <c r="B1308" i="106"/>
  <c r="D1308" i="106" s="1"/>
  <c r="E174" i="29"/>
  <c r="B1309" i="106" s="1"/>
  <c r="D1309" i="106" s="1"/>
  <c r="I129" i="29"/>
  <c r="B4951" i="106"/>
  <c r="D4951" i="106" s="1"/>
  <c r="K267" i="5"/>
  <c r="B1137" i="106"/>
  <c r="D1137" i="106" s="1"/>
  <c r="F36" i="108"/>
  <c r="D36" i="108"/>
  <c r="B91" i="106"/>
  <c r="D91" i="106" s="1"/>
  <c r="B5026" i="106"/>
  <c r="D5026" i="106" s="1"/>
  <c r="B13" i="7"/>
  <c r="B3668" i="106"/>
  <c r="D3668" i="106" s="1"/>
  <c r="K350" i="29"/>
  <c r="B1547" i="106"/>
  <c r="D1547" i="106" s="1"/>
  <c r="G312" i="29"/>
  <c r="B1548" i="106" s="1"/>
  <c r="D1548" i="106" s="1"/>
  <c r="G65" i="29"/>
  <c r="B977" i="106" s="1"/>
  <c r="D977" i="106" s="1"/>
  <c r="B1142" i="106"/>
  <c r="D1142" i="106" s="1"/>
  <c r="L279" i="29"/>
  <c r="F12" i="5"/>
  <c r="B5553" i="106"/>
  <c r="D5553" i="106" s="1"/>
  <c r="B7" i="7"/>
  <c r="B1028" i="106"/>
  <c r="D1028" i="106" s="1"/>
  <c r="H65" i="29"/>
  <c r="B1035" i="106" s="1"/>
  <c r="D1035" i="106" s="1"/>
  <c r="B5175" i="106"/>
  <c r="D5175" i="106" s="1"/>
  <c r="C155" i="5"/>
  <c r="F150" i="34"/>
  <c r="B6769" i="106"/>
  <c r="D6769" i="106" s="1"/>
  <c r="G34" i="108"/>
  <c r="B1135" i="106"/>
  <c r="D1135" i="106" s="1"/>
  <c r="E34" i="108"/>
  <c r="B6899" i="106"/>
  <c r="D6899" i="106" s="1"/>
  <c r="F50" i="34"/>
  <c r="B3552" i="106"/>
  <c r="D3552" i="106" s="1"/>
  <c r="B5485" i="106"/>
  <c r="D5485" i="106" s="1"/>
  <c r="D221" i="5"/>
  <c r="B5488" i="106" s="1"/>
  <c r="D5488" i="106" s="1"/>
  <c r="E67" i="184"/>
  <c r="N67" i="184" s="1"/>
  <c r="B7705" i="106"/>
  <c r="D7705" i="106" s="1"/>
  <c r="B7103" i="106"/>
  <c r="D7103" i="106" s="1"/>
  <c r="I312" i="29"/>
  <c r="B7116" i="106" s="1"/>
  <c r="D7116" i="106" s="1"/>
  <c r="B5097" i="106"/>
  <c r="D5097" i="106" s="1"/>
  <c r="C82" i="5"/>
  <c r="B7180" i="106"/>
  <c r="D7180" i="106" s="1"/>
  <c r="E63" i="184"/>
  <c r="N63" i="184" s="1"/>
  <c r="B5064" i="106"/>
  <c r="D5064" i="106" s="1"/>
  <c r="B17" i="7"/>
  <c r="B1107" i="106"/>
  <c r="D1107" i="106" s="1"/>
  <c r="F38" i="34"/>
  <c r="B7830" i="106" s="1"/>
  <c r="D7830" i="106" s="1"/>
  <c r="K364" i="29"/>
  <c r="B7746" i="106" s="1"/>
  <c r="D7746" i="106" s="1"/>
  <c r="B7745" i="106"/>
  <c r="D7745" i="106" s="1"/>
  <c r="B7104" i="106"/>
  <c r="D7104" i="106" s="1"/>
  <c r="J312" i="29"/>
  <c r="B7117" i="106" s="1"/>
  <c r="D7117" i="106" s="1"/>
  <c r="B1470" i="106"/>
  <c r="D1470" i="106" s="1"/>
  <c r="F70" i="34"/>
  <c r="B7202" i="106"/>
  <c r="D7202" i="106" s="1"/>
  <c r="F342" i="29"/>
  <c r="B7219" i="106" s="1"/>
  <c r="D7219" i="106" s="1"/>
  <c r="B5534" i="106"/>
  <c r="D5534" i="106" s="1"/>
  <c r="E170" i="5"/>
  <c r="B1383" i="106"/>
  <c r="D1383" i="106" s="1"/>
  <c r="K204" i="29"/>
  <c r="B211" i="106"/>
  <c r="D211" i="106" s="1"/>
  <c r="B7209" i="106"/>
  <c r="D7209" i="106" s="1"/>
  <c r="K340" i="29"/>
  <c r="F62" i="34"/>
  <c r="B7833" i="106" s="1"/>
  <c r="D7833" i="106" s="1"/>
  <c r="B2836" i="106"/>
  <c r="D2836" i="106" s="1"/>
  <c r="F14" i="4"/>
  <c r="B2597" i="106" s="1"/>
  <c r="D2597" i="106" s="1"/>
  <c r="B727" i="106"/>
  <c r="D727" i="106" s="1"/>
  <c r="C74" i="29"/>
  <c r="B755" i="106" s="1"/>
  <c r="D755" i="106" s="1"/>
  <c r="D13" i="3"/>
  <c r="B3414" i="106"/>
  <c r="D3414" i="106" s="1"/>
  <c r="D35" i="36"/>
  <c r="B6881" i="106"/>
  <c r="D6881" i="106" s="1"/>
  <c r="F41" i="34"/>
  <c r="B3390" i="106"/>
  <c r="D3390" i="106" s="1"/>
  <c r="K229" i="29"/>
  <c r="B3619" i="106"/>
  <c r="D3619" i="106" s="1"/>
  <c r="C352" i="29"/>
  <c r="K183" i="29"/>
  <c r="B1380" i="106" s="1"/>
  <c r="D1380" i="106" s="1"/>
  <c r="G204" i="5"/>
  <c r="B5803" i="106" s="1"/>
  <c r="D5803" i="106" s="1"/>
  <c r="C129" i="29"/>
  <c r="B6889" i="106"/>
  <c r="D6889" i="106" s="1"/>
  <c r="F45" i="34"/>
  <c r="B3723" i="106"/>
  <c r="D3723" i="106" s="1"/>
  <c r="K285" i="29"/>
  <c r="B4418" i="106"/>
  <c r="D4418" i="106" s="1"/>
  <c r="F165" i="34"/>
  <c r="B7872" i="106" s="1"/>
  <c r="D7872" i="106" s="1"/>
  <c r="B7153" i="106"/>
  <c r="D7153" i="106" s="1"/>
  <c r="E60" i="184"/>
  <c r="N60" i="184" s="1"/>
  <c r="B131" i="106"/>
  <c r="D131" i="106" s="1"/>
  <c r="H149" i="29"/>
  <c r="B1272" i="106" s="1"/>
  <c r="D1272" i="106" s="1"/>
  <c r="B7047" i="106"/>
  <c r="D7047" i="106" s="1"/>
  <c r="B6191" i="106"/>
  <c r="D6191" i="106" s="1"/>
  <c r="C198" i="5"/>
  <c r="B6401" i="106"/>
  <c r="D6401" i="106" s="1"/>
  <c r="B6634" i="106"/>
  <c r="D6634" i="106" s="1"/>
  <c r="F136" i="34"/>
  <c r="B5122" i="106"/>
  <c r="D5122" i="106" s="1"/>
  <c r="C114" i="5"/>
  <c r="C188" i="5"/>
  <c r="B5233" i="106"/>
  <c r="D5233" i="106" s="1"/>
  <c r="B4792" i="106"/>
  <c r="D4792" i="106" s="1"/>
  <c r="F122" i="34"/>
  <c r="B7855" i="106" s="1"/>
  <c r="D7855" i="106" s="1"/>
  <c r="B7064" i="106"/>
  <c r="D7064" i="106" s="1"/>
  <c r="J210" i="29"/>
  <c r="B7072" i="106" s="1"/>
  <c r="D7072" i="106" s="1"/>
  <c r="L330" i="29"/>
  <c r="L342" i="29" s="1"/>
  <c r="E196" i="29"/>
  <c r="B1352" i="106" s="1"/>
  <c r="D1352" i="106" s="1"/>
  <c r="B2823" i="106"/>
  <c r="D2823" i="106" s="1"/>
  <c r="B2081" i="106"/>
  <c r="D2081" i="106" s="1"/>
  <c r="H102" i="29"/>
  <c r="B1047" i="106" s="1"/>
  <c r="D1047" i="106" s="1"/>
  <c r="H76" i="4"/>
  <c r="B3298" i="106" s="1"/>
  <c r="D3298" i="106" s="1"/>
  <c r="H208" i="29"/>
  <c r="B1375" i="106" s="1"/>
  <c r="D1375" i="106" s="1"/>
  <c r="B4156" i="106"/>
  <c r="D4156" i="106" s="1"/>
  <c r="B5065" i="106"/>
  <c r="D5065" i="106" s="1"/>
  <c r="B18" i="7"/>
  <c r="B1109" i="106"/>
  <c r="D1109" i="106" s="1"/>
  <c r="G252" i="5"/>
  <c r="B6837" i="106" s="1"/>
  <c r="D6837" i="106" s="1"/>
  <c r="B4950" i="106"/>
  <c r="D4950" i="106" s="1"/>
  <c r="B3235" i="106"/>
  <c r="D3235" i="106" s="1"/>
  <c r="D77" i="4"/>
  <c r="B3238" i="106" s="1"/>
  <c r="D3238" i="106" s="1"/>
  <c r="K61" i="29"/>
  <c r="B3633" i="106"/>
  <c r="D3633" i="106" s="1"/>
  <c r="E352" i="29"/>
  <c r="L137" i="29"/>
  <c r="L139" i="29" s="1"/>
  <c r="C252" i="5"/>
  <c r="B6833" i="106" s="1"/>
  <c r="D6833" i="106" s="1"/>
  <c r="B6614" i="106"/>
  <c r="D6614" i="106" s="1"/>
  <c r="B6682" i="106"/>
  <c r="D6682" i="106" s="1"/>
  <c r="F142" i="34"/>
  <c r="B6777" i="106"/>
  <c r="D6777" i="106" s="1"/>
  <c r="F151" i="34"/>
  <c r="B7696" i="106"/>
  <c r="D7696" i="106" s="1"/>
  <c r="E66" i="184"/>
  <c r="N66" i="184" s="1"/>
  <c r="B1121" i="106"/>
  <c r="D1121" i="106" s="1"/>
  <c r="E12" i="184"/>
  <c r="B6312" i="106"/>
  <c r="D6312" i="106" s="1"/>
  <c r="F88" i="34"/>
  <c r="B3317" i="106"/>
  <c r="D3317" i="106" s="1"/>
  <c r="B15" i="7"/>
  <c r="B5332" i="106"/>
  <c r="D5332" i="106" s="1"/>
  <c r="B1555" i="106"/>
  <c r="D1555" i="106" s="1"/>
  <c r="K303" i="29"/>
  <c r="B1345" i="106"/>
  <c r="D1345" i="106" s="1"/>
  <c r="D210" i="29"/>
  <c r="B1346" i="106" s="1"/>
  <c r="D1346" i="106" s="1"/>
  <c r="B4396" i="106"/>
  <c r="D4396" i="106" s="1"/>
  <c r="B6885" i="106"/>
  <c r="D6885" i="106" s="1"/>
  <c r="F43" i="34"/>
  <c r="B7107" i="106"/>
  <c r="D7107" i="106" s="1"/>
  <c r="K310" i="29"/>
  <c r="B3626" i="106"/>
  <c r="D3626" i="106" s="1"/>
  <c r="D352" i="29"/>
  <c r="B6887" i="106"/>
  <c r="D6887" i="106" s="1"/>
  <c r="F44" i="34"/>
  <c r="B1553" i="106"/>
  <c r="D1553" i="106" s="1"/>
  <c r="H312" i="29"/>
  <c r="B1554" i="106" s="1"/>
  <c r="D1554" i="106" s="1"/>
  <c r="B4080" i="106"/>
  <c r="D4080" i="106" s="1"/>
  <c r="B5592" i="106"/>
  <c r="D5592" i="106" s="1"/>
  <c r="F5" i="4"/>
  <c r="B3408" i="106" s="1"/>
  <c r="D3408" i="106" s="1"/>
  <c r="B1417" i="106"/>
  <c r="D1417" i="106" s="1"/>
  <c r="B1017" i="106"/>
  <c r="D1017" i="106" s="1"/>
  <c r="K6" i="29"/>
  <c r="B7763" i="106" s="1"/>
  <c r="D7763" i="106" s="1"/>
  <c r="B7762" i="106"/>
  <c r="D7762" i="106" s="1"/>
  <c r="F135" i="34"/>
  <c r="B6626" i="106"/>
  <c r="D6626" i="106" s="1"/>
  <c r="B6126" i="106"/>
  <c r="D6126" i="106" s="1"/>
  <c r="D34" i="3"/>
  <c r="B6674" i="106"/>
  <c r="D6674" i="106" s="1"/>
  <c r="F141" i="34"/>
  <c r="B6737" i="106"/>
  <c r="D6737" i="106" s="1"/>
  <c r="F147" i="34"/>
  <c r="B5317" i="106"/>
  <c r="D5317" i="106" s="1"/>
  <c r="F164" i="34"/>
  <c r="B7871" i="106" s="1"/>
  <c r="D7871" i="106" s="1"/>
  <c r="B5187" i="106"/>
  <c r="D5187" i="106" s="1"/>
  <c r="F114" i="34"/>
  <c r="B7848" i="106" s="1"/>
  <c r="D7848" i="106" s="1"/>
  <c r="B5274" i="106"/>
  <c r="D5274" i="106" s="1"/>
  <c r="C217" i="5"/>
  <c r="B5286" i="106" s="1"/>
  <c r="D5286" i="106" s="1"/>
  <c r="B5916" i="106"/>
  <c r="D5916" i="106" s="1"/>
  <c r="I12" i="5"/>
  <c r="B10" i="7"/>
  <c r="B5367" i="106"/>
  <c r="D5367" i="106" s="1"/>
  <c r="B4372" i="106"/>
  <c r="D4372" i="106" s="1"/>
  <c r="B6825" i="106"/>
  <c r="D6825" i="106" s="1"/>
  <c r="F157" i="34"/>
  <c r="B5599" i="106"/>
  <c r="D5599" i="106" s="1"/>
  <c r="B1123" i="106"/>
  <c r="D1123" i="106" s="1"/>
  <c r="B2789" i="106"/>
  <c r="D2789" i="106" s="1"/>
  <c r="E102" i="29"/>
  <c r="B2790" i="106" s="1"/>
  <c r="D2790" i="106" s="1"/>
  <c r="B3640" i="106"/>
  <c r="D3640" i="106" s="1"/>
  <c r="F352" i="29"/>
  <c r="B5721" i="106"/>
  <c r="D5721" i="106" s="1"/>
  <c r="B8" i="7"/>
  <c r="G12" i="5"/>
  <c r="B7203" i="106"/>
  <c r="D7203" i="106" s="1"/>
  <c r="G342" i="29"/>
  <c r="B1482" i="106"/>
  <c r="D1482" i="106" s="1"/>
  <c r="K243" i="29"/>
  <c r="B1485" i="106" s="1"/>
  <c r="D1485" i="106" s="1"/>
  <c r="B1523" i="106"/>
  <c r="D1523" i="106" s="1"/>
  <c r="C312" i="29"/>
  <c r="B1524" i="106" s="1"/>
  <c r="D1524" i="106" s="1"/>
  <c r="B139" i="106"/>
  <c r="D139" i="106" s="1"/>
  <c r="B7204" i="106"/>
  <c r="D7204" i="106" s="1"/>
  <c r="H342" i="29"/>
  <c r="B7221" i="106" s="1"/>
  <c r="D7221" i="106" s="1"/>
  <c r="H67" i="5"/>
  <c r="B5881" i="106" s="1"/>
  <c r="D5881" i="106" s="1"/>
  <c r="C67" i="5"/>
  <c r="B5090" i="106" s="1"/>
  <c r="D5090" i="106" s="1"/>
  <c r="B6903" i="106"/>
  <c r="D6903" i="106" s="1"/>
  <c r="B1541" i="106"/>
  <c r="D1541" i="106" s="1"/>
  <c r="F312" i="29"/>
  <c r="B1542" i="106" s="1"/>
  <c r="D1542" i="106" s="1"/>
  <c r="B3673" i="106"/>
  <c r="D3673" i="106" s="1"/>
  <c r="K357" i="29"/>
  <c r="F67" i="34"/>
  <c r="B7074" i="106"/>
  <c r="D7074" i="106" s="1"/>
  <c r="F44" i="4"/>
  <c r="I67" i="5"/>
  <c r="B5926" i="106" s="1"/>
  <c r="D5926" i="106" s="1"/>
  <c r="H72" i="29"/>
  <c r="B1043" i="106" s="1"/>
  <c r="D1043" i="106" s="1"/>
  <c r="B1036" i="106"/>
  <c r="D1036" i="106" s="1"/>
  <c r="B5181" i="106"/>
  <c r="D5181" i="106" s="1"/>
  <c r="F113" i="34"/>
  <c r="B4852" i="106"/>
  <c r="D4852" i="106" s="1"/>
  <c r="F171" i="34"/>
  <c r="B7876" i="106" s="1"/>
  <c r="D7876" i="106" s="1"/>
  <c r="B6729" i="106"/>
  <c r="D6729" i="106" s="1"/>
  <c r="F146" i="34"/>
  <c r="B6801" i="106"/>
  <c r="D6801" i="106" s="1"/>
  <c r="F154" i="34"/>
  <c r="B5148" i="106"/>
  <c r="D5148" i="106" s="1"/>
  <c r="C141" i="5"/>
  <c r="F98" i="34"/>
  <c r="B5106" i="106"/>
  <c r="D5106" i="106" s="1"/>
  <c r="B6388" i="106"/>
  <c r="D6388" i="106" s="1"/>
  <c r="F119" i="34"/>
  <c r="B7853" i="106" s="1"/>
  <c r="D7853" i="106" s="1"/>
  <c r="B5280" i="106"/>
  <c r="D5280" i="106" s="1"/>
  <c r="F131" i="34"/>
  <c r="B7863" i="106" s="1"/>
  <c r="D7863" i="106" s="1"/>
  <c r="B5312" i="106"/>
  <c r="D5312" i="106" s="1"/>
  <c r="F161" i="34"/>
  <c r="B7868" i="106" s="1"/>
  <c r="D7868" i="106" s="1"/>
  <c r="J67" i="5"/>
  <c r="B6318" i="106" s="1"/>
  <c r="D6318" i="106" s="1"/>
  <c r="B6893" i="106"/>
  <c r="D6893" i="106" s="1"/>
  <c r="F47" i="34"/>
  <c r="B5780" i="106"/>
  <c r="D5780" i="106" s="1"/>
  <c r="B1452" i="106"/>
  <c r="D1452" i="106" s="1"/>
  <c r="H295" i="29"/>
  <c r="B1454" i="106" s="1"/>
  <c r="D1454" i="106" s="1"/>
  <c r="B2973" i="106"/>
  <c r="D2973" i="106" s="1"/>
  <c r="K84" i="29"/>
  <c r="F39" i="34"/>
  <c r="B6877" i="106"/>
  <c r="D6877" i="106" s="1"/>
  <c r="B7205" i="106"/>
  <c r="D7205" i="106" s="1"/>
  <c r="I342" i="29"/>
  <c r="B1146" i="106"/>
  <c r="D1146" i="106" s="1"/>
  <c r="K110" i="29"/>
  <c r="B7206" i="106"/>
  <c r="D7206" i="106" s="1"/>
  <c r="J342" i="29"/>
  <c r="B7223" i="106" s="1"/>
  <c r="D7223" i="106" s="1"/>
  <c r="B7135" i="106"/>
  <c r="D7135" i="106" s="1"/>
  <c r="E58" i="184"/>
  <c r="N58" i="184" s="1"/>
  <c r="B1235" i="106"/>
  <c r="D1235" i="106" s="1"/>
  <c r="E127" i="29"/>
  <c r="B6848" i="106"/>
  <c r="D6848" i="106" s="1"/>
  <c r="F34" i="34"/>
  <c r="B7826" i="106" s="1"/>
  <c r="D7826" i="106" s="1"/>
  <c r="B901" i="106"/>
  <c r="D901" i="106" s="1"/>
  <c r="F74" i="29"/>
  <c r="B929" i="106" s="1"/>
  <c r="D929" i="106" s="1"/>
  <c r="E12" i="5"/>
  <c r="B5360" i="106"/>
  <c r="D5360" i="106" s="1"/>
  <c r="D5" i="4"/>
  <c r="B3406" i="106" s="1"/>
  <c r="D3406" i="106" s="1"/>
  <c r="B4211" i="106"/>
  <c r="D4211" i="106" s="1"/>
  <c r="F64" i="34"/>
  <c r="B3658" i="106"/>
  <c r="D3658" i="106" s="1"/>
  <c r="H365" i="29"/>
  <c r="B7242" i="106" s="1"/>
  <c r="D7242" i="106" s="1"/>
  <c r="B959" i="106"/>
  <c r="D959" i="106" s="1"/>
  <c r="E13" i="184"/>
  <c r="H13" i="184" s="1"/>
  <c r="B2724" i="106"/>
  <c r="D2724" i="106" s="1"/>
  <c r="B1475" i="106"/>
  <c r="D1475" i="106" s="1"/>
  <c r="K238" i="29"/>
  <c r="D129" i="29"/>
  <c r="B4415" i="106"/>
  <c r="D4415" i="106" s="1"/>
  <c r="F162" i="34"/>
  <c r="B7869" i="106" s="1"/>
  <c r="D7869" i="106" s="1"/>
  <c r="B4761" i="106"/>
  <c r="D4761" i="106" s="1"/>
  <c r="F104" i="34"/>
  <c r="B7841" i="106" s="1"/>
  <c r="D7841" i="106" s="1"/>
  <c r="B5655" i="106"/>
  <c r="D5655" i="106" s="1"/>
  <c r="K293" i="29"/>
  <c r="B1512" i="106"/>
  <c r="D1512" i="106" s="1"/>
  <c r="B6895" i="106"/>
  <c r="D6895" i="106" s="1"/>
  <c r="F48" i="34"/>
  <c r="B1752" i="106"/>
  <c r="D1752" i="106" s="1"/>
  <c r="D11" i="7"/>
  <c r="B1768" i="106" s="1"/>
  <c r="D1768" i="106" s="1"/>
  <c r="B6897" i="106"/>
  <c r="D6897" i="106" s="1"/>
  <c r="F49" i="34"/>
  <c r="B5423" i="106"/>
  <c r="D5423" i="106" s="1"/>
  <c r="B5369" i="106"/>
  <c r="D5369" i="106" s="1"/>
  <c r="D169" i="5"/>
  <c r="B5412" i="106" s="1"/>
  <c r="D5412" i="106" s="1"/>
  <c r="H44" i="4"/>
  <c r="B4398" i="106"/>
  <c r="D4398" i="106" s="1"/>
  <c r="B5985" i="106"/>
  <c r="D5985" i="106" s="1"/>
  <c r="K12" i="5"/>
  <c r="B12" i="7"/>
  <c r="K47" i="29"/>
  <c r="B1116" i="106"/>
  <c r="D1116" i="106" s="1"/>
  <c r="E15" i="184"/>
  <c r="B1126" i="106"/>
  <c r="D1126" i="106" s="1"/>
  <c r="F26" i="108"/>
  <c r="D26" i="108"/>
  <c r="B1529" i="106"/>
  <c r="D1529" i="106" s="1"/>
  <c r="D312" i="29"/>
  <c r="B1530" i="106" s="1"/>
  <c r="D1530" i="106" s="1"/>
  <c r="B281" i="106"/>
  <c r="D281" i="106" s="1"/>
  <c r="D54" i="36"/>
  <c r="I33" i="29"/>
  <c r="B790" i="106"/>
  <c r="D790" i="106" s="1"/>
  <c r="D53" i="29"/>
  <c r="B792" i="106" s="1"/>
  <c r="D792" i="106" s="1"/>
  <c r="B1053" i="106"/>
  <c r="D1053" i="106" s="1"/>
  <c r="H112" i="29"/>
  <c r="B7018" i="106" s="1"/>
  <c r="D7018" i="106" s="1"/>
  <c r="B1486" i="106"/>
  <c r="D1486" i="106" s="1"/>
  <c r="K257" i="29"/>
  <c r="B1488" i="106" s="1"/>
  <c r="D1488" i="106" s="1"/>
  <c r="F67" i="5"/>
  <c r="B5582" i="106" s="1"/>
  <c r="D5582" i="106" s="1"/>
  <c r="B6997" i="106"/>
  <c r="D6997" i="106" s="1"/>
  <c r="K100" i="29"/>
  <c r="B7013" i="106" s="1"/>
  <c r="D7013" i="106" s="1"/>
  <c r="B3675" i="106"/>
  <c r="D3675" i="106" s="1"/>
  <c r="K362" i="29"/>
  <c r="K64" i="29"/>
  <c r="B7076" i="106"/>
  <c r="D7076" i="106" s="1"/>
  <c r="F68" i="34"/>
  <c r="B6400" i="106"/>
  <c r="D6400" i="106" s="1"/>
  <c r="J267" i="5"/>
  <c r="H184" i="29"/>
  <c r="C40" i="5"/>
  <c r="B5087" i="106" s="1"/>
  <c r="D5087" i="106" s="1"/>
  <c r="G13" i="3"/>
  <c r="B3422" i="106"/>
  <c r="D3422" i="106" s="1"/>
  <c r="D38" i="36"/>
  <c r="B5103" i="106"/>
  <c r="D5103" i="106" s="1"/>
  <c r="C93" i="5"/>
  <c r="B5112" i="106" s="1"/>
  <c r="D5112" i="106" s="1"/>
  <c r="F97" i="34"/>
  <c r="B5111" i="106"/>
  <c r="D5111" i="106" s="1"/>
  <c r="F101" i="34"/>
  <c r="D12" i="171"/>
  <c r="B5123" i="106"/>
  <c r="D5123" i="106" s="1"/>
  <c r="B7126" i="106"/>
  <c r="D7126" i="106" s="1"/>
  <c r="K330" i="29"/>
  <c r="E57" i="184"/>
  <c r="G352" i="29"/>
  <c r="B3647" i="106"/>
  <c r="D3647" i="106" s="1"/>
  <c r="B720" i="106"/>
  <c r="D720" i="106" s="1"/>
  <c r="B4363" i="106"/>
  <c r="D4363" i="106" s="1"/>
  <c r="I170" i="5"/>
  <c r="K67" i="5"/>
  <c r="B5995" i="106" s="1"/>
  <c r="D5995" i="106" s="1"/>
  <c r="E59" i="184"/>
  <c r="N59" i="184" s="1"/>
  <c r="B7144" i="106"/>
  <c r="D7144" i="106" s="1"/>
  <c r="B5752" i="106"/>
  <c r="D5752" i="106" s="1"/>
  <c r="G169" i="5"/>
  <c r="B6901" i="106"/>
  <c r="D6901" i="106" s="1"/>
  <c r="F51" i="34"/>
  <c r="C145" i="5"/>
  <c r="B3258" i="106"/>
  <c r="D3258" i="106" s="1"/>
  <c r="G77" i="4"/>
  <c r="B3261" i="106" s="1"/>
  <c r="D3261" i="106" s="1"/>
  <c r="B6238" i="106"/>
  <c r="D6238" i="106" s="1"/>
  <c r="J77" i="4"/>
  <c r="B6262" i="106" s="1"/>
  <c r="D6262" i="106" s="1"/>
  <c r="B1314" i="106"/>
  <c r="D1314" i="106" s="1"/>
  <c r="H172" i="29"/>
  <c r="B1351" i="106"/>
  <c r="D1351" i="106" s="1"/>
  <c r="B6883" i="106"/>
  <c r="D6883" i="106" s="1"/>
  <c r="F42" i="34"/>
  <c r="B7162" i="106"/>
  <c r="D7162" i="106" s="1"/>
  <c r="E61" i="184"/>
  <c r="N61" i="184" s="1"/>
  <c r="E139" i="29"/>
  <c r="B4203" i="106" s="1"/>
  <c r="D4203" i="106" s="1"/>
  <c r="B4202" i="106"/>
  <c r="D4202" i="106" s="1"/>
  <c r="B1426" i="106"/>
  <c r="D1426" i="106" s="1"/>
  <c r="K260" i="29"/>
  <c r="B1490" i="106" s="1"/>
  <c r="D1490" i="106" s="1"/>
  <c r="F76" i="4"/>
  <c r="B3254" i="106" s="1"/>
  <c r="D3254" i="106" s="1"/>
  <c r="B5063" i="106"/>
  <c r="D5063" i="106" s="1"/>
  <c r="B14" i="7"/>
  <c r="G72" i="29"/>
  <c r="B985" i="106" s="1"/>
  <c r="D985" i="106" s="1"/>
  <c r="B5230" i="106"/>
  <c r="D5230" i="106" s="1"/>
  <c r="F123" i="34"/>
  <c r="C181" i="5"/>
  <c r="B5133" i="106"/>
  <c r="D5133" i="106" s="1"/>
  <c r="C132" i="5"/>
  <c r="B6642" i="106"/>
  <c r="D6642" i="106" s="1"/>
  <c r="F137" i="34"/>
  <c r="B5194" i="106"/>
  <c r="D5194" i="106" s="1"/>
  <c r="F115" i="34"/>
  <c r="B7849" i="106" s="1"/>
  <c r="D7849" i="106" s="1"/>
  <c r="B6917" i="106"/>
  <c r="D6917" i="106" s="1"/>
  <c r="J74" i="29"/>
  <c r="B6978" i="106" s="1"/>
  <c r="D6978" i="106" s="1"/>
  <c r="B3654" i="106"/>
  <c r="D3654" i="106" s="1"/>
  <c r="H352" i="29"/>
  <c r="D27" i="108"/>
  <c r="F27" i="108"/>
  <c r="B1127" i="106"/>
  <c r="D1127" i="106" s="1"/>
  <c r="K92" i="29"/>
  <c r="B2089" i="106" s="1"/>
  <c r="D2089" i="106" s="1"/>
  <c r="B6995" i="106"/>
  <c r="D6995" i="106" s="1"/>
  <c r="B5871" i="106"/>
  <c r="D5871" i="106" s="1"/>
  <c r="B9" i="7"/>
  <c r="H12" i="5"/>
  <c r="E342" i="29"/>
  <c r="B7218" i="106" s="1"/>
  <c r="D7218" i="106" s="1"/>
  <c r="B7201" i="106"/>
  <c r="D7201" i="106" s="1"/>
  <c r="B3702" i="106"/>
  <c r="D3702" i="106" s="1"/>
  <c r="K76" i="4"/>
  <c r="B3586" i="106" s="1"/>
  <c r="D3586" i="106" s="1"/>
  <c r="B894" i="106"/>
  <c r="D894" i="106" s="1"/>
  <c r="B7171" i="106"/>
  <c r="D7171" i="106" s="1"/>
  <c r="E62" i="184"/>
  <c r="N62" i="184" s="1"/>
  <c r="E44" i="4"/>
  <c r="D277" i="29"/>
  <c r="B1444" i="106" s="1"/>
  <c r="D1444" i="106" s="1"/>
  <c r="B1437" i="106"/>
  <c r="D1437" i="106" s="1"/>
  <c r="K272" i="29"/>
  <c r="L33" i="29"/>
  <c r="B5614" i="106"/>
  <c r="D5614" i="106" s="1"/>
  <c r="F169" i="5"/>
  <c r="B5644" i="106" s="1"/>
  <c r="D5644" i="106" s="1"/>
  <c r="B1473" i="106"/>
  <c r="D1473" i="106" s="1"/>
  <c r="F71" i="34"/>
  <c r="B7778" i="106"/>
  <c r="D7778" i="106" s="1"/>
  <c r="K160" i="29"/>
  <c r="B6006" i="106"/>
  <c r="D6006" i="106" s="1"/>
  <c r="K170" i="5"/>
  <c r="B1535" i="106"/>
  <c r="D1535" i="106" s="1"/>
  <c r="E312" i="29"/>
  <c r="B1536" i="106" s="1"/>
  <c r="D1536" i="106" s="1"/>
  <c r="B1324" i="106"/>
  <c r="D1324" i="106" s="1"/>
  <c r="K168" i="29"/>
  <c r="B843" i="106"/>
  <c r="D843" i="106" s="1"/>
  <c r="E74" i="29"/>
  <c r="B871" i="106" s="1"/>
  <c r="D871" i="106" s="1"/>
  <c r="B1358" i="106"/>
  <c r="D1358" i="106" s="1"/>
  <c r="F210" i="29"/>
  <c r="B1359" i="106" s="1"/>
  <c r="D1359" i="106" s="1"/>
  <c r="C75" i="5"/>
  <c r="F63" i="5"/>
  <c r="B5579" i="106" s="1"/>
  <c r="D5579" i="106" s="1"/>
  <c r="B6891" i="106"/>
  <c r="D6891" i="106" s="1"/>
  <c r="F46" i="34"/>
  <c r="B937" i="106"/>
  <c r="D937" i="106" s="1"/>
  <c r="G33" i="29"/>
  <c r="C184" i="29"/>
  <c r="K180" i="29"/>
  <c r="B4081" i="106"/>
  <c r="D4081" i="106" s="1"/>
  <c r="B2757" i="106"/>
  <c r="D2757" i="106" s="1"/>
  <c r="D72" i="36"/>
  <c r="C204" i="5"/>
  <c r="B5247" i="106"/>
  <c r="D5247" i="106" s="1"/>
  <c r="B4317" i="106"/>
  <c r="D4317" i="106" s="1"/>
  <c r="F120" i="34"/>
  <c r="B7854" i="106" s="1"/>
  <c r="D7854" i="106" s="1"/>
  <c r="B7199" i="106"/>
  <c r="D7199" i="106" s="1"/>
  <c r="C342" i="29"/>
  <c r="B7216" i="106" s="1"/>
  <c r="D7216" i="106" s="1"/>
  <c r="H266" i="5"/>
  <c r="B4441" i="106" s="1"/>
  <c r="D4441" i="106" s="1"/>
  <c r="B6838" i="106"/>
  <c r="D6838" i="106" s="1"/>
  <c r="I13" i="3"/>
  <c r="B3427" i="106"/>
  <c r="D3427" i="106" s="1"/>
  <c r="D40" i="36"/>
  <c r="B1329" i="106"/>
  <c r="D1329" i="106" s="1"/>
  <c r="F61" i="34"/>
  <c r="E266" i="5"/>
  <c r="B7747" i="106" s="1"/>
  <c r="D7747" i="106" s="1"/>
  <c r="B6835" i="106"/>
  <c r="D6835" i="106" s="1"/>
  <c r="B7231" i="106"/>
  <c r="D7231" i="106" s="1"/>
  <c r="J352" i="29"/>
  <c r="B1010" i="106"/>
  <c r="D1010" i="106" s="1"/>
  <c r="E33" i="108"/>
  <c r="B1134" i="106"/>
  <c r="D1134" i="106" s="1"/>
  <c r="G33" i="108"/>
  <c r="E17" i="184"/>
  <c r="H17" i="184" s="1"/>
  <c r="L184" i="29"/>
  <c r="D12" i="5"/>
  <c r="B1489" i="106"/>
  <c r="D1489" i="106" s="1"/>
  <c r="B2986" i="106"/>
  <c r="D2986" i="106" s="1"/>
  <c r="K137" i="29"/>
  <c r="K276" i="29"/>
  <c r="B1506" i="106" s="1"/>
  <c r="D1506" i="106" s="1"/>
  <c r="B1442" i="106"/>
  <c r="D1442" i="106" s="1"/>
  <c r="B5893" i="106"/>
  <c r="D5893" i="106" s="1"/>
  <c r="H170" i="5"/>
  <c r="D34" i="36"/>
  <c r="B3411" i="106"/>
  <c r="D3411" i="106" s="1"/>
  <c r="C13" i="3"/>
  <c r="H24" i="118"/>
  <c r="B5723" i="106"/>
  <c r="D5723" i="106" s="1"/>
  <c r="B16" i="7"/>
  <c r="B1136" i="106"/>
  <c r="D1136" i="106" s="1"/>
  <c r="G35" i="108"/>
  <c r="E35" i="108"/>
  <c r="B2910" i="106"/>
  <c r="D2910" i="106" s="1"/>
  <c r="L350" i="29"/>
  <c r="L352" i="29" s="1"/>
  <c r="L367" i="29" s="1"/>
  <c r="F34" i="3"/>
  <c r="B6128" i="106"/>
  <c r="D6128" i="106" s="1"/>
  <c r="B5256" i="106"/>
  <c r="D5256" i="106" s="1"/>
  <c r="C209" i="5"/>
  <c r="B5167" i="106"/>
  <c r="D5167" i="106" s="1"/>
  <c r="F109" i="34"/>
  <c r="B6761" i="106"/>
  <c r="D6761" i="106" s="1"/>
  <c r="F149" i="34"/>
  <c r="C221" i="5"/>
  <c r="B5301" i="106"/>
  <c r="D5301" i="106" s="1"/>
  <c r="B5126" i="106"/>
  <c r="D5126" i="106" s="1"/>
  <c r="C122" i="5"/>
  <c r="H13" i="3"/>
  <c r="B3425" i="106"/>
  <c r="D3425" i="106" s="1"/>
  <c r="D39" i="36"/>
  <c r="D342" i="29"/>
  <c r="B7217" i="106" s="1"/>
  <c r="D7217" i="106" s="1"/>
  <c r="B7200" i="106"/>
  <c r="D7200" i="106" s="1"/>
  <c r="K182" i="29"/>
  <c r="B1377" i="106" s="1"/>
  <c r="D1377" i="106" s="1"/>
  <c r="B7078" i="106"/>
  <c r="D7078" i="106" s="1"/>
  <c r="F69" i="34"/>
  <c r="B1130" i="106"/>
  <c r="D1130" i="106" s="1"/>
  <c r="G30" i="108"/>
  <c r="E30" i="108"/>
  <c r="H196" i="29"/>
  <c r="B2830" i="106" s="1"/>
  <c r="D2830" i="106" s="1"/>
  <c r="B2828" i="106"/>
  <c r="D2828" i="106" s="1"/>
  <c r="B7230" i="106"/>
  <c r="D7230" i="106" s="1"/>
  <c r="I352" i="29"/>
  <c r="F13" i="3"/>
  <c r="B6357" i="106"/>
  <c r="D6357" i="106" s="1"/>
  <c r="J170" i="5"/>
  <c r="K147" i="29"/>
  <c r="B1283" i="106"/>
  <c r="D1283" i="106" s="1"/>
  <c r="B7198" i="106"/>
  <c r="D7198" i="106" s="1"/>
  <c r="E65" i="184"/>
  <c r="N65" i="184" s="1"/>
  <c r="B4397" i="106"/>
  <c r="D4397" i="106" s="1"/>
  <c r="B1120" i="106"/>
  <c r="D1120" i="106" s="1"/>
  <c r="B188" i="106"/>
  <c r="D188" i="106" s="1"/>
  <c r="L57" i="29"/>
  <c r="B7189" i="106"/>
  <c r="D7189" i="106" s="1"/>
  <c r="E64" i="184"/>
  <c r="N64" i="184" s="1"/>
  <c r="K16" i="29"/>
  <c r="B1094" i="106" s="1"/>
  <c r="D1094" i="106" s="1"/>
  <c r="K34" i="3"/>
  <c r="K270" i="29"/>
  <c r="B1500" i="106" s="1"/>
  <c r="D1500" i="106" s="1"/>
  <c r="B1492" i="106"/>
  <c r="D1492" i="106" s="1"/>
  <c r="B1511" i="106"/>
  <c r="D1511" i="106" s="1"/>
  <c r="G14" i="4"/>
  <c r="B2609" i="106" s="1"/>
  <c r="D2609" i="106" s="1"/>
  <c r="F72" i="34"/>
  <c r="L127" i="29"/>
  <c r="L129" i="29" s="1"/>
  <c r="B1617" i="106"/>
  <c r="D1617" i="106" s="1"/>
  <c r="K42" i="29" l="1"/>
  <c r="E21" i="108" s="1"/>
  <c r="B1745" i="106"/>
  <c r="D1745" i="106" s="1"/>
  <c r="K53" i="29"/>
  <c r="E23" i="108" s="1"/>
  <c r="F52" i="34"/>
  <c r="B7831" i="106" s="1"/>
  <c r="D7831" i="106" s="1"/>
  <c r="B1249" i="106"/>
  <c r="D1249" i="106" s="1"/>
  <c r="B6853" i="106"/>
  <c r="D6853" i="106" s="1"/>
  <c r="B5741" i="106"/>
  <c r="D5741" i="106" s="1"/>
  <c r="F266" i="5"/>
  <c r="B5713" i="106" s="1"/>
  <c r="D5713" i="106" s="1"/>
  <c r="G39" i="108"/>
  <c r="L312" i="29"/>
  <c r="L210" i="29"/>
  <c r="B1746" i="106"/>
  <c r="D1746" i="106" s="1"/>
  <c r="F37" i="34"/>
  <c r="B7829" i="106" s="1"/>
  <c r="D7829" i="106" s="1"/>
  <c r="B1144" i="106"/>
  <c r="D1144" i="106" s="1"/>
  <c r="C14" i="4"/>
  <c r="B2558" i="106" s="1"/>
  <c r="D2558" i="106" s="1"/>
  <c r="H15" i="184"/>
  <c r="K72" i="29"/>
  <c r="B1141" i="106" s="1"/>
  <c r="D1141" i="106" s="1"/>
  <c r="D37" i="108"/>
  <c r="C114" i="29"/>
  <c r="B757" i="106" s="1"/>
  <c r="D757" i="106" s="1"/>
  <c r="K57" i="29"/>
  <c r="G24" i="108" s="1"/>
  <c r="B1124" i="106"/>
  <c r="D1124" i="106" s="1"/>
  <c r="K261" i="29"/>
  <c r="B1491" i="106" s="1"/>
  <c r="D1491" i="106" s="1"/>
  <c r="D4" i="7"/>
  <c r="B1760" i="106" s="1"/>
  <c r="D1760" i="106" s="1"/>
  <c r="F37" i="108"/>
  <c r="G266" i="5"/>
  <c r="B5863" i="106" s="1"/>
  <c r="D5863" i="106" s="1"/>
  <c r="L74" i="29"/>
  <c r="L114" i="29" s="1"/>
  <c r="D266" i="5"/>
  <c r="B5501" i="106" s="1"/>
  <c r="D5501" i="106" s="1"/>
  <c r="K65" i="29"/>
  <c r="B1133" i="106" s="1"/>
  <c r="D1133" i="106" s="1"/>
  <c r="I77" i="4"/>
  <c r="B3319" i="106" s="1"/>
  <c r="D3319" i="106" s="1"/>
  <c r="L151" i="29"/>
  <c r="L295" i="29"/>
  <c r="F114" i="29"/>
  <c r="B931" i="106" s="1"/>
  <c r="D931" i="106" s="1"/>
  <c r="G210" i="29"/>
  <c r="F65" i="34" s="1"/>
  <c r="J151" i="29"/>
  <c r="B7052" i="106" s="1"/>
  <c r="D7052" i="106" s="1"/>
  <c r="H151" i="29"/>
  <c r="B1273" i="106" s="1"/>
  <c r="D1273" i="106" s="1"/>
  <c r="B1258" i="106"/>
  <c r="D1258" i="106" s="1"/>
  <c r="F158" i="34"/>
  <c r="B7866" i="106" s="1"/>
  <c r="D7866" i="106" s="1"/>
  <c r="E210" i="29"/>
  <c r="B1353" i="106" s="1"/>
  <c r="D1353" i="106" s="1"/>
  <c r="K127" i="29"/>
  <c r="J114" i="29"/>
  <c r="B7021" i="106" s="1"/>
  <c r="D7021" i="106" s="1"/>
  <c r="B157" i="106"/>
  <c r="D157" i="106" s="1"/>
  <c r="B5304" i="106"/>
  <c r="D5304" i="106" s="1"/>
  <c r="F133" i="34"/>
  <c r="B7865" i="106" s="1"/>
  <c r="D7865" i="106" s="1"/>
  <c r="B952" i="106"/>
  <c r="D952" i="106" s="1"/>
  <c r="B5232" i="106"/>
  <c r="D5232" i="106" s="1"/>
  <c r="F124" i="34"/>
  <c r="B7856" i="106" s="1"/>
  <c r="D7856" i="106" s="1"/>
  <c r="B7222" i="106"/>
  <c r="D7222" i="106" s="1"/>
  <c r="F76" i="34"/>
  <c r="B7887" i="106" s="1"/>
  <c r="D7887" i="106" s="1"/>
  <c r="C151" i="29"/>
  <c r="B1226" i="106" s="1"/>
  <c r="D1226" i="106" s="1"/>
  <c r="B1225" i="106"/>
  <c r="D1225" i="106" s="1"/>
  <c r="K352" i="29"/>
  <c r="B3670" i="106"/>
  <c r="D3670" i="106" s="1"/>
  <c r="E114" i="29"/>
  <c r="B873" i="106" s="1"/>
  <c r="D873" i="106" s="1"/>
  <c r="K77" i="4"/>
  <c r="B3587" i="106" s="1"/>
  <c r="D3587" i="106" s="1"/>
  <c r="F58" i="34"/>
  <c r="B1259" i="106"/>
  <c r="D1259" i="106" s="1"/>
  <c r="I367" i="29"/>
  <c r="B7244" i="106" s="1"/>
  <c r="D7244" i="106" s="1"/>
  <c r="B7234" i="106"/>
  <c r="D7234" i="106" s="1"/>
  <c r="B5165" i="106"/>
  <c r="D5165" i="106" s="1"/>
  <c r="F108" i="34"/>
  <c r="B7844" i="106" s="1"/>
  <c r="D7844" i="106" s="1"/>
  <c r="E367" i="29"/>
  <c r="B3636" i="106" s="1"/>
  <c r="D3636" i="106" s="1"/>
  <c r="B3635" i="106"/>
  <c r="D3635" i="106" s="1"/>
  <c r="J367" i="29"/>
  <c r="B7245" i="106" s="1"/>
  <c r="D7245" i="106" s="1"/>
  <c r="B7235" i="106"/>
  <c r="D7235" i="106" s="1"/>
  <c r="B3656" i="106"/>
  <c r="D3656" i="106" s="1"/>
  <c r="H367" i="29"/>
  <c r="B3660" i="106" s="1"/>
  <c r="D3660" i="106" s="1"/>
  <c r="B3649" i="106"/>
  <c r="D3649" i="106" s="1"/>
  <c r="G367" i="29"/>
  <c r="B3650" i="106" s="1"/>
  <c r="D3650" i="106" s="1"/>
  <c r="B5161" i="106"/>
  <c r="D5161" i="106" s="1"/>
  <c r="F107" i="34"/>
  <c r="B7843" i="106" s="1"/>
  <c r="D7843" i="106" s="1"/>
  <c r="F170" i="5"/>
  <c r="D74" i="29"/>
  <c r="H12" i="184"/>
  <c r="B1747" i="106"/>
  <c r="D1747" i="106" s="1"/>
  <c r="D7" i="7"/>
  <c r="B1763" i="106" s="1"/>
  <c r="D1763" i="106" s="1"/>
  <c r="B3725" i="106"/>
  <c r="D3725" i="106" s="1"/>
  <c r="D13" i="7"/>
  <c r="B3726" i="106" s="1"/>
  <c r="D3726" i="106" s="1"/>
  <c r="K139" i="29"/>
  <c r="B2093" i="106"/>
  <c r="D2093" i="106" s="1"/>
  <c r="B7220" i="106"/>
  <c r="D7220" i="106" s="1"/>
  <c r="F75" i="34"/>
  <c r="B7886" i="106" s="1"/>
  <c r="D7886" i="106" s="1"/>
  <c r="B203" i="106"/>
  <c r="D203" i="106" s="1"/>
  <c r="B3446" i="106"/>
  <c r="D3446" i="106" s="1"/>
  <c r="D16" i="7"/>
  <c r="B3447" i="106" s="1"/>
  <c r="D3447" i="106" s="1"/>
  <c r="N57" i="184"/>
  <c r="N68" i="184" s="1"/>
  <c r="E68" i="184"/>
  <c r="B180" i="106"/>
  <c r="D180" i="106" s="1"/>
  <c r="B3296" i="106"/>
  <c r="D3296" i="106" s="1"/>
  <c r="H77" i="4"/>
  <c r="B3299" i="106" s="1"/>
  <c r="D3299" i="106" s="1"/>
  <c r="B1515" i="106"/>
  <c r="D1515" i="106" s="1"/>
  <c r="G16" i="4"/>
  <c r="B2611" i="106" s="1"/>
  <c r="D2611" i="106" s="1"/>
  <c r="G74" i="29"/>
  <c r="B987" i="106" s="1"/>
  <c r="D987" i="106" s="1"/>
  <c r="B5725" i="106"/>
  <c r="D5725" i="106" s="1"/>
  <c r="B1128" i="106"/>
  <c r="D1128" i="106" s="1"/>
  <c r="F28" i="108"/>
  <c r="E28" i="108"/>
  <c r="B5246" i="106"/>
  <c r="D5246" i="106" s="1"/>
  <c r="F126" i="34"/>
  <c r="B7858" i="106" s="1"/>
  <c r="D7858" i="106" s="1"/>
  <c r="B3621" i="106"/>
  <c r="D3621" i="106" s="1"/>
  <c r="C367" i="29"/>
  <c r="B3622" i="106" s="1"/>
  <c r="D3622" i="106" s="1"/>
  <c r="B5341" i="106"/>
  <c r="D5341" i="106" s="1"/>
  <c r="D67" i="5"/>
  <c r="B5342" i="106" s="1"/>
  <c r="D5342" i="106" s="1"/>
  <c r="K6" i="4"/>
  <c r="B3570" i="106" s="1"/>
  <c r="D3570" i="106" s="1"/>
  <c r="B6014" i="106"/>
  <c r="D6014" i="106" s="1"/>
  <c r="B1501" i="106"/>
  <c r="D1501" i="106" s="1"/>
  <c r="K277" i="29"/>
  <c r="B1508" i="106" s="1"/>
  <c r="D1508" i="106" s="1"/>
  <c r="G170" i="5"/>
  <c r="B5770" i="106"/>
  <c r="D5770" i="106" s="1"/>
  <c r="B7207" i="106"/>
  <c r="D7207" i="106" s="1"/>
  <c r="J13" i="4"/>
  <c r="K342" i="29"/>
  <c r="B1239" i="106"/>
  <c r="D1239" i="106" s="1"/>
  <c r="E129" i="29"/>
  <c r="B3252" i="106"/>
  <c r="D3252" i="106" s="1"/>
  <c r="F77" i="4"/>
  <c r="B3255" i="106" s="1"/>
  <c r="D3255" i="106" s="1"/>
  <c r="B1748" i="106"/>
  <c r="D1748" i="106" s="1"/>
  <c r="D8" i="7"/>
  <c r="B1764" i="106" s="1"/>
  <c r="D1764" i="106" s="1"/>
  <c r="B5557" i="106"/>
  <c r="D5557" i="106" s="1"/>
  <c r="F109" i="5"/>
  <c r="B5225" i="106"/>
  <c r="D5225" i="106" s="1"/>
  <c r="B4411" i="106"/>
  <c r="D4411" i="106" s="1"/>
  <c r="F128" i="34"/>
  <c r="B7860" i="106" s="1"/>
  <c r="D7860" i="106" s="1"/>
  <c r="B5334" i="106"/>
  <c r="D5334" i="106" s="1"/>
  <c r="F95" i="34"/>
  <c r="B5096" i="106"/>
  <c r="D5096" i="106" s="1"/>
  <c r="B1370" i="106"/>
  <c r="D1370" i="106" s="1"/>
  <c r="H210" i="29"/>
  <c r="B1376" i="106" s="1"/>
  <c r="D1376" i="106" s="1"/>
  <c r="B1474" i="106"/>
  <c r="D1474" i="106" s="1"/>
  <c r="G12" i="4"/>
  <c r="J16" i="4"/>
  <c r="B6226" i="106" s="1"/>
  <c r="D6226" i="106" s="1"/>
  <c r="B7215" i="106"/>
  <c r="D7215" i="106" s="1"/>
  <c r="B5102" i="106"/>
  <c r="D5102" i="106" s="1"/>
  <c r="F96" i="34"/>
  <c r="B7838" i="106" s="1"/>
  <c r="D7838" i="106" s="1"/>
  <c r="B5732" i="106"/>
  <c r="D5732" i="106" s="1"/>
  <c r="G67" i="5"/>
  <c r="B5733" i="106" s="1"/>
  <c r="D5733" i="106" s="1"/>
  <c r="B77" i="106"/>
  <c r="D77" i="106" s="1"/>
  <c r="B5260" i="106"/>
  <c r="D5260" i="106" s="1"/>
  <c r="F127" i="34"/>
  <c r="B7859" i="106" s="1"/>
  <c r="D7859" i="106" s="1"/>
  <c r="F60" i="34"/>
  <c r="B1323" i="106"/>
  <c r="D1323" i="106" s="1"/>
  <c r="E15" i="4"/>
  <c r="B5873" i="106"/>
  <c r="D5873" i="106" s="1"/>
  <c r="H109" i="5"/>
  <c r="B1754" i="106"/>
  <c r="D1754" i="106" s="1"/>
  <c r="D14" i="7"/>
  <c r="B1770" i="106" s="1"/>
  <c r="D1770" i="106" s="1"/>
  <c r="B7054" i="106"/>
  <c r="D7054" i="106" s="1"/>
  <c r="J7" i="4"/>
  <c r="B6222" i="106" s="1"/>
  <c r="D6222" i="106" s="1"/>
  <c r="F367" i="29"/>
  <c r="B3643" i="106" s="1"/>
  <c r="D3643" i="106" s="1"/>
  <c r="B3642" i="106"/>
  <c r="D3642" i="106" s="1"/>
  <c r="E267" i="5"/>
  <c r="H74" i="29"/>
  <c r="D367" i="29"/>
  <c r="B3629" i="106" s="1"/>
  <c r="D3629" i="106" s="1"/>
  <c r="B3628" i="106"/>
  <c r="D3628" i="106" s="1"/>
  <c r="K312" i="29"/>
  <c r="B1560" i="106" s="1"/>
  <c r="D1560" i="106" s="1"/>
  <c r="B1559" i="106"/>
  <c r="D1559" i="106" s="1"/>
  <c r="H13" i="4"/>
  <c r="H267" i="5"/>
  <c r="E38" i="108"/>
  <c r="K196" i="29"/>
  <c r="B2837" i="106"/>
  <c r="D2837" i="106" s="1"/>
  <c r="B6124" i="106"/>
  <c r="D6124" i="106" s="1"/>
  <c r="B3565" i="106"/>
  <c r="D3565" i="106" s="1"/>
  <c r="B3274" i="106"/>
  <c r="D3274" i="106" s="1"/>
  <c r="E77" i="4"/>
  <c r="B3277" i="106" s="1"/>
  <c r="D3277" i="106" s="1"/>
  <c r="B1751" i="106"/>
  <c r="D1751" i="106" s="1"/>
  <c r="D9" i="7"/>
  <c r="B1767" i="106" s="1"/>
  <c r="D1767" i="106" s="1"/>
  <c r="H174" i="29"/>
  <c r="B1318" i="106" s="1"/>
  <c r="D1318" i="106" s="1"/>
  <c r="B1317" i="106"/>
  <c r="D1317" i="106" s="1"/>
  <c r="G38" i="108"/>
  <c r="B7071" i="106"/>
  <c r="D7071" i="106" s="1"/>
  <c r="F66" i="34"/>
  <c r="B169" i="106"/>
  <c r="D169" i="106" s="1"/>
  <c r="G29" i="108"/>
  <c r="J109" i="5"/>
  <c r="D170" i="5"/>
  <c r="D279" i="29"/>
  <c r="B2102" i="106"/>
  <c r="D2102" i="106" s="1"/>
  <c r="H15" i="4"/>
  <c r="B2660" i="106" s="1"/>
  <c r="D2660" i="106" s="1"/>
  <c r="B3724" i="106"/>
  <c r="D3724" i="106" s="1"/>
  <c r="G15" i="4"/>
  <c r="B6032" i="106" s="1"/>
  <c r="D6032" i="106" s="1"/>
  <c r="F73" i="34"/>
  <c r="K149" i="29"/>
  <c r="B7048" i="106"/>
  <c r="D7048" i="106" s="1"/>
  <c r="B5132" i="106"/>
  <c r="D5132" i="106" s="1"/>
  <c r="B5906" i="106"/>
  <c r="D5906" i="106" s="1"/>
  <c r="H6" i="4"/>
  <c r="B2656" i="106" s="1"/>
  <c r="D2656" i="106" s="1"/>
  <c r="E29" i="108"/>
  <c r="B4216" i="106"/>
  <c r="D4216" i="106" s="1"/>
  <c r="I6" i="4"/>
  <c r="B5011" i="106" s="1"/>
  <c r="D5011" i="106" s="1"/>
  <c r="E22" i="108"/>
  <c r="G22" i="108"/>
  <c r="B1119" i="106"/>
  <c r="D1119" i="106" s="1"/>
  <c r="B2088" i="106"/>
  <c r="D2088" i="106" s="1"/>
  <c r="K102" i="29"/>
  <c r="B3674" i="106"/>
  <c r="D3674" i="106" s="1"/>
  <c r="K15" i="4"/>
  <c r="B3573" i="106" s="1"/>
  <c r="D3573" i="106" s="1"/>
  <c r="B1756" i="106"/>
  <c r="D1756" i="106" s="1"/>
  <c r="D15" i="7"/>
  <c r="B1772" i="106" s="1"/>
  <c r="D1772" i="106" s="1"/>
  <c r="B4395" i="106"/>
  <c r="D4395" i="106" s="1"/>
  <c r="F125" i="34"/>
  <c r="B7857" i="106" s="1"/>
  <c r="D7857" i="106" s="1"/>
  <c r="C266" i="5"/>
  <c r="B5320" i="106" s="1"/>
  <c r="D5320" i="106" s="1"/>
  <c r="B19" i="7"/>
  <c r="B1759" i="106" s="1"/>
  <c r="D1759" i="106" s="1"/>
  <c r="K208" i="29"/>
  <c r="B4157" i="106"/>
  <c r="D4157" i="106" s="1"/>
  <c r="B6022" i="106"/>
  <c r="D6022" i="106" s="1"/>
  <c r="K7" i="4"/>
  <c r="B3718" i="106" s="1"/>
  <c r="D3718" i="106" s="1"/>
  <c r="C109" i="5"/>
  <c r="B6397" i="106"/>
  <c r="D6397" i="106" s="1"/>
  <c r="J6" i="4"/>
  <c r="B6221" i="106" s="1"/>
  <c r="D6221" i="106" s="1"/>
  <c r="B2888" i="106"/>
  <c r="D2888" i="106" s="1"/>
  <c r="K184" i="29"/>
  <c r="B4087" i="106"/>
  <c r="D4087" i="106" s="1"/>
  <c r="K172" i="29"/>
  <c r="B1328" i="106"/>
  <c r="D1328" i="106" s="1"/>
  <c r="B5147" i="106"/>
  <c r="D5147" i="106" s="1"/>
  <c r="F106" i="34"/>
  <c r="B7842" i="106" s="1"/>
  <c r="D7842" i="106" s="1"/>
  <c r="C169" i="5"/>
  <c r="B5214" i="106" s="1"/>
  <c r="D5214" i="106" s="1"/>
  <c r="F31" i="108"/>
  <c r="B1131" i="106"/>
  <c r="D1131" i="106" s="1"/>
  <c r="D31" i="108"/>
  <c r="E16" i="184"/>
  <c r="H16" i="184" s="1"/>
  <c r="B6902" i="106"/>
  <c r="D6902" i="106" s="1"/>
  <c r="I114" i="29"/>
  <c r="B1753" i="106"/>
  <c r="D1753" i="106" s="1"/>
  <c r="D12" i="7"/>
  <c r="B1769" i="106" s="1"/>
  <c r="D1769" i="106" s="1"/>
  <c r="B1233" i="106"/>
  <c r="D1233" i="106" s="1"/>
  <c r="D151" i="29"/>
  <c r="B1234" i="106" s="1"/>
  <c r="D1234" i="106" s="1"/>
  <c r="B1151" i="106"/>
  <c r="D1151" i="106" s="1"/>
  <c r="K112" i="29"/>
  <c r="B1749" i="106"/>
  <c r="D1749" i="106" s="1"/>
  <c r="D10" i="7"/>
  <c r="B1765" i="106" s="1"/>
  <c r="D1765" i="106" s="1"/>
  <c r="B5125" i="106"/>
  <c r="D5125" i="106" s="1"/>
  <c r="C5" i="4"/>
  <c r="B3405" i="106" s="1"/>
  <c r="D3405" i="106" s="1"/>
  <c r="B5178" i="106"/>
  <c r="D5178" i="106" s="1"/>
  <c r="F112" i="34"/>
  <c r="B7847" i="106" s="1"/>
  <c r="D7847" i="106" s="1"/>
  <c r="K33" i="29"/>
  <c r="C210" i="29"/>
  <c r="B1340" i="106" s="1"/>
  <c r="D1340" i="106" s="1"/>
  <c r="B1339" i="106"/>
  <c r="D1339" i="106" s="1"/>
  <c r="B3676" i="106"/>
  <c r="D3676" i="106" s="1"/>
  <c r="K365" i="29"/>
  <c r="B5987" i="106"/>
  <c r="D5987" i="106" s="1"/>
  <c r="K109" i="5"/>
  <c r="B1481" i="106"/>
  <c r="D1481" i="106" s="1"/>
  <c r="B5513" i="106"/>
  <c r="D5513" i="106" s="1"/>
  <c r="E109" i="5"/>
  <c r="B5918" i="106"/>
  <c r="D5918" i="106" s="1"/>
  <c r="I109" i="5"/>
  <c r="B122" i="106"/>
  <c r="D122" i="106" s="1"/>
  <c r="B4103" i="106"/>
  <c r="D4103" i="106" s="1"/>
  <c r="D18" i="7"/>
  <c r="B4105" i="106" s="1"/>
  <c r="D4105" i="106" s="1"/>
  <c r="B109" i="106"/>
  <c r="D109" i="106" s="1"/>
  <c r="B5544" i="106"/>
  <c r="D5544" i="106" s="1"/>
  <c r="E6" i="4"/>
  <c r="B2631" i="106" s="1"/>
  <c r="D2631" i="106" s="1"/>
  <c r="B4102" i="106"/>
  <c r="D4102" i="106" s="1"/>
  <c r="D17" i="7"/>
  <c r="B4104" i="106" s="1"/>
  <c r="D4104" i="106" s="1"/>
  <c r="B7037" i="106"/>
  <c r="D7037" i="106" s="1"/>
  <c r="I151" i="29"/>
  <c r="B1115" i="106" l="1"/>
  <c r="D1115" i="106" s="1"/>
  <c r="G21" i="108"/>
  <c r="B1122" i="106"/>
  <c r="D1122" i="106" s="1"/>
  <c r="G23" i="108"/>
  <c r="F267" i="5"/>
  <c r="F7" i="4" s="1"/>
  <c r="B2594" i="106" s="1"/>
  <c r="D2594" i="106" s="1"/>
  <c r="D41" i="108"/>
  <c r="E43" i="108" s="1"/>
  <c r="B1125" i="106"/>
  <c r="D1125" i="106" s="1"/>
  <c r="B1365" i="106"/>
  <c r="D1365" i="106" s="1"/>
  <c r="E24" i="108"/>
  <c r="G267" i="5"/>
  <c r="G7" i="4" s="1"/>
  <c r="B2605" i="106" s="1"/>
  <c r="D2605" i="106" s="1"/>
  <c r="K74" i="29"/>
  <c r="B1143" i="106" s="1"/>
  <c r="D1143" i="106" s="1"/>
  <c r="D267" i="5"/>
  <c r="D7" i="4" s="1"/>
  <c r="B2567" i="106" s="1"/>
  <c r="D2567" i="106" s="1"/>
  <c r="K279" i="29"/>
  <c r="K295" i="29" s="1"/>
  <c r="F12" i="34" s="1"/>
  <c r="H19" i="184"/>
  <c r="L20" i="184" s="1"/>
  <c r="D109" i="5"/>
  <c r="B5356" i="106" s="1"/>
  <c r="D5356" i="106" s="1"/>
  <c r="B1279" i="106"/>
  <c r="D1279" i="106" s="1"/>
  <c r="K129" i="29"/>
  <c r="K151" i="29" s="1"/>
  <c r="C267" i="5"/>
  <c r="B5326" i="106" s="1"/>
  <c r="D5326" i="106" s="1"/>
  <c r="F41" i="108"/>
  <c r="G43" i="108" s="1"/>
  <c r="F175" i="34"/>
  <c r="B7877" i="106" s="1"/>
  <c r="D7877" i="106" s="1"/>
  <c r="B7020" i="106"/>
  <c r="D7020" i="106" s="1"/>
  <c r="F55" i="34"/>
  <c r="F17" i="11"/>
  <c r="F13" i="4"/>
  <c r="B1381" i="106"/>
  <c r="D1381" i="106" s="1"/>
  <c r="K210" i="29"/>
  <c r="B2659" i="106"/>
  <c r="D2659" i="106" s="1"/>
  <c r="H17" i="4"/>
  <c r="G109" i="5"/>
  <c r="D6" i="4"/>
  <c r="B2566" i="106" s="1"/>
  <c r="D2566" i="106" s="1"/>
  <c r="B5421" i="106"/>
  <c r="D5421" i="106" s="1"/>
  <c r="H4" i="4"/>
  <c r="B6025" i="106"/>
  <c r="D6025" i="106" s="1"/>
  <c r="H268" i="5"/>
  <c r="E151" i="29"/>
  <c r="B1242" i="106" s="1"/>
  <c r="D1242" i="106" s="1"/>
  <c r="B1241" i="106"/>
  <c r="D1241" i="106" s="1"/>
  <c r="B7243" i="106"/>
  <c r="D7243" i="106" s="1"/>
  <c r="K16" i="4"/>
  <c r="B3574" i="106" s="1"/>
  <c r="D3574" i="106" s="1"/>
  <c r="J4" i="4"/>
  <c r="J268" i="5"/>
  <c r="B6352" i="106"/>
  <c r="D6352" i="106" s="1"/>
  <c r="C170" i="5"/>
  <c r="B2633" i="106"/>
  <c r="D2633" i="106" s="1"/>
  <c r="E19" i="184"/>
  <c r="F59" i="34"/>
  <c r="B7051" i="106"/>
  <c r="D7051" i="106" s="1"/>
  <c r="B6026" i="106"/>
  <c r="D6026" i="106" s="1"/>
  <c r="I4" i="4"/>
  <c r="I268" i="5"/>
  <c r="B5946" i="106" s="1"/>
  <c r="D5946" i="106" s="1"/>
  <c r="E19" i="108"/>
  <c r="G19" i="108"/>
  <c r="C12" i="4"/>
  <c r="B1108" i="106"/>
  <c r="D1108" i="106" s="1"/>
  <c r="B5121" i="106"/>
  <c r="D5121" i="106" s="1"/>
  <c r="C4" i="4"/>
  <c r="B1045" i="106"/>
  <c r="D1045" i="106" s="1"/>
  <c r="H114" i="29"/>
  <c r="B1054" i="106" s="1"/>
  <c r="D1054" i="106" s="1"/>
  <c r="C16" i="4"/>
  <c r="B2560" i="106" s="1"/>
  <c r="D2560" i="106" s="1"/>
  <c r="B7019" i="106"/>
  <c r="D7019" i="106" s="1"/>
  <c r="F53" i="34"/>
  <c r="B1145" i="106"/>
  <c r="D1145" i="106" s="1"/>
  <c r="C15" i="4"/>
  <c r="B2559" i="106" s="1"/>
  <c r="D2559" i="106" s="1"/>
  <c r="E7" i="4"/>
  <c r="B4443" i="106" s="1"/>
  <c r="D4443" i="106" s="1"/>
  <c r="B4434" i="106"/>
  <c r="D4434" i="106" s="1"/>
  <c r="B2607" i="106"/>
  <c r="D2607" i="106" s="1"/>
  <c r="F13" i="34"/>
  <c r="B7224" i="106"/>
  <c r="D7224" i="106" s="1"/>
  <c r="B813" i="106"/>
  <c r="D813" i="106" s="1"/>
  <c r="D114" i="29"/>
  <c r="B815" i="106" s="1"/>
  <c r="D815" i="106" s="1"/>
  <c r="G114" i="29"/>
  <c r="E4" i="4"/>
  <c r="B5527" i="106"/>
  <c r="D5527" i="106" s="1"/>
  <c r="E268" i="5"/>
  <c r="D16" i="4"/>
  <c r="B2572" i="106" s="1"/>
  <c r="D2572" i="106" s="1"/>
  <c r="B1287" i="106"/>
  <c r="D1287" i="106" s="1"/>
  <c r="B7042" i="106"/>
  <c r="D7042" i="106" s="1"/>
  <c r="J17" i="4"/>
  <c r="B5653" i="106"/>
  <c r="D5653" i="106" s="1"/>
  <c r="F6" i="4"/>
  <c r="B2593" i="106" s="1"/>
  <c r="D2593" i="106" s="1"/>
  <c r="D19" i="7"/>
  <c r="B1775" i="106" s="1"/>
  <c r="D1775" i="106" s="1"/>
  <c r="F4" i="4"/>
  <c r="B5588" i="106"/>
  <c r="D5588" i="106" s="1"/>
  <c r="K367" i="29"/>
  <c r="K13" i="4"/>
  <c r="B3672" i="106"/>
  <c r="D3672" i="106" s="1"/>
  <c r="D295" i="29"/>
  <c r="B1448" i="106" s="1"/>
  <c r="D1448" i="106" s="1"/>
  <c r="B1446" i="106"/>
  <c r="D1446" i="106" s="1"/>
  <c r="B1387" i="106"/>
  <c r="D1387" i="106" s="1"/>
  <c r="F16" i="4"/>
  <c r="B2599" i="106" s="1"/>
  <c r="D2599" i="106" s="1"/>
  <c r="F15" i="4"/>
  <c r="B2598" i="106" s="1"/>
  <c r="D2598" i="106" s="1"/>
  <c r="B1382" i="106"/>
  <c r="D1382" i="106" s="1"/>
  <c r="F63" i="34"/>
  <c r="K174" i="29"/>
  <c r="E16" i="4"/>
  <c r="B2634" i="106" s="1"/>
  <c r="D2634" i="106" s="1"/>
  <c r="B1331" i="106"/>
  <c r="D1331" i="106" s="1"/>
  <c r="B5778" i="106"/>
  <c r="D5778" i="106" s="1"/>
  <c r="G6" i="4"/>
  <c r="B2604" i="106" s="1"/>
  <c r="D2604" i="106" s="1"/>
  <c r="K268" i="5"/>
  <c r="B6023" i="106" s="1"/>
  <c r="D6023" i="106" s="1"/>
  <c r="K4" i="4"/>
  <c r="B6028" i="106"/>
  <c r="D6028" i="106" s="1"/>
  <c r="H7" i="4"/>
  <c r="B2657" i="106" s="1"/>
  <c r="D2657" i="106" s="1"/>
  <c r="B5914" i="106"/>
  <c r="D5914" i="106" s="1"/>
  <c r="F57" i="34"/>
  <c r="B1282" i="106"/>
  <c r="D1282" i="106" s="1"/>
  <c r="D15" i="4"/>
  <c r="B2571" i="106" s="1"/>
  <c r="D2571" i="106" s="1"/>
  <c r="G41" i="108" l="1"/>
  <c r="G44" i="108" s="1"/>
  <c r="G45" i="108" s="1"/>
  <c r="B5719" i="106"/>
  <c r="D5719" i="106" s="1"/>
  <c r="F268" i="5"/>
  <c r="K211" i="29" s="1"/>
  <c r="B1389" i="106" s="1"/>
  <c r="D1389" i="106" s="1"/>
  <c r="B5869" i="106"/>
  <c r="D5869" i="106" s="1"/>
  <c r="E41" i="108"/>
  <c r="E44" i="108" s="1"/>
  <c r="E45" i="108" s="1"/>
  <c r="B5507" i="106"/>
  <c r="D5507" i="106" s="1"/>
  <c r="C7" i="4"/>
  <c r="D10" i="171" s="1"/>
  <c r="D19" i="171" s="1"/>
  <c r="D32" i="171" s="1"/>
  <c r="D49" i="171" s="1"/>
  <c r="K114" i="29"/>
  <c r="F8" i="34" s="1"/>
  <c r="C13" i="4"/>
  <c r="B2557" i="106" s="1"/>
  <c r="D2557" i="106" s="1"/>
  <c r="D4" i="4"/>
  <c r="B2564" i="106" s="1"/>
  <c r="D2564" i="106" s="1"/>
  <c r="D268" i="5"/>
  <c r="B5508" i="106" s="1"/>
  <c r="D5508" i="106" s="1"/>
  <c r="B1510" i="106"/>
  <c r="D1510" i="106" s="1"/>
  <c r="B1517" i="106"/>
  <c r="D1517" i="106" s="1"/>
  <c r="G13" i="4"/>
  <c r="B2608" i="106" s="1"/>
  <c r="D2608" i="106" s="1"/>
  <c r="D13" i="4"/>
  <c r="B2569" i="106" s="1"/>
  <c r="D2569" i="106" s="1"/>
  <c r="B1281" i="106"/>
  <c r="D1281" i="106" s="1"/>
  <c r="B3572" i="106"/>
  <c r="D3572" i="106" s="1"/>
  <c r="K17" i="4"/>
  <c r="B2551" i="106"/>
  <c r="D2551" i="106" s="1"/>
  <c r="H19" i="4"/>
  <c r="B4141" i="106" s="1"/>
  <c r="D4141" i="106" s="1"/>
  <c r="B2661" i="106"/>
  <c r="D2661" i="106" s="1"/>
  <c r="K368" i="29"/>
  <c r="B3681" i="106" s="1"/>
  <c r="D3681" i="106" s="1"/>
  <c r="B3678" i="106"/>
  <c r="D3678" i="106" s="1"/>
  <c r="K175" i="29"/>
  <c r="B1333" i="106" s="1"/>
  <c r="D1333" i="106" s="1"/>
  <c r="B5552" i="106"/>
  <c r="D5552" i="106" s="1"/>
  <c r="F11" i="34"/>
  <c r="B1388" i="106"/>
  <c r="D1388" i="106" s="1"/>
  <c r="B3569" i="106"/>
  <c r="D3569" i="106" s="1"/>
  <c r="K8" i="4"/>
  <c r="B2630" i="106"/>
  <c r="D2630" i="106" s="1"/>
  <c r="E8" i="4"/>
  <c r="E17" i="4"/>
  <c r="B2912" i="106"/>
  <c r="D2912" i="106" s="1"/>
  <c r="I41" i="3"/>
  <c r="B2591" i="106"/>
  <c r="D2591" i="106" s="1"/>
  <c r="F8" i="4"/>
  <c r="B989" i="106"/>
  <c r="D989" i="106" s="1"/>
  <c r="F54" i="34"/>
  <c r="F77" i="34" s="1"/>
  <c r="B7834" i="106" s="1"/>
  <c r="D7834" i="106" s="1"/>
  <c r="B2556" i="106"/>
  <c r="D2556" i="106" s="1"/>
  <c r="B2596" i="106"/>
  <c r="D2596" i="106" s="1"/>
  <c r="F17" i="4"/>
  <c r="B5223" i="106"/>
  <c r="D5223" i="106" s="1"/>
  <c r="C6" i="4"/>
  <c r="B2553" i="106" s="1"/>
  <c r="D2553" i="106" s="1"/>
  <c r="B7624" i="106"/>
  <c r="D7624" i="106" s="1"/>
  <c r="I17" i="11"/>
  <c r="B5915" i="106"/>
  <c r="D5915" i="106" s="1"/>
  <c r="K313" i="29"/>
  <c r="B1561" i="106" s="1"/>
  <c r="D1561" i="106" s="1"/>
  <c r="F9" i="34"/>
  <c r="B1288" i="106"/>
  <c r="D1288" i="106" s="1"/>
  <c r="I8" i="4"/>
  <c r="B3225" i="106"/>
  <c r="D3225" i="106" s="1"/>
  <c r="B2655" i="106"/>
  <c r="D2655" i="106" s="1"/>
  <c r="H8" i="4"/>
  <c r="B6227" i="106"/>
  <c r="D6227" i="106" s="1"/>
  <c r="J19" i="4"/>
  <c r="B6229" i="106" s="1"/>
  <c r="D6229" i="106" s="1"/>
  <c r="B7055" i="106"/>
  <c r="D7055" i="106" s="1"/>
  <c r="K343" i="29"/>
  <c r="B7225" i="106" s="1"/>
  <c r="D7225" i="106" s="1"/>
  <c r="B6220" i="106"/>
  <c r="D6220" i="106" s="1"/>
  <c r="J8" i="4"/>
  <c r="B140" i="106"/>
  <c r="D140" i="106" s="1"/>
  <c r="E41" i="3"/>
  <c r="F10" i="34"/>
  <c r="B1332" i="106"/>
  <c r="D1332" i="106" s="1"/>
  <c r="C268" i="5"/>
  <c r="G4" i="4"/>
  <c r="B6024" i="106"/>
  <c r="D6024" i="106" s="1"/>
  <c r="G268" i="5"/>
  <c r="B5720" i="106" l="1"/>
  <c r="D5720" i="106" s="1"/>
  <c r="C17" i="4"/>
  <c r="B9" i="146" s="1"/>
  <c r="B1152" i="106"/>
  <c r="D1152" i="106" s="1"/>
  <c r="B2554" i="106"/>
  <c r="D2554" i="106" s="1"/>
  <c r="D8" i="4"/>
  <c r="C8" i="146" s="1"/>
  <c r="K152" i="29"/>
  <c r="B1289" i="106" s="1"/>
  <c r="D1289" i="106" s="1"/>
  <c r="G17" i="4"/>
  <c r="G19" i="4" s="1"/>
  <c r="B4140" i="106" s="1"/>
  <c r="D4140" i="106" s="1"/>
  <c r="D17" i="4"/>
  <c r="B2573" i="106" s="1"/>
  <c r="D2573" i="106" s="1"/>
  <c r="B141" i="106"/>
  <c r="D141" i="106" s="1"/>
  <c r="D46" i="36"/>
  <c r="I20" i="4"/>
  <c r="B3226" i="106"/>
  <c r="D3226" i="106" s="1"/>
  <c r="I10" i="4"/>
  <c r="B4128" i="106" s="1"/>
  <c r="D4128" i="106" s="1"/>
  <c r="E8" i="146"/>
  <c r="E10" i="146" s="1"/>
  <c r="E19" i="4"/>
  <c r="B4138" i="106" s="1"/>
  <c r="D4138" i="106" s="1"/>
  <c r="B2635" i="106"/>
  <c r="D2635" i="106" s="1"/>
  <c r="J10" i="4"/>
  <c r="B6225" i="106" s="1"/>
  <c r="D6225" i="106" s="1"/>
  <c r="J20" i="4"/>
  <c r="B6223" i="106"/>
  <c r="D6223" i="106" s="1"/>
  <c r="E20" i="4"/>
  <c r="B2632" i="106"/>
  <c r="D2632" i="106" s="1"/>
  <c r="E10" i="4"/>
  <c r="B4124" i="106" s="1"/>
  <c r="D4124" i="106" s="1"/>
  <c r="B6215" i="106"/>
  <c r="D6215" i="106" s="1"/>
  <c r="J41" i="3"/>
  <c r="K296" i="29"/>
  <c r="B1518" i="106" s="1"/>
  <c r="D1518" i="106" s="1"/>
  <c r="B5870" i="106"/>
  <c r="D5870" i="106" s="1"/>
  <c r="B3571" i="106"/>
  <c r="D3571" i="106" s="1"/>
  <c r="K10" i="4"/>
  <c r="B4130" i="106" s="1"/>
  <c r="D4130" i="106" s="1"/>
  <c r="K20" i="4"/>
  <c r="B2603" i="106"/>
  <c r="D2603" i="106" s="1"/>
  <c r="G8" i="4"/>
  <c r="I18" i="11"/>
  <c r="B7625" i="106"/>
  <c r="D7625" i="106" s="1"/>
  <c r="B5327" i="106"/>
  <c r="D5327" i="106" s="1"/>
  <c r="K115" i="29"/>
  <c r="B1153" i="106" s="1"/>
  <c r="D1153" i="106" s="1"/>
  <c r="F10" i="4"/>
  <c r="B4125" i="106" s="1"/>
  <c r="D4125" i="106" s="1"/>
  <c r="D8" i="146"/>
  <c r="B2595" i="106"/>
  <c r="D2595" i="106" s="1"/>
  <c r="F20" i="4"/>
  <c r="C8" i="4"/>
  <c r="H20" i="4"/>
  <c r="B2658" i="106"/>
  <c r="D2658" i="106" s="1"/>
  <c r="H10" i="4"/>
  <c r="B4127" i="106" s="1"/>
  <c r="D4127" i="106" s="1"/>
  <c r="B2913" i="106"/>
  <c r="D2913" i="106" s="1"/>
  <c r="D50" i="36"/>
  <c r="F14" i="34"/>
  <c r="B3575" i="106"/>
  <c r="D3575" i="106" s="1"/>
  <c r="K19" i="4"/>
  <c r="B4144" i="106" s="1"/>
  <c r="D4144" i="106" s="1"/>
  <c r="D9" i="146"/>
  <c r="B2600" i="106"/>
  <c r="D2600" i="106" s="1"/>
  <c r="F19" i="4"/>
  <c r="B4139" i="106" s="1"/>
  <c r="D4139" i="106" s="1"/>
  <c r="D19" i="4" l="1"/>
  <c r="B4137" i="106" s="1"/>
  <c r="D4137" i="106" s="1"/>
  <c r="C19" i="4"/>
  <c r="B4136" i="106" s="1"/>
  <c r="D4136" i="106" s="1"/>
  <c r="B2561" i="106"/>
  <c r="D2561" i="106" s="1"/>
  <c r="D10" i="4"/>
  <c r="B4123" i="106" s="1"/>
  <c r="D4123" i="106" s="1"/>
  <c r="B2568" i="106"/>
  <c r="D2568" i="106" s="1"/>
  <c r="B2612" i="106"/>
  <c r="D2612" i="106" s="1"/>
  <c r="F16" i="37"/>
  <c r="D20" i="4"/>
  <c r="D78" i="4" s="1"/>
  <c r="C9" i="146"/>
  <c r="F9" i="146" s="1"/>
  <c r="H17" i="118"/>
  <c r="H25" i="118" s="1"/>
  <c r="K24" i="118" s="1"/>
  <c r="O23" i="118" s="1"/>
  <c r="O25" i="118" s="1"/>
  <c r="B7631" i="106"/>
  <c r="D7631" i="106" s="1"/>
  <c r="F177" i="34"/>
  <c r="G10" i="4"/>
  <c r="B4126" i="106" s="1"/>
  <c r="D4126" i="106" s="1"/>
  <c r="G20" i="4"/>
  <c r="B2606" i="106"/>
  <c r="D2606" i="106" s="1"/>
  <c r="B212" i="106"/>
  <c r="D212" i="106" s="1"/>
  <c r="H41" i="3"/>
  <c r="B2662" i="106"/>
  <c r="D2662" i="106" s="1"/>
  <c r="H78" i="4"/>
  <c r="B3576" i="106"/>
  <c r="D3576" i="106" s="1"/>
  <c r="K78" i="4"/>
  <c r="H13" i="118"/>
  <c r="B8" i="146"/>
  <c r="D16" i="37"/>
  <c r="H18" i="118"/>
  <c r="B2555" i="106"/>
  <c r="D2555" i="106" s="1"/>
  <c r="C10" i="4"/>
  <c r="B4122" i="106" s="1"/>
  <c r="D4122" i="106" s="1"/>
  <c r="C20" i="4"/>
  <c r="B123" i="106"/>
  <c r="D123" i="106" s="1"/>
  <c r="D41" i="3"/>
  <c r="B2636" i="106"/>
  <c r="D2636" i="106" s="1"/>
  <c r="E78" i="4"/>
  <c r="N23" i="3"/>
  <c r="B282" i="106"/>
  <c r="D282" i="106" s="1"/>
  <c r="F78" i="4"/>
  <c r="B2601" i="106"/>
  <c r="D2601" i="106" s="1"/>
  <c r="B3567" i="106"/>
  <c r="D3567" i="106" s="1"/>
  <c r="K41" i="3"/>
  <c r="D10" i="146"/>
  <c r="B7822" i="106"/>
  <c r="F78" i="34"/>
  <c r="F80" i="34" s="1"/>
  <c r="B7837" i="106" s="1"/>
  <c r="D7837" i="106" s="1"/>
  <c r="B189" i="106"/>
  <c r="D189" i="106" s="1"/>
  <c r="G41" i="3"/>
  <c r="B3227" i="106"/>
  <c r="D3227" i="106" s="1"/>
  <c r="I78" i="4"/>
  <c r="B6216" i="106"/>
  <c r="D6216" i="106" s="1"/>
  <c r="D51" i="36"/>
  <c r="J78" i="4"/>
  <c r="B6230" i="106"/>
  <c r="D6230" i="106" s="1"/>
  <c r="H16" i="37" l="1"/>
  <c r="C10" i="146"/>
  <c r="B2574" i="106"/>
  <c r="D2574" i="106" s="1"/>
  <c r="K17" i="118"/>
  <c r="O16" i="118" s="1"/>
  <c r="B7835" i="106"/>
  <c r="D7835" i="106" s="1"/>
  <c r="F176" i="34"/>
  <c r="F8" i="146"/>
  <c r="F10" i="146" s="1"/>
  <c r="B10" i="146"/>
  <c r="B6263" i="106"/>
  <c r="D6263" i="106" s="1"/>
  <c r="J81" i="4"/>
  <c r="B124" i="106"/>
  <c r="D124" i="106" s="1"/>
  <c r="D45" i="36"/>
  <c r="B3588" i="106"/>
  <c r="D3588" i="106" s="1"/>
  <c r="K81" i="4"/>
  <c r="B3568" i="106"/>
  <c r="D3568" i="106" s="1"/>
  <c r="D52" i="36"/>
  <c r="B3300" i="106"/>
  <c r="D3300" i="106" s="1"/>
  <c r="H81" i="4"/>
  <c r="B3320" i="106"/>
  <c r="D3320" i="106" s="1"/>
  <c r="I81" i="4"/>
  <c r="B3239" i="106"/>
  <c r="D3239" i="106" s="1"/>
  <c r="D81" i="4"/>
  <c r="B213" i="106"/>
  <c r="D213" i="106" s="1"/>
  <c r="D49" i="36"/>
  <c r="B190" i="106"/>
  <c r="D190" i="106" s="1"/>
  <c r="D48" i="36"/>
  <c r="B2562" i="106"/>
  <c r="D2562" i="106" s="1"/>
  <c r="C78" i="4"/>
  <c r="B170" i="106"/>
  <c r="D170" i="106" s="1"/>
  <c r="F41" i="3"/>
  <c r="B3256" i="106"/>
  <c r="D3256" i="106" s="1"/>
  <c r="F81" i="4"/>
  <c r="B284" i="106"/>
  <c r="D284" i="106" s="1"/>
  <c r="D55" i="36"/>
  <c r="G78" i="4"/>
  <c r="B2613" i="106"/>
  <c r="D2613" i="106" s="1"/>
  <c r="D76" i="36"/>
  <c r="B92" i="106"/>
  <c r="D92" i="106" s="1"/>
  <c r="C41" i="3"/>
  <c r="B3278" i="106"/>
  <c r="D3278" i="106" s="1"/>
  <c r="E81" i="4"/>
  <c r="B3262" i="106" l="1"/>
  <c r="D3262" i="106" s="1"/>
  <c r="G81" i="4"/>
  <c r="B1672" i="106"/>
  <c r="D1672" i="106" s="1"/>
  <c r="F82" i="4"/>
  <c r="D11" i="146"/>
  <c r="J82" i="4"/>
  <c r="B6266" i="106"/>
  <c r="D6266" i="106" s="1"/>
  <c r="D64" i="36"/>
  <c r="I82" i="4"/>
  <c r="E11" i="146"/>
  <c r="B3323" i="106"/>
  <c r="D3323" i="106" s="1"/>
  <c r="D63" i="36"/>
  <c r="B171" i="106"/>
  <c r="D171" i="106" s="1"/>
  <c r="D47" i="36"/>
  <c r="B1658" i="106"/>
  <c r="D1658" i="106" s="1"/>
  <c r="E82" i="4"/>
  <c r="D59" i="36"/>
  <c r="D60" i="36"/>
  <c r="H82" i="4"/>
  <c r="B1700" i="106"/>
  <c r="D1700" i="106" s="1"/>
  <c r="D62" i="36"/>
  <c r="K82" i="4"/>
  <c r="B3591" i="106"/>
  <c r="D3591" i="106" s="1"/>
  <c r="D65" i="36"/>
  <c r="B93" i="106"/>
  <c r="D93" i="106" s="1"/>
  <c r="D44" i="36"/>
  <c r="F178" i="34"/>
  <c r="B7878" i="106"/>
  <c r="D7878" i="106" s="1"/>
  <c r="D82" i="4"/>
  <c r="C11" i="146"/>
  <c r="B1644" i="106"/>
  <c r="D1644" i="106" s="1"/>
  <c r="D58" i="36"/>
  <c r="C81" i="4"/>
  <c r="B3233" i="106"/>
  <c r="D3233" i="106" s="1"/>
  <c r="B6275" i="106" l="1"/>
  <c r="D6275" i="106" s="1"/>
  <c r="K83" i="4"/>
  <c r="B6284" i="106" s="1"/>
  <c r="D6284" i="106" s="1"/>
  <c r="B6274" i="106"/>
  <c r="D6274" i="106" s="1"/>
  <c r="J83" i="4"/>
  <c r="B6283" i="106" s="1"/>
  <c r="D6283" i="106" s="1"/>
  <c r="B6268" i="106"/>
  <c r="D6268" i="106" s="1"/>
  <c r="D83" i="4"/>
  <c r="B6277" i="106" s="1"/>
  <c r="D6277" i="106" s="1"/>
  <c r="B6269" i="106"/>
  <c r="D6269" i="106" s="1"/>
  <c r="E83" i="4"/>
  <c r="B6278" i="106" s="1"/>
  <c r="D6278" i="106" s="1"/>
  <c r="B6270" i="106"/>
  <c r="D6270" i="106" s="1"/>
  <c r="F83" i="4"/>
  <c r="B6279" i="106" s="1"/>
  <c r="D6279" i="106" s="1"/>
  <c r="H83" i="4"/>
  <c r="B6281" i="106" s="1"/>
  <c r="D6281" i="106" s="1"/>
  <c r="B6272" i="106"/>
  <c r="D6272" i="106" s="1"/>
  <c r="F180" i="34"/>
  <c r="B7880" i="106" s="1"/>
  <c r="D7880" i="106" s="1"/>
  <c r="B7879" i="106"/>
  <c r="D7879" i="106" s="1"/>
  <c r="B1630" i="106"/>
  <c r="D1630" i="106" s="1"/>
  <c r="C82" i="4"/>
  <c r="J16" i="37"/>
  <c r="B4269" i="106" s="1"/>
  <c r="D4269" i="106" s="1"/>
  <c r="B11" i="146"/>
  <c r="F11" i="146" s="1"/>
  <c r="H12" i="118"/>
  <c r="K12" i="118" s="1"/>
  <c r="D57" i="36"/>
  <c r="I83" i="4"/>
  <c r="B6282" i="106" s="1"/>
  <c r="D6282" i="106" s="1"/>
  <c r="B6273" i="106"/>
  <c r="D6273" i="106" s="1"/>
  <c r="G82" i="4"/>
  <c r="B1686" i="106"/>
  <c r="D1686" i="106" s="1"/>
  <c r="D61" i="36"/>
  <c r="B6271" i="106" l="1"/>
  <c r="D6271" i="106" s="1"/>
  <c r="G83" i="4"/>
  <c r="B6280" i="106" s="1"/>
  <c r="D6280" i="106" s="1"/>
  <c r="O11" i="118"/>
  <c r="O13" i="118" s="1"/>
  <c r="J20" i="118"/>
  <c r="C12" i="146"/>
  <c r="D29" i="36"/>
  <c r="J24" i="24" s="1"/>
  <c r="C83" i="4"/>
  <c r="B6276" i="106" s="1"/>
  <c r="D6276" i="106" s="1"/>
  <c r="B6267" i="106"/>
  <c r="D6267" i="106" s="1"/>
  <c r="O17" i="118" l="1"/>
  <c r="O20" i="118" s="1"/>
  <c r="O35" i="118" s="1"/>
  <c r="O37" i="118" s="1"/>
  <c r="K20" i="1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<sst xmlns="http://schemas.openxmlformats.org/spreadsheetml/2006/main" count="5813" uniqueCount="2326">
  <si>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</si>
  <si>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</si>
  <si>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</si>
  <si>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</si>
  <si>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</si>
  <si>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</si>
  <si>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</si>
  <si>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</si>
  <si>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</si>
  <si>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</si>
  <si>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</si>
  <si>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</si>
  <si>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</si>
  <si>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</si>
  <si>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</si>
  <si>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</si>
  <si>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</si>
  <si>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</si>
  <si>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</si>
  <si>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</si>
  <si>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</si>
  <si>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</si>
  <si>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</si>
  <si>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</si>
  <si>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</si>
  <si>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</si>
  <si>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</si>
  <si>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</si>
  <si>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</si>
  <si>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</si>
  <si>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</si>
  <si>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</si>
  <si>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</si>
  <si>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</si>
  <si>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</si>
  <si>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</si>
  <si>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</si>
  <si>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</si>
  <si>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</si>
  <si>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</si>
  <si>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</si>
  <si>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</si>
  <si>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</si>
  <si>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</si>
  <si>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</si>
  <si>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</si>
  <si>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</si>
  <si>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</si>
  <si>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</si>
  <si>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</si>
  <si>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</si>
  <si>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</si>
  <si>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</si>
  <si>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</si>
  <si>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</si>
  <si>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</si>
  <si>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</si>
  <si>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</si>
  <si>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</si>
  <si>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</si>
  <si>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</si>
  <si>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</si>
  <si>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</si>
  <si>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</si>
  <si>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</si>
  <si>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</si>
  <si>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</si>
  <si>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</si>
  <si>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</si>
  <si>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</si>
  <si>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</si>
  <si>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</si>
  <si>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</si>
  <si>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</si>
  <si>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</si>
  <si>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</si>
  <si>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</si>
  <si>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</si>
  <si>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</si>
  <si>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</si>
  <si>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</si>
  <si>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</si>
  <si>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</si>
  <si>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</si>
  <si>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</si>
  <si>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</si>
  <si>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</si>
  <si>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</si>
  <si>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</si>
  <si>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</si>
  <si>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</si>
  <si>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</si>
  <si>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</si>
  <si>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</si>
  <si>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</si>
  <si>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</si>
  <si>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</si>
  <si>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</si>
  <si>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</si>
  <si>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</si>
  <si>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</si>
  <si>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</si>
  <si>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</si>
  <si>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</si>
  <si>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</si>
  <si>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</si>
  <si>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</si>
  <si>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</si>
  <si>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</si>
  <si>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</si>
  <si>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</si>
  <si>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</si>
  <si>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</si>
  <si>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</si>
  <si>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</si>
  <si>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</si>
  <si>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</si>
  <si>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</si>
  <si>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</si>
  <si>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</si>
  <si>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</si>
  <si>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</si>
  <si>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</si>
  <si>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</si>
  <si>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</si>
  <si>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</si>
  <si>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</si>
  <si>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</si>
  <si>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</si>
  <si>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</si>
  <si>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</si>
  <si>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</si>
  <si>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</si>
  <si>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</si>
  <si>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</si>
  <si>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</si>
  <si>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</si>
  <si>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</si>
  <si>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</si>
  <si>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</si>
  <si>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</si>
  <si>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</si>
  <si>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</si>
  <si>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</si>
  <si>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</si>
  <si>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</si>
  <si>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</si>
  <si>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</si>
  <si>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</si>
  <si>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</si>
  <si>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</si>
  <si>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</si>
  <si>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</si>
  <si>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</si>
  <si>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</si>
  <si>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</si>
  <si>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</si>
  <si>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</si>
  <si>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</si>
  <si>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</si>
  <si>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</si>
  <si>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</si>
  <si>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</si>
  <si>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</si>
  <si>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</si>
  <si>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</si>
  <si>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</si>
  <si>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</si>
  <si>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</si>
  <si>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</si>
  <si>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</si>
  <si>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</si>
  <si>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</si>
  <si>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</si>
  <si>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</si>
  <si>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</si>
  <si>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</si>
  <si>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</si>
  <si>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</si>
  <si>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</si>
  <si>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</si>
  <si>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</si>
  <si>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</si>
  <si>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</si>
  <si>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</si>
  <si>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</si>
  <si>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</si>
  <si>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</si>
  <si>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</si>
  <si>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</si>
  <si>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</si>
  <si>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</si>
  <si>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</si>
  <si>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</si>
  <si>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</si>
  <si>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</si>
  <si>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</si>
  <si>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</si>
  <si>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</si>
  <si>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</si>
  <si>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</si>
  <si>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</si>
  <si>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</si>
  <si>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</si>
  <si>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</si>
  <si>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</si>
  <si>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</si>
  <si>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</si>
  <si>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</si>
  <si>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</si>
  <si>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</si>
  <si>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</si>
  <si>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</si>
  <si>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</si>
  <si>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</si>
  <si>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</si>
  <si>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</si>
  <si>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</si>
  <si>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</si>
  <si>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</si>
  <si>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</si>
  <si>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</si>
  <si>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</si>
  <si>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</si>
  <si>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</si>
  <si>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</si>
  <si>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</si>
  <si>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</si>
  <si>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</si>
  <si>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</si>
  <si>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</si>
  <si>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</si>
  <si>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</si>
  <si>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</si>
  <si>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</si>
  <si>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</si>
  <si>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</si>
  <si>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</si>
  <si>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</si>
  <si>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</si>
  <si>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</si>
  <si>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</si>
  <si>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</si>
  <si>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</si>
  <si>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</si>
  <si>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</si>
  <si>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</si>
  <si>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</si>
  <si>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</si>
  <si>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</si>
  <si>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</si>
  <si>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</si>
  <si>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</si>
  <si>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</si>
  <si>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</si>
  <si>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</si>
  <si>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</si>
  <si>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</si>
  <si>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</si>
  <si>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</si>
  <si>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</si>
  <si>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</si>
  <si>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</si>
  <si>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</si>
  <si>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</si>
  <si>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</si>
  <si>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</si>
  <si>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</si>
  <si>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</si>
  <si>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</si>
  <si>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</si>
  <si>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</si>
  <si>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</si>
  <si>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</si>
  <si>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</si>
  <si>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</si>
  <si>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</si>
  <si>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</si>
  <si>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</si>
  <si>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</si>
  <si>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</si>
  <si>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</si>
  <si>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</si>
  <si>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</si>
  <si>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</si>
  <si>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</si>
  <si>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</si>
  <si>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</si>
  <si>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</si>
  <si>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</si>
  <si>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</si>
  <si>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</si>
  <si>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</si>
  <si>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</si>
  <si>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</si>
  <si>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</si>
  <si>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</si>
  <si>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</si>
  <si>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</si>
  <si>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</si>
  <si>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</si>
  <si>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</si>
  <si>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</si>
  <si>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</si>
  <si>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</si>
  <si>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</si>
  <si>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</si>
  <si>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</si>
  <si>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</si>
  <si>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</si>
  <si>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</si>
  <si>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</si>
  <si>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</si>
  <si>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</si>
  <si>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</si>
  <si>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</si>
  <si>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</si>
  <si>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</si>
  <si>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</si>
  <si>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</si>
  <si>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</si>
  <si>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</si>
  <si>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</si>
  <si>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</si>
  <si>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</si>
  <si>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</si>
  <si>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</si>
  <si>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</si>
  <si>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</si>
  <si>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</si>
  <si>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</si>
  <si>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</si>
  <si>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</si>
  <si>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</si>
  <si>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</si>
  <si>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</si>
  <si>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</si>
  <si>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</si>
  <si>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</si>
  <si>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</si>
  <si>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</si>
  <si>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</si>
  <si>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</si>
  <si>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</si>
  <si>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</si>
  <si>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</si>
  <si>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</si>
  <si>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</si>
  <si>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</si>
  <si>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</si>
  <si>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</si>
  <si>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</si>
  <si>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</si>
  <si>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</si>
  <si>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</si>
  <si>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</si>
  <si>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</si>
  <si>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</si>
  <si>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</si>
  <si>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</si>
  <si>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</si>
  <si>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</si>
  <si>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</si>
  <si>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</si>
  <si>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</si>
  <si>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</si>
  <si>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</si>
  <si>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</si>
  <si>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</si>
  <si>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</si>
  <si>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</si>
  <si>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</si>
  <si>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</si>
  <si>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</si>
  <si>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</si>
  <si>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</si>
  <si>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</si>
  <si>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</si>
  <si>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</si>
  <si>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</si>
  <si>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</si>
  <si>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</si>
  <si>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</si>
  <si>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</si>
  <si>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</si>
  <si>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</si>
  <si>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</si>
  <si>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</si>
  <si>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</si>
  <si>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</si>
  <si>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</si>
  <si>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</si>
  <si>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</si>
  <si>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</si>
  <si>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</si>
  <si>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</si>
  <si>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</si>
  <si>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</si>
  <si>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</si>
  <si>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</si>
  <si>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</si>
  <si>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</si>
  <si>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</si>
  <si>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</si>
  <si>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</si>
  <si>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</si>
  <si>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</si>
  <si>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</si>
  <si>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</si>
  <si>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</si>
  <si>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</si>
  <si>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</si>
  <si>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</si>
  <si>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</si>
  <si>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</si>
  <si>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</si>
  <si>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</si>
  <si>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</si>
  <si>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</si>
  <si>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</si>
  <si>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</si>
  <si>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</si>
  <si>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</si>
  <si>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</si>
  <si>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</si>
  <si>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</si>
  <si>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</si>
  <si>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</si>
  <si>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</si>
  <si>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</si>
  <si>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</si>
  <si>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</si>
  <si>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</si>
  <si>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</si>
  <si>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</si>
  <si>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</si>
  <si>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</si>
  <si>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</si>
  <si>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</si>
  <si>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</si>
  <si>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</si>
  <si>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</si>
  <si>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</si>
  <si>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</si>
  <si>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</si>
  <si>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</si>
  <si>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</si>
  <si>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</si>
  <si>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</si>
  <si>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</si>
  <si>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</si>
  <si>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</si>
  <si>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</si>
  <si>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</si>
  <si>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</si>
  <si>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</si>
  <si>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</si>
  <si>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</si>
  <si>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</si>
  <si>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</si>
  <si>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</si>
  <si>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</si>
  <si>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</si>
  <si>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</si>
  <si>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</si>
  <si>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</si>
  <si>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</si>
  <si>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</si>
  <si>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</si>
  <si>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</si>
  <si>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</si>
  <si>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</si>
  <si>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</si>
  <si>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</si>
  <si>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</si>
  <si>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</si>
  <si>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</si>
  <si>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</si>
  <si>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</si>
  <si>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</si>
  <si>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</si>
  <si>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</si>
  <si>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</si>
  <si>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</si>
  <si>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</si>
  <si>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</si>
  <si>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</si>
  <si>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</si>
  <si>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</si>
  <si>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</si>
  <si>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</si>
  <si>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</si>
  <si>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</si>
  <si>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</si>
  <si>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</si>
  <si>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</si>
  <si>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</si>
  <si>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</si>
  <si>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</si>
  <si>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</si>
  <si>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</si>
  <si>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</si>
  <si>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</si>
  <si>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</si>
  <si>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</si>
  <si>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</si>
  <si>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</si>
  <si>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</si>
  <si>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</si>
  <si>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</si>
  <si>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</si>
  <si>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</si>
  <si>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</si>
  <si>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</si>
  <si>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</si>
  <si>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</si>
  <si>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</si>
  <si>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</si>
  <si>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</si>
  <si>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</si>
  <si>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</si>
  <si>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</si>
  <si>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</si>
  <si>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</si>
  <si>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</si>
  <si>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</si>
  <si>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</si>
  <si>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</si>
  <si>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</si>
  <si>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</si>
  <si>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</si>
  <si>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</si>
  <si>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</si>
  <si>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</si>
  <si>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</si>
  <si>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</si>
  <si>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</si>
  <si>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</si>
  <si>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</si>
  <si>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</si>
  <si>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</si>
  <si>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</si>
  <si>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</si>
  <si>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</si>
  <si>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</si>
  <si>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</si>
  <si>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</si>
  <si>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</si>
  <si>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</si>
  <si>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</si>
  <si>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</si>
  <si>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</si>
  <si>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</si>
  <si>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</si>
  <si>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</si>
  <si>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</si>
  <si>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</si>
  <si>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</si>
  <si>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</si>
  <si>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</si>
  <si>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</si>
  <si>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</si>
  <si>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</si>
  <si>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</si>
  <si>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</si>
  <si>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</si>
  <si>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</si>
  <si>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</si>
  <si>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</si>
  <si>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</si>
  <si>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</si>
  <si>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</si>
  <si>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</si>
  <si>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</si>
  <si>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</si>
  <si>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</si>
  <si>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</si>
  <si>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</si>
  <si>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</si>
  <si>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</si>
  <si>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</si>
  <si>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</si>
  <si>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</si>
  <si>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</si>
  <si>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</si>
  <si>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</si>
  <si>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</si>
  <si>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</si>
  <si>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</si>
  <si>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</si>
  <si>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</si>
  <si>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</si>
  <si>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</si>
  <si>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</si>
  <si>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</si>
  <si>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</si>
  <si>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</si>
  <si>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</si>
  <si>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</si>
  <si>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</si>
  <si>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</si>
  <si>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</si>
  <si>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</si>
  <si>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</si>
  <si>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</si>
  <si>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</si>
  <si>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</si>
  <si>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</si>
  <si>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</si>
  <si>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</si>
  <si>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</si>
  <si>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</si>
  <si>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</si>
  <si>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</si>
  <si>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</si>
  <si>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</si>
  <si>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</si>
  <si>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</si>
  <si>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</si>
  <si>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</si>
  <si>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</si>
  <si>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</si>
  <si>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</si>
  <si>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</si>
  <si>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</si>
  <si>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</si>
  <si>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</si>
  <si>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</si>
  <si>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</si>
  <si>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</si>
  <si>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</si>
  <si>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</si>
  <si>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</si>
  <si>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</si>
  <si>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</si>
  <si>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</si>
  <si>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</si>
  <si>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</si>
  <si>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</si>
  <si>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</si>
  <si>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</si>
  <si>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</si>
  <si>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</si>
  <si>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</si>
  <si>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</si>
  <si>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</si>
  <si>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</si>
  <si>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</si>
  <si>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</si>
  <si>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</si>
  <si>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</si>
  <si>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</si>
  <si>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</si>
  <si>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</si>
  <si>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</si>
  <si>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</si>
  <si>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</si>
  <si>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</si>
  <si>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</si>
  <si>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</si>
  <si>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</si>
  <si>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</si>
  <si>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</si>
  <si>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</si>
  <si>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</si>
  <si>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</si>
  <si>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</si>
  <si>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</si>
  <si>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</si>
  <si>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</si>
  <si>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</si>
  <si>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</si>
  <si>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</si>
  <si>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</si>
  <si>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</si>
  <si>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</si>
  <si>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</si>
  <si>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</si>
  <si>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</si>
  <si>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</si>
  <si>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</si>
  <si>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</si>
  <si>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</si>
  <si>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</si>
  <si>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</si>
  <si>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</si>
  <si>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</si>
  <si>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</si>
  <si>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</si>
  <si>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</si>
  <si>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</si>
  <si>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</si>
  <si>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</si>
  <si>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</si>
  <si>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</si>
  <si>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</si>
  <si>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</si>
  <si>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</si>
  <si>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</si>
  <si>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</si>
  <si>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</si>
  <si>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</si>
  <si>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</si>
  <si>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</si>
  <si>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</si>
  <si>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</si>
  <si>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</si>
  <si>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</si>
  <si>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</si>
  <si>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</si>
  <si>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</si>
  <si>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</si>
  <si>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</si>
  <si>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</si>
  <si>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</si>
  <si>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</si>
  <si>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</si>
  <si>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</si>
  <si>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</si>
  <si>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</si>
  <si>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</si>
  <si>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</si>
  <si>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</si>
  <si>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</si>
  <si>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</si>
  <si>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</si>
  <si>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</si>
  <si>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</si>
  <si>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</si>
  <si>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</si>
  <si>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</si>
  <si>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</si>
  <si>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</si>
  <si>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</si>
  <si>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</si>
  <si>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</si>
  <si>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</si>
  <si>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</si>
  <si>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</si>
  <si>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</si>
  <si>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</si>
  <si>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</si>
  <si>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</si>
  <si>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</si>
  <si>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</si>
  <si>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</si>
  <si>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</si>
  <si>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</si>
  <si>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</si>
  <si>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</si>
  <si>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</si>
  <si>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</si>
  <si>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</si>
  <si>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</si>
  <si>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</si>
  <si>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</si>
  <si>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</si>
  <si>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</si>
  <si>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</si>
  <si>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</si>
  <si>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</si>
  <si>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</si>
  <si>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</si>
  <si>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</si>
  <si>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</si>
  <si>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</si>
  <si>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</si>
  <si>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</si>
  <si>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</si>
  <si>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</si>
  <si>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</si>
  <si>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</si>
  <si>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</si>
  <si>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</si>
  <si>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</si>
  <si>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</si>
  <si>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</si>
  <si>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</si>
  <si>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</si>
  <si>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</si>
  <si>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</si>
  <si>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</si>
  <si>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</si>
  <si>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</si>
  <si>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</si>
  <si>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</si>
  <si>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</si>
  <si>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</si>
  <si>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</si>
  <si>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</si>
  <si>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</si>
  <si>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</si>
  <si>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</si>
  <si>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</si>
  <si>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</si>
  <si>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</si>
  <si>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</si>
  <si>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</si>
  <si>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</si>
  <si>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</si>
  <si>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</si>
  <si>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</si>
  <si>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</si>
  <si>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</si>
  <si>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</si>
  <si>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</si>
  <si>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</si>
  <si>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</si>
  <si>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</si>
  <si>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</si>
  <si>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</si>
  <si>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</si>
  <si>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</si>
  <si>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</si>
  <si>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</si>
  <si>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</si>
  <si>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</si>
  <si>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</si>
  <si>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</si>
  <si>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</si>
  <si>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</si>
  <si>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</si>
  <si>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</si>
  <si>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</si>
  <si>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</si>
  <si>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</si>
  <si>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</si>
  <si>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</si>
  <si>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</si>
  <si>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</si>
  <si>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</si>
  <si>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</si>
  <si>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</si>
  <si>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</si>
  <si>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</si>
  <si>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</si>
  <si>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</si>
  <si>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</si>
  <si>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</si>
  <si>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</si>
  <si>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</si>
  <si>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</si>
  <si>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</si>
  <si>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</si>
  <si>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</si>
  <si>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</si>
  <si>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</si>
  <si>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</si>
  <si>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</si>
  <si>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</si>
  <si>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</si>
  <si>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</si>
  <si>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</si>
  <si>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</si>
  <si>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</si>
  <si>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</si>
  <si>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</si>
  <si>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</si>
  <si>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</si>
  <si>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</si>
  <si>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</si>
  <si>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</si>
  <si>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</si>
  <si>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</si>
  <si>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</si>
  <si>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</si>
  <si>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</si>
  <si>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</si>
  <si>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</si>
  <si>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</si>
  <si>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</si>
  <si>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</si>
  <si>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</si>
  <si>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</si>
  <si>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</si>
  <si>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</si>
  <si>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</si>
  <si>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</si>
  <si>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</si>
  <si>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</si>
  <si>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</si>
  <si>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</si>
  <si>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</si>
  <si>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</si>
  <si>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</si>
  <si>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</si>
  <si>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</si>
  <si>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</si>
  <si>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</si>
  <si>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</si>
  <si>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</si>
  <si>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</si>
  <si>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</si>
  <si>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</si>
  <si>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</si>
  <si>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</si>
  <si>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</si>
  <si>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</si>
  <si>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</si>
  <si>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</si>
  <si>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</si>
  <si>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</si>
  <si>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</si>
  <si>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</si>
  <si>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</si>
  <si>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</si>
  <si>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</si>
  <si>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</si>
  <si>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</si>
  <si>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</si>
  <si>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</si>
  <si>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</si>
  <si>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</si>
  <si>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</si>
  <si>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</si>
  <si>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</si>
  <si>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</si>
  <si>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</si>
  <si>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</si>
  <si>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</si>
  <si>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</si>
  <si>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</si>
  <si>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</si>
  <si>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</si>
  <si>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</si>
  <si>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</si>
  <si>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</si>
  <si>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</si>
  <si>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</si>
  <si>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</si>
  <si>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</si>
  <si>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</si>
  <si>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</si>
  <si>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</si>
  <si>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</si>
  <si>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</si>
  <si>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</si>
  <si>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</si>
  <si>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</si>
  <si>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</si>
  <si>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</si>
  <si>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</si>
  <si>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</si>
  <si>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</si>
  <si>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</si>
  <si>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</si>
  <si>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</si>
  <si>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</si>
  <si>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</si>
  <si>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</si>
  <si>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</si>
  <si>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</si>
  <si>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</si>
  <si>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</si>
  <si>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</si>
  <si>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</si>
  <si>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</si>
  <si>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</si>
  <si>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</si>
  <si>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</si>
  <si>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</si>
  <si>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</si>
  <si>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</si>
  <si>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</si>
  <si>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</si>
  <si>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</si>
  <si>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</si>
  <si>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</si>
  <si>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</si>
  <si>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</si>
  <si>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</si>
  <si>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</si>
  <si>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</si>
  <si>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</si>
  <si>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</si>
  <si>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</si>
  <si>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</si>
  <si>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</si>
  <si>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</si>
  <si>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</si>
  <si>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</si>
  <si>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</si>
  <si>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</si>
  <si>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</si>
  <si>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</si>
  <si>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</si>
  <si>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</si>
  <si>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</si>
  <si>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</si>
  <si>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</si>
  <si>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</si>
  <si>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</si>
  <si>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</si>
  <si>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</si>
  <si>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</si>
  <si>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</si>
  <si>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</si>
  <si>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</si>
  <si>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</si>
  <si>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</si>
  <si>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</si>
  <si>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</si>
  <si>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</si>
  <si>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</si>
  <si>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</si>
  <si>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</si>
  <si>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</si>
  <si>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</si>
  <si>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</si>
  <si>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</si>
  <si>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</si>
  <si>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</si>
  <si>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</si>
  <si>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</si>
  <si>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</si>
  <si>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</si>
  <si>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</si>
  <si>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</si>
  <si>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</si>
  <si>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</si>
  <si>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</si>
  <si>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</si>
  <si>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</si>
  <si>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</si>
  <si>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</si>
  <si>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</si>
  <si>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</si>
  <si>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</si>
  <si>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</si>
  <si>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</si>
  <si>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</si>
  <si>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</si>
  <si>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</si>
  <si>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</si>
  <si>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</si>
  <si>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</si>
  <si>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</si>
  <si>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</si>
  <si>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</si>
  <si>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</si>
  <si>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</si>
  <si>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</si>
  <si>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</si>
  <si>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</si>
  <si>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</si>
  <si>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</si>
  <si>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</si>
  <si>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</si>
  <si>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</si>
  <si>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</si>
  <si>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</si>
  <si>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</si>
  <si>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</si>
  <si>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</si>
  <si>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</si>
  <si>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</si>
  <si>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</si>
  <si>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</si>
  <si>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</si>
  <si>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</si>
  <si>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</si>
  <si>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</si>
  <si>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</si>
  <si>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</si>
  <si>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</si>
  <si>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</si>
  <si>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</si>
  <si>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</si>
  <si>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</si>
  <si>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</si>
  <si>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</si>
  <si>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</si>
  <si>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</si>
  <si>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</si>
  <si>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</si>
  <si>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</si>
  <si>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</si>
  <si>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</si>
  <si>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</si>
  <si>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</si>
  <si>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</si>
  <si>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</si>
  <si>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</si>
  <si>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</si>
  <si>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</si>
  <si>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</si>
  <si>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</si>
  <si>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</si>
  <si>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</si>
  <si>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</si>
  <si>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</si>
  <si>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</si>
  <si>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</si>
  <si>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</si>
  <si>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</si>
  <si>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</si>
  <si>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</si>
  <si>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</si>
  <si>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</si>
  <si>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</si>
  <si>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</si>
  <si>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</si>
  <si>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</si>
  <si>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</si>
  <si>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</si>
  <si>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</si>
  <si>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</si>
  <si>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</si>
  <si>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</si>
  <si>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</si>
  <si>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</si>
  <si>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</si>
  <si>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</si>
  <si>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</si>
  <si>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</si>
  <si>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</si>
  <si>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</si>
  <si>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</si>
  <si>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</si>
  <si>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</si>
  <si>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</si>
  <si>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</si>
  <si>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</si>
  <si>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</si>
  <si>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</si>
  <si>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</si>
  <si>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</si>
  <si>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</si>
  <si>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</si>
  <si>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</si>
  <si>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</si>
  <si>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</si>
  <si>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</si>
  <si>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</si>
  <si>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</si>
  <si>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</si>
  <si>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</si>
  <si>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</si>
  <si>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</si>
  <si>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</si>
  <si>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</si>
  <si>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</si>
  <si>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</si>
  <si>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</si>
  <si>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</si>
  <si>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</si>
  <si>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</si>
  <si>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</si>
  <si>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</si>
  <si>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</si>
  <si>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</si>
  <si>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</si>
  <si>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</si>
  <si>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</si>
  <si>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</si>
  <si>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</si>
  <si>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</si>
  <si>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</si>
  <si>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</si>
  <si>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</si>
  <si>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</si>
  <si>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</si>
  <si>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</si>
  <si>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</si>
  <si>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</si>
  <si>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</si>
  <si>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</si>
  <si>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</si>
  <si>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</si>
  <si>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</si>
  <si>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</si>
  <si>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</si>
  <si>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</si>
  <si>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</si>
  <si>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</si>
  <si>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</si>
  <si>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</si>
  <si>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</si>
  <si>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</si>
  <si>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</si>
  <si>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</si>
  <si>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</si>
  <si>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</si>
  <si>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</si>
  <si>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</si>
  <si>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</si>
  <si>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</si>
  <si>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</si>
  <si>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</si>
  <si>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</si>
  <si>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</si>
  <si>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</si>
  <si>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</si>
  <si>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</si>
  <si>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</si>
  <si>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</si>
  <si>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</si>
  <si>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</si>
  <si>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</si>
  <si>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</si>
  <si>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</si>
  <si>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</si>
  <si>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</si>
  <si>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</si>
  <si>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</si>
  <si>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</si>
  <si>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</si>
  <si>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</si>
  <si>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</si>
  <si>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</si>
  <si>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</si>
  <si>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</si>
  <si>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</si>
  <si>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</si>
  <si>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</si>
  <si>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</si>
  <si>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</si>
  <si>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</si>
  <si>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</si>
  <si>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</si>
  <si>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</si>
  <si>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</si>
  <si>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</si>
  <si>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</si>
  <si>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</si>
  <si>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</si>
  <si>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</si>
  <si>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</si>
  <si>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</si>
  <si>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</si>
  <si>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</si>
  <si>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</si>
  <si>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</si>
  <si>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</si>
  <si>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</si>
  <si>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</si>
  <si>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</si>
  <si>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</si>
  <si>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</si>
  <si>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</si>
  <si>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</si>
  <si>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</si>
  <si>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</si>
  <si>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</si>
  <si>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</si>
  <si>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</si>
  <si>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</si>
  <si>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</si>
  <si>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</si>
  <si>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</si>
  <si>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</si>
  <si>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</si>
  <si>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</si>
  <si>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</si>
  <si>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</si>
  <si>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</si>
  <si>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</si>
  <si>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</si>
  <si>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</si>
  <si>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</si>
  <si>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</si>
  <si>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</si>
  <si>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</si>
  <si>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</si>
  <si>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</si>
  <si>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</si>
  <si>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</si>
  <si>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</si>
  <si>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</si>
  <si>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</si>
  <si>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</si>
  <si>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</si>
  <si>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</si>
  <si>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</si>
  <si>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</si>
  <si>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</si>
  <si>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</si>
  <si>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</si>
  <si>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</si>
  <si>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</si>
  <si>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</si>
  <si>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</si>
  <si>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</si>
  <si>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</si>
  <si>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</si>
  <si>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</si>
  <si>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</si>
  <si>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</si>
  <si>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</si>
  <si>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</si>
  <si>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</si>
  <si>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</si>
  <si>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</si>
  <si>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</si>
  <si>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</si>
  <si>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</si>
  <si>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</si>
  <si>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</si>
  <si>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</si>
  <si>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</si>
  <si>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</si>
  <si>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</si>
  <si>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</si>
  <si>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</si>
  <si>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</si>
  <si>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</si>
  <si>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</si>
  <si>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</si>
  <si>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</si>
  <si>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</si>
  <si>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</si>
  <si>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</si>
  <si>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</si>
  <si>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</si>
  <si>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</si>
  <si>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</si>
  <si>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</si>
  <si>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</si>
  <si>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</si>
  <si>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</si>
  <si>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</si>
  <si>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</si>
  <si>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</si>
  <si>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</si>
  <si>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</si>
  <si>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</si>
  <si>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</si>
  <si>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</si>
  <si>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</si>
  <si>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</si>
  <si>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</si>
  <si>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</si>
  <si>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</si>
  <si>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</si>
  <si>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</si>
  <si>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</si>
  <si>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</si>
  <si>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</si>
  <si>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</si>
  <si>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</si>
  <si>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</si>
  <si>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</si>
  <si>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</si>
  <si>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</si>
  <si>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</si>
  <si>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</si>
  <si>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</si>
  <si>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</si>
  <si>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</si>
  <si>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</si>
  <si>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</si>
  <si>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</si>
  <si>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</si>
  <si>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</si>
  <si>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</si>
  <si>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</si>
  <si>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</si>
  <si>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</si>
  <si>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</si>
  <si>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</si>
  <si>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</si>
  <si>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</si>
  <si>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</si>
  <si>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</si>
  <si>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</si>
  <si>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</si>
  <si>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</si>
  <si>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</si>
  <si>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</si>
  <si>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</si>
  <si>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</si>
  <si>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</si>
  <si>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</si>
  <si>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</si>
  <si>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</si>
  <si>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</si>
  <si>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</si>
  <si>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</si>
  <si>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</si>
  <si>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</si>
  <si>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</si>
  <si>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</si>
  <si>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</si>
  <si>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</si>
  <si>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</si>
  <si>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</si>
  <si>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</si>
  <si>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</si>
  <si>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</si>
  <si>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</si>
  <si>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</si>
  <si>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</si>
  <si>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</si>
  <si>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</si>
  <si>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</si>
  <si>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</si>
  <si>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</si>
  <si>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</si>
  <si>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</si>
  <si>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</si>
  <si>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</si>
  <si>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</si>
  <si>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</si>
  <si>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</si>
  <si>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</si>
  <si>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</si>
  <si>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</si>
  <si>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</si>
  <si>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</si>
  <si>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</si>
  <si>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</si>
  <si>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</si>
  <si>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</si>
  <si>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</si>
  <si>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</si>
  <si>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</si>
  <si>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</si>
  <si>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</si>
  <si>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</si>
  <si>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</si>
  <si>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</si>
  <si>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</si>
  <si>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</si>
  <si>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</si>
  <si>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</si>
  <si>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</si>
  <si>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</si>
  <si>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</si>
  <si>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</si>
  <si>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</si>
  <si>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</si>
  <si>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</si>
  <si>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</si>
  <si>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</si>
  <si>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</si>
  <si>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</si>
  <si>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</si>
  <si>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</si>
  <si>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</si>
  <si>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</si>
  <si>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</si>
  <si>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</si>
  <si>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</si>
  <si>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</si>
  <si>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</si>
  <si>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</si>
  <si>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</si>
  <si>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</si>
  <si>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</si>
  <si>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</si>
  <si>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</si>
  <si>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</si>
  <si>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</si>
  <si>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</si>
  <si>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</si>
  <si>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</si>
  <si>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</si>
  <si>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</si>
  <si>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</si>
  <si>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</si>
  <si>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</si>
  <si>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</si>
  <si>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</si>
  <si>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</si>
  <si>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</si>
  <si>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</si>
  <si>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</si>
  <si>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</si>
  <si>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</si>
  <si>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</si>
  <si>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</si>
  <si>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</si>
  <si>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</si>
  <si>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</si>
  <si>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</si>
  <si>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</si>
  <si>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</si>
  <si>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</si>
  <si>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</si>
  <si>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</si>
  <si>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</si>
  <si>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</si>
  <si>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</si>
  <si>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</si>
  <si>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</si>
  <si>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</si>
  <si>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</si>
  <si>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</si>
  <si>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</si>
  <si>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</si>
  <si>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</si>
  <si>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</si>
  <si>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</si>
  <si>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</si>
  <si>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</si>
  <si>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</si>
  <si>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</si>
  <si>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</si>
  <si>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</si>
  <si>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</si>
  <si>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</si>
  <si>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</si>
  <si>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</si>
  <si>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</si>
  <si>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</si>
  <si>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</si>
  <si>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</si>
  <si>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</si>
  <si>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</si>
  <si>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</si>
  <si>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</si>
  <si>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</si>
  <si>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</si>
  <si>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</si>
  <si>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</si>
  <si>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</si>
  <si>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</si>
  <si>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</si>
  <si>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</si>
  <si>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</si>
  <si>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</si>
  <si>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</si>
  <si>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</si>
  <si>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</si>
  <si>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</si>
  <si>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</si>
  <si>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</si>
  <si>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</si>
  <si>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</si>
  <si>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</si>
  <si>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</si>
  <si>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</si>
  <si>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</si>
  <si>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</si>
  <si>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</si>
  <si>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</si>
  <si>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</si>
  <si>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</si>
  <si>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</si>
  <si>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</si>
  <si>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</si>
  <si>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</si>
  <si>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</si>
  <si>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</si>
  <si>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</si>
  <si>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</si>
  <si>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</si>
  <si>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</si>
  <si>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</si>
  <si>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</si>
  <si>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</si>
  <si>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</si>
  <si>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</si>
  <si>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</si>
  <si>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</si>
  <si>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</si>
  <si>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</si>
  <si>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</si>
  <si>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</si>
  <si>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</si>
  <si>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</si>
  <si>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</si>
  <si>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</si>
  <si>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</si>
  <si>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</si>
  <si>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</si>
  <si>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</si>
  <si>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</si>
  <si>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</si>
  <si>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</si>
  <si>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</si>
  <si>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</si>
  <si>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</si>
  <si>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</si>
  <si>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</si>
  <si>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</si>
  <si>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</si>
  <si>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</si>
  <si>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</si>
  <si>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</si>
  <si>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</si>
  <si>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</si>
  <si>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</si>
  <si>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</si>
  <si>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</si>
  <si>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</si>
  <si>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</si>
  <si>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</si>
  <si>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</si>
  <si>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</si>
  <si>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</si>
  <si>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</si>
  <si>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</si>
  <si>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</si>
  <si>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</si>
  <si>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</si>
  <si>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</si>
  <si>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</si>
  <si>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</si>
  <si>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</si>
  <si>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</si>
  <si>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</si>
  <si>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</si>
  <si>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</si>
  <si>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</si>
  <si>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</si>
  <si>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</si>
  <si>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</si>
  <si>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</si>
  <si>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</si>
  <si>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</si>
  <si>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</si>
  <si>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</si>
  <si>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</si>
  <si>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</si>
  <si>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</si>
  <si>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</si>
  <si>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</si>
  <si>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</si>
  <si>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</si>
  <si>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</si>
  <si>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</si>
  <si>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</si>
  <si>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</si>
  <si>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</si>
  <si>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</si>
  <si>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</si>
  <si>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</si>
  <si>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</si>
  <si>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</si>
  <si>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</si>
  <si>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</si>
  <si>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</si>
  <si>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</si>
  <si>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</si>
  <si>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</si>
  <si>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</si>
  <si>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</si>
  <si>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</si>
  <si>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</si>
  <si>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</si>
  <si>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</si>
  <si>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</si>
  <si>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</si>
  <si>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</si>
  <si>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</si>
  <si>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</si>
  <si>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</si>
  <si>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</si>
  <si>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</si>
  <si>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</si>
  <si>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</si>
  <si>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</si>
  <si>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</si>
  <si>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</si>
  <si>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</si>
  <si>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</si>
  <si>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</si>
  <si>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</si>
  <si>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</si>
  <si>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</si>
  <si>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</si>
  <si>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</si>
  <si>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</si>
  <si>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</si>
  <si>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</si>
  <si>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</si>
  <si>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</si>
  <si>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</si>
  <si>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</si>
  <si>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</si>
  <si>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</si>
  <si>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</si>
  <si>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</si>
  <si>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</si>
  <si>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</si>
  <si>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</si>
  <si>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</si>
  <si>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</si>
  <si>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</si>
  <si>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</si>
  <si>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</si>
  <si>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</si>
  <si>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</si>
  <si>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</si>
  <si>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</si>
  <si>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</si>
  <si>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</si>
  <si>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</si>
  <si>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</si>
  <si>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</si>
  <si>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</si>
  <si>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</si>
  <si>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</si>
  <si>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</si>
  <si>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</si>
  <si>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</si>
  <si>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</si>
  <si>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</si>
  <si>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</si>
  <si>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</si>
  <si>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</si>
  <si>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</si>
  <si>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</si>
  <si>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</si>
  <si>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</si>
  <si>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</si>
  <si>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</si>
  <si>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</si>
  <si>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</si>
  <si>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</si>
  <si>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</si>
  <si>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</si>
  <si>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</si>
  <si>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</si>
  <si>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</si>
  <si>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</si>
  <si>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</si>
  <si>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</si>
  <si>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</si>
  <si>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</si>
  <si>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</si>
  <si>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</si>
  <si>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</si>
  <si>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</si>
  <si>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</si>
  <si>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</si>
  <si>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</si>
  <si>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</si>
  <si>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</si>
  <si>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</si>
  <si>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</si>
  <si>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</si>
  <si>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</si>
  <si>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</si>
  <si>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</si>
  <si>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</si>
  <si>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</si>
  <si>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</si>
  <si>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</si>
  <si>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</si>
  <si>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</si>
  <si>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</si>
  <si>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</si>
  <si>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</si>
  <si>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</si>
  <si>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</si>
  <si>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</si>
  <si>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</si>
  <si>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</si>
  <si>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</si>
  <si>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</si>
  <si>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</si>
  <si>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</si>
  <si>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</si>
  <si>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</si>
  <si>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</si>
  <si>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</si>
  <si>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</si>
  <si>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</si>
  <si>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</si>
  <si>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</si>
  <si>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</si>
  <si>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</si>
  <si>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</si>
  <si>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</si>
  <si>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</si>
  <si>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</si>
  <si>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</si>
  <si>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</si>
  <si>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</si>
  <si>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</si>
  <si>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</si>
  <si>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</si>
  <si>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</si>
  <si>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</si>
  <si>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</si>
  <si>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</si>
  <si>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</si>
  <si>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</si>
  <si>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</si>
  <si>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</si>
  <si>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</si>
  <si>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</si>
  <si>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</si>
  <si>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</si>
  <si>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</si>
  <si>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</si>
  <si>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</si>
  <si>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</si>
  <si>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</si>
  <si>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</si>
  <si>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</si>
  <si>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</si>
  <si>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</si>
  <si>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</si>
  <si>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</si>
  <si>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</si>
  <si>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</si>
  <si>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</si>
  <si>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</si>
  <si>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</si>
  <si>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</si>
  <si>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</si>
  <si>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</si>
  <si>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</si>
  <si>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</si>
  <si>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</si>
  <si>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</si>
  <si>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</si>
  <si>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</si>
  <si>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</si>
  <si>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</si>
  <si>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</si>
  <si>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</si>
  <si>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</si>
  <si>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</si>
  <si>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</si>
  <si>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</si>
  <si>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</si>
  <si>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</si>
  <si>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</si>
  <si>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</si>
  <si>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</si>
  <si>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</si>
  <si>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</si>
  <si>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</si>
  <si>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</si>
  <si>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</si>
  <si>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</si>
  <si>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</si>
  <si>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</si>
  <si>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</si>
  <si>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</si>
  <si>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</si>
  <si>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</si>
  <si>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</si>
  <si>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</si>
  <si>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</si>
  <si>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</si>
  <si>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</si>
  <si>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</si>
  <si>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</si>
  <si>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</si>
  <si>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</si>
  <si>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</si>
  <si>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</si>
  <si>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</si>
  <si>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</si>
  <si>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</si>
  <si>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</si>
  <si>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</si>
  <si>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</si>
  <si>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</si>
  <si>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</si>
  <si>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</si>
  <si>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</si>
  <si>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</si>
  <si>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</si>
  <si>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</si>
  <si>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</si>
  <si>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</si>
  <si>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</si>
  <si>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</si>
  <si>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</si>
  <si>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</si>
  <si>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</si>
  <si>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</si>
  <si>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</si>
  <si>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</si>
  <si>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</si>
  <si>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</si>
  <si>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</si>
  <si>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</si>
  <si>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</si>
  <si>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</si>
  <si>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</si>
  <si>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</si>
  <si>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</si>
  <si>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</si>
  <si>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</si>
  <si>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</si>
  <si>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</si>
  <si>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</si>
  <si>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</si>
  <si>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</si>
  <si>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</si>
  <si>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</si>
  <si>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</si>
  <si>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</si>
  <si>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</si>
  <si>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</si>
  <si>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</si>
  <si>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</si>
  <si>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</si>
  <si>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</si>
  <si>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</si>
  <si>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</si>
  <si>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</si>
  <si>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</si>
  <si>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</si>
  <si>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</si>
  <si>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</si>
  <si>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</si>
  <si>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</si>
  <si>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</si>
  <si>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</si>
  <si>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</si>
  <si>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</si>
  <si>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</si>
  <si>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</si>
  <si>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</si>
  <si>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</si>
  <si>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</si>
  <si>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</si>
  <si>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</si>
  <si>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</si>
  <si>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</si>
  <si>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</si>
  <si>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</si>
  <si>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</si>
  <si>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</si>
  <si>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</si>
  <si>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</si>
  <si>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</si>
  <si>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</si>
  <si>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</si>
  <si>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</si>
  <si>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</si>
  <si>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</si>
  <si>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</si>
  <si>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</si>
  <si>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</si>
  <si>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</si>
  <si>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</si>
  <si>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</si>
  <si>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</si>
  <si>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</si>
  <si>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</si>
  <si>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</si>
  <si>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</si>
  <si>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</si>
  <si>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</si>
  <si>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</si>
  <si>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</si>
  <si>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</si>
  <si>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</si>
  <si>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</si>
  <si>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</si>
  <si>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</si>
  <si>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</si>
  <si>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</si>
  <si>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</si>
  <si>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</si>
  <si>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</si>
  <si>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</si>
  <si>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</si>
  <si>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</si>
  <si>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</si>
  <si>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</si>
  <si>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</si>
  <si>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</si>
  <si>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</si>
  <si>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</si>
  <si>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</si>
  <si>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</si>
  <si>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</si>
  <si>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</si>
  <si>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</si>
  <si>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</si>
  <si>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</si>
  <si>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</si>
  <si>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</si>
  <si>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</si>
  <si>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</si>
  <si>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</si>
  <si>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</si>
  <si>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</si>
  <si>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</si>
  <si>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</si>
  <si>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</si>
  <si>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</si>
  <si>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</si>
  <si>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</si>
  <si>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</si>
  <si>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</si>
  <si>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</si>
  <si>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</si>
  <si>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</si>
  <si>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</si>
  <si>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</si>
  <si>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</si>
  <si>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</si>
  <si>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</si>
  <si>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</si>
  <si>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</si>
  <si>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</si>
  <si>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</si>
  <si>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</si>
  <si>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</si>
  <si>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</si>
  <si>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</si>
  <si>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</si>
  <si>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</si>
  <si>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</si>
  <si>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</si>
  <si>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</si>
  <si>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</si>
  <si>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</si>
  <si>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</si>
  <si>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</si>
  <si>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</si>
  <si>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</si>
  <si>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</si>
  <si>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</si>
  <si>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</si>
  <si>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</si>
  <si>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</si>
  <si>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</si>
  <si>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</si>
  <si>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</si>
  <si>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</si>
  <si>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</si>
  <si>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</si>
  <si>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</si>
  <si>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</si>
  <si>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</si>
  <si>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</si>
  <si>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</si>
  <si>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</si>
  <si>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</si>
  <si>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</si>
  <si>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</si>
  <si>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</si>
  <si>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</si>
  <si>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</si>
  <si>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</si>
  <si>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</si>
  <si>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</si>
  <si>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</si>
  <si>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</si>
  <si>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</si>
  <si>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</si>
  <si>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</si>
  <si>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</si>
  <si>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</si>
  <si>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</si>
  <si>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</si>
  <si>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</si>
  <si>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</si>
  <si>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</si>
  <si>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</si>
  <si>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</si>
  <si>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</si>
  <si>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</si>
  <si>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</si>
  <si>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x</t>
  </si>
  <si>
    <t>Peoria County Bright Futures</t>
  </si>
  <si>
    <t>Illinois Energy Consortium</t>
  </si>
  <si>
    <t>HPS</t>
  </si>
  <si>
    <t>Special Education Association of Peoria County</t>
  </si>
  <si>
    <t>PERFECT</t>
  </si>
  <si>
    <t>48-072-3250-26</t>
  </si>
  <si>
    <t>Peoria Heights Community Unit School District No. 325</t>
  </si>
  <si>
    <t>2019-001</t>
  </si>
  <si>
    <t>2019-002</t>
  </si>
  <si>
    <t>2019-003</t>
  </si>
  <si>
    <t>Segregation of Duties</t>
  </si>
  <si>
    <t>Unresolved - See Finding 2020-001</t>
  </si>
  <si>
    <t>Unresolved - See Finding 2020-002</t>
  </si>
  <si>
    <t>Expertise in preparing financial statements</t>
  </si>
  <si>
    <t>Resolved</t>
  </si>
  <si>
    <t>Unauthorized Interfund Loans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</si>
  <si>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</si>
  <si>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a limited number of employees.</t>
  </si>
  <si>
    <r>
      <t>CORRECTIVE ACTION PLAN FOR CURRENT YEAR AUDIT FINDINGS</t>
    </r>
    <r>
      <rPr>
        <b/>
        <vertAlign val="superscript"/>
        <sz val="9"/>
        <rFont val="Arial"/>
        <family val="2"/>
      </rPr>
      <t>21</t>
    </r>
  </si>
  <si>
    <t>Corrective Action Plan</t>
  </si>
  <si>
    <t>Finding No.:</t>
  </si>
  <si>
    <t>2020-</t>
  </si>
  <si>
    <t>Condition:</t>
  </si>
  <si>
    <t>Plan:</t>
  </si>
  <si>
    <t>Anticipated Date of Completion:</t>
  </si>
  <si>
    <t>June 30, 2021</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</si>
  <si>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</si>
  <si>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</si>
  <si>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</si>
  <si>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Dr. Eric Heath, Superintendent</t>
  </si>
  <si>
    <t>Year Ending June 30, 2020</t>
  </si>
  <si>
    <t xml:space="preserve">    sequence of findings.  For example, findings identified and reported in the audit of fiscal year 2019 would be assigned a reference </t>
  </si>
  <si>
    <t xml:space="preserve">    number of 2020-001, 2020-002, etc.  The sheet is formatted so that only the number need be entered (1, 2, etc.).</t>
  </si>
  <si>
    <t>The District's bank account balances recorded in the accounting records were not reconciled to the monthly bank statements on a timely basis.</t>
  </si>
  <si>
    <t>Child Nutrition Cluster</t>
  </si>
  <si>
    <t>IDEA Cluster</t>
  </si>
  <si>
    <t>Year Ended June 30, 2020</t>
  </si>
  <si>
    <t>ISBE</t>
  </si>
  <si>
    <t xml:space="preserve">          Receipts/Revenues          </t>
  </si>
  <si>
    <t xml:space="preserve">  Expenditures/Disbursements  </t>
  </si>
  <si>
    <t>Project</t>
  </si>
  <si>
    <t>Prior to</t>
  </si>
  <si>
    <t>7/01/19-</t>
  </si>
  <si>
    <t>Final</t>
  </si>
  <si>
    <t>Federal Grantor/Pass-Through Grantor,</t>
  </si>
  <si>
    <t>Number</t>
  </si>
  <si>
    <t>6/30/19</t>
  </si>
  <si>
    <t>6/30/20</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</si>
  <si>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</si>
  <si>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</si>
  <si>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</si>
  <si>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</si>
  <si>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</si>
  <si>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</si>
  <si>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</si>
  <si>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</si>
  <si>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</si>
  <si>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t>
  </si>
  <si>
    <t xml:space="preserve">         (H)         </t>
  </si>
  <si>
    <t xml:space="preserve">         (I)         </t>
  </si>
  <si>
    <t xml:space="preserve">U.S. Department of Agriculture - </t>
  </si>
  <si>
    <t xml:space="preserve">   Pass-through program from</t>
  </si>
  <si>
    <t xml:space="preserve">   Illinois State Board of Education</t>
  </si>
  <si>
    <t>10.555</t>
  </si>
  <si>
    <t>19-4210-00</t>
  </si>
  <si>
    <t>N/A</t>
  </si>
  <si>
    <t>20-4210-00</t>
  </si>
  <si>
    <t>(2)</t>
  </si>
  <si>
    <t>Food Donation</t>
  </si>
  <si>
    <t>FY19</t>
  </si>
  <si>
    <t>FY20</t>
  </si>
  <si>
    <t>(3)</t>
  </si>
  <si>
    <t>DOD - Fresh Fruits &amp; Vegetables</t>
  </si>
  <si>
    <t>Total CFDA 10.555</t>
  </si>
  <si>
    <t>19-4220-00</t>
  </si>
  <si>
    <t>20-4220-00</t>
  </si>
  <si>
    <t>19-4215-00</t>
  </si>
  <si>
    <t>20-4215-00</t>
  </si>
  <si>
    <t>19-4225-00</t>
  </si>
  <si>
    <t>20-4225-00</t>
  </si>
  <si>
    <t>NSLP Equipment Assistance</t>
  </si>
  <si>
    <t>19-4260-16</t>
  </si>
  <si>
    <t xml:space="preserve">(M) </t>
  </si>
  <si>
    <t>Fresh Fruits and Vegetables</t>
  </si>
  <si>
    <t>14-4240-12</t>
  </si>
  <si>
    <t>14-4240-13</t>
  </si>
  <si>
    <t xml:space="preserve">U.S . Department of Education - </t>
  </si>
  <si>
    <t>Title V - Rural Education Initiative</t>
  </si>
  <si>
    <t>84.358B</t>
  </si>
  <si>
    <t>19-4107-00</t>
  </si>
  <si>
    <t>20-4107-00</t>
  </si>
  <si>
    <t>84.010</t>
  </si>
  <si>
    <t>19-4300-00</t>
  </si>
  <si>
    <t>20-4300-00</t>
  </si>
  <si>
    <t>Title I - School Imp and Accountability</t>
  </si>
  <si>
    <t>19-4331-19</t>
  </si>
  <si>
    <t>20-4331-20</t>
  </si>
  <si>
    <t>Total CFDA 84.010</t>
  </si>
  <si>
    <t>Title IVA - Student Support &amp; Academic Enrichment</t>
  </si>
  <si>
    <t>19-4400-00</t>
  </si>
  <si>
    <t>20-4400-00</t>
  </si>
  <si>
    <t>Sp. Ed. Pre-School Flow Through</t>
  </si>
  <si>
    <t>20-4600-00</t>
  </si>
  <si>
    <t>21-4600-00</t>
  </si>
  <si>
    <t>Sp. Ed. - IDEA - Flow Through</t>
  </si>
  <si>
    <t>21-4620-00</t>
  </si>
  <si>
    <t>IDEA - Room &amp; Board</t>
  </si>
  <si>
    <t>19-4625-00</t>
  </si>
  <si>
    <t>20-4625-00</t>
  </si>
  <si>
    <t>IDEA - Room &amp; Board - Excess Costs</t>
  </si>
  <si>
    <t>19-4625-XC</t>
  </si>
  <si>
    <t>20-4625-XC</t>
  </si>
  <si>
    <t>12-4625-XC</t>
  </si>
  <si>
    <t>13-4625-XC</t>
  </si>
  <si>
    <t>20-4932-00</t>
  </si>
  <si>
    <t>COVID-19 Education Stabilization</t>
  </si>
  <si>
    <t>84.425D</t>
  </si>
  <si>
    <t>20-4998-ER</t>
  </si>
  <si>
    <t>Pass-through program from</t>
  </si>
  <si>
    <t>19-4620-00</t>
  </si>
  <si>
    <t>20-4620-00</t>
  </si>
  <si>
    <t>Title III - Lang Inst. Program - Ltd English</t>
  </si>
  <si>
    <t>19-4909-00</t>
  </si>
  <si>
    <t>20-4909-00</t>
  </si>
  <si>
    <t>Total U.S. Department of Education - Pass-through programs from ISBE</t>
  </si>
  <si>
    <t xml:space="preserve">   Flow-through program from</t>
  </si>
  <si>
    <t>Henry-Stark Special Education Cooperative</t>
  </si>
  <si>
    <t>IDEA Flow Through</t>
  </si>
  <si>
    <t>16-4620-00</t>
  </si>
  <si>
    <t>17-4620-00</t>
  </si>
  <si>
    <t>Total U.S. Department of Education - Pass-through programs from Henry Stark SEA</t>
  </si>
  <si>
    <t>Direct grant to Neponset CCSD 307 -</t>
  </si>
  <si>
    <t>S358A112779</t>
  </si>
  <si>
    <t>Total U.S. Department of Education - Direct</t>
  </si>
  <si>
    <t>Title II - Perkins Secondary</t>
  </si>
  <si>
    <t>84.048A</t>
  </si>
  <si>
    <t>06-4745-00</t>
  </si>
  <si>
    <t>07-4745-00</t>
  </si>
  <si>
    <t>Title III E- Tech Prep</t>
  </si>
  <si>
    <t>11-4770-00</t>
  </si>
  <si>
    <t>Total U.S. Department of Education - Pass-through programs from QCCTEC</t>
  </si>
  <si>
    <t>Total U.S. Department of Education</t>
  </si>
  <si>
    <t xml:space="preserve">U.S . Department of Health and Human Services - </t>
  </si>
  <si>
    <t xml:space="preserve">   Illinois Department of Healthcare &amp; Family Services</t>
  </si>
  <si>
    <t>Medicaid-Administrative Outreach</t>
  </si>
  <si>
    <t>19-4991-00</t>
  </si>
  <si>
    <t>20-4991-00</t>
  </si>
  <si>
    <t>Total U. S. Department of Health and Human Services - Pass-through program</t>
  </si>
  <si>
    <t>Total Federal Awards</t>
  </si>
  <si>
    <t>Total Federal Awards Passed Through Illinois State Board of Education</t>
  </si>
  <si>
    <t>(M) Indicates Major Federal Financial Assistance Program.</t>
  </si>
  <si>
    <t>(1) Carryover from prior year project per ISBE.</t>
  </si>
  <si>
    <t>(2) Project not complete as of June 30, 2020</t>
  </si>
  <si>
    <t>(3) Nonmonetary assistance is reported in the schedule at the fair market value of the commodities received and disbursed</t>
  </si>
  <si>
    <t>*** - No Subrecipients</t>
  </si>
  <si>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</si>
  <si>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</si>
  <si>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</si>
  <si>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</si>
  <si>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D</t>
  </si>
  <si>
    <t>500 E. Glen Avenue</t>
  </si>
  <si>
    <t>Peoria Heights</t>
  </si>
  <si>
    <t>eric.heath@ph325.org</t>
  </si>
  <si>
    <t>Russell J. Rumbold II, CPA</t>
  </si>
  <si>
    <t>rrumbold@gorenzcpa.com</t>
  </si>
  <si>
    <t>Dr. Eric Heath</t>
  </si>
  <si>
    <t>(309) 686-8800</t>
  </si>
  <si>
    <t>(309) 686-8801</t>
  </si>
  <si>
    <r>
      <t xml:space="preserve">The accompanying Schedule of Expenditures of Federal Awards includes the federal grant activity of </t>
    </r>
    <r>
      <rPr>
        <b/>
        <sz val="9"/>
        <rFont val="Calibri"/>
        <family val="2"/>
        <scheme val="minor"/>
      </rPr>
      <t>Peoria Heights Community Unit School District No. 325</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</si>
  <si>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</si>
  <si>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t>Note 5: Relationship to the Basic Financial Statements and Program Financial Reports</t>
  </si>
  <si>
    <t>Note 6:  Other Information</t>
  </si>
  <si>
    <t>Federal awards received are reflected in the District's financial statements within the Educational Fund as receipts from federal sources. Amounts reported in the accompanying Schedule of Federal Awards agree with the amounts in the Program Financial Reports for programs which have filed reports as of June 30, 2020 with ISBE.</t>
  </si>
  <si>
    <r>
      <t xml:space="preserve">Of the federal expenditures presented in the schedule, </t>
    </r>
    <r>
      <rPr>
        <b/>
        <sz val="9"/>
        <rFont val="Calibri"/>
        <family val="2"/>
        <scheme val="minor"/>
      </rPr>
      <t>Peoria Heights Community Unit School District No. 325</t>
    </r>
    <r>
      <rPr>
        <sz val="9"/>
        <rFont val="Calibri"/>
        <family val="2"/>
        <scheme val="minor"/>
      </rPr>
      <t xml:space="preserve"> provided federal awards to subrecipients as follows:</t>
    </r>
  </si>
  <si>
    <t>Unmodified Special Purpose Framework Reg. Basis</t>
  </si>
  <si>
    <t>Unmodified</t>
  </si>
  <si>
    <t>10.553, 10.555, 10.556, 10.559</t>
  </si>
  <si>
    <t>U.S. Department of Agriculture</t>
  </si>
  <si>
    <t>The Code of Federal Regulations (CFR) Title 2, part 180.220 states that non-Federal entities are prohibited from contracting with or making sub-awards under covered transactions to parties that are suspended or disbarred.</t>
  </si>
  <si>
    <t>The District did not obtain debarment certification or check the System for Award Management website for vendors contracted in excess of $25,000 related to the grant program. Upon further review, it was determined that the vendors were not suspended or debarred.</t>
  </si>
  <si>
    <t>None.</t>
  </si>
  <si>
    <t>The District did not verify that selected vendors were not suspended or debarred.</t>
  </si>
  <si>
    <t>Noncompliance with the federal award program's suspension and debarment compliance requirements could occur and not be detected and corrected timely.</t>
  </si>
  <si>
    <t>Procedures are not in place to verify if vendors contracted in excess of $25,000 related to the Child Nutrition Cluster program are not suspended, debarred, or otherwise excluded from doing business.</t>
  </si>
  <si>
    <t>For ISBE Review</t>
  </si>
  <si>
    <t xml:space="preserve">Date:   </t>
  </si>
  <si>
    <t>Resolution Criteria Code Number</t>
  </si>
  <si>
    <t xml:space="preserve">Initials: </t>
  </si>
  <si>
    <t>Disposition of Questioned Costs Code Letter</t>
  </si>
  <si>
    <t xml:space="preserve">The Code of Federal Regulations (CFR) Title 2, part 200.319 states that procurement transactions must be conducted in a manner providing full and open competition when certain thresholds are met. When multiple vendors are used to supply food and food supplies, the total annual purchase amount for all the vendors must be added together. </t>
  </si>
  <si>
    <t>Noncompliance with the federal award program's procurement compliance requirements occurred.</t>
  </si>
  <si>
    <t>There is no disagreement with this finding and procedures will be implemented to ensure competitive bidding takes place when thresholds are met for all vendors supplying food and food supplies for the District.</t>
  </si>
  <si>
    <t>CORRECTIVE ACTION PLAN FOR CURRENT YEAR AUDIT FINDINGS</t>
  </si>
  <si>
    <t>There is no disagreement with the finding and the corrective action plan will be implemented.</t>
  </si>
  <si>
    <t>Procedures will be implemented to ensure competitive bidding takes place when thresholds are met for all vendors supplying food and food supplies for the District.</t>
  </si>
  <si>
    <t>Child Nutrition Cluster - 2020</t>
  </si>
  <si>
    <t>19 &amp; 20-4210, 4215, 4220, 4225</t>
  </si>
  <si>
    <t>Noncompliance with the federal award program's resource (cash) management requirements could occur and not be detected and corrected timely.</t>
  </si>
  <si>
    <t>Management had not developed a system of internal control to ensure compliance with the Cash Management compliance requirement.</t>
  </si>
  <si>
    <t>Internal controls will be established and implemented related to the cash management compliance requirement.</t>
  </si>
  <si>
    <t>(M)</t>
  </si>
  <si>
    <t>The treasurer's bond did not cover 25% of the highest available cash and investment balance during the year.</t>
  </si>
  <si>
    <t>The district treasurer did not have adequate treasurer's bond coverage.</t>
  </si>
  <si>
    <t>The highest amount of cash and investments under the treasurer's control was greater than anticipated.</t>
  </si>
  <si>
    <t>The treasurer's bond should be increased to an amount which will cover 25% of the anticipated highest amount of cash and investments under the Treasurer's control during the year.</t>
  </si>
  <si>
    <t xml:space="preserve">    sequence of findings.  For example, findings identified and reported in the audit of fiscal year 2020 would be assigned a reference </t>
  </si>
  <si>
    <t>The treasurer's bond will be increased to an amount which will cover 25% of the anticipated highest amount of cash and investments under the Treasurer's control during the year.</t>
  </si>
  <si>
    <t>July 1, 2020</t>
  </si>
  <si>
    <t>Part A, #2 - See Finding 2020-004
Part C, #20 - See Findings 2020-001, 2020-002, 2020-003, 2020-005, 2020-006, 2020-007</t>
  </si>
  <si>
    <t>Refunding Bonds, Series 2013</t>
  </si>
  <si>
    <t>Working Cash Bonds, Series 2013</t>
  </si>
  <si>
    <t>Page 11, Line 107: Refunds and Reimbursements</t>
  </si>
  <si>
    <t>Page 18, Line 171: Bond Service Charges</t>
  </si>
  <si>
    <t xml:space="preserve">Page 29, Line 80: "PLEASE ENTER CONTRACTS PAID IN CURRENT YEAR" </t>
  </si>
  <si>
    <t>For the current year under audit, the District did not have any qualifying contracts</t>
  </si>
  <si>
    <t>exceeding the $25,000 limit.</t>
  </si>
  <si>
    <t>Value of Commodities</t>
  </si>
  <si>
    <r>
      <t xml:space="preserve">The following amounts were expended in the form of non-cash assistance by </t>
    </r>
    <r>
      <rPr>
        <b/>
        <sz val="9"/>
        <rFont val="Calibri"/>
        <family val="2"/>
        <scheme val="minor"/>
      </rPr>
      <t>Peoria Heights Community Unit School District No. 325</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</si>
  <si>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The highest amount of cash and investments under the treasurer's control was $13,880,327.  The minimum treasure's bond coverage was $3,470,082 (13,880,327 * 25%).  The actual treasurer's bond coverage was $3,000,000.</t>
  </si>
  <si>
    <t>Total CFDA 10.553</t>
  </si>
  <si>
    <t>Total CFDA 10.556</t>
  </si>
  <si>
    <t>Total U.S. Department of Agriculture - Pass-through programs  (Child Nutrition Cluster)</t>
  </si>
  <si>
    <t>Special Milk Program for Children</t>
  </si>
  <si>
    <t>Small Rural School Achievement Grant</t>
  </si>
  <si>
    <t xml:space="preserve">   Quad City Career and Technical Education Consortium</t>
  </si>
  <si>
    <t>Total Federal Awards Passed Through Other Entitles</t>
  </si>
  <si>
    <r>
      <t>Total CFDA 84.027 [</t>
    </r>
    <r>
      <rPr>
        <b/>
        <sz val="10"/>
        <rFont val="Times New Roman"/>
        <family val="1"/>
      </rPr>
      <t>Special Education Cluster (IDEA)</t>
    </r>
    <r>
      <rPr>
        <sz val="10"/>
        <rFont val="Times New Roman"/>
        <family val="1"/>
      </rPr>
      <t>]</t>
    </r>
  </si>
  <si>
    <t>Internal controls are designed to allow management or employees, in the normal course of performing their assigned functions, to prevent or detect misstatements and safeguard assets. A concept in a good system of internal control is adequate segregation of duties.</t>
  </si>
  <si>
    <t>Some duties that would ideally be performed by separate individuals are not segregated.</t>
  </si>
  <si>
    <t>A limited number of employees and the assignment of duties among these positions result in a lack of segregation of duties.</t>
  </si>
  <si>
    <t>The Board should take steps it considers necessary to limit the risks that a lack of segregation of duties presents.</t>
  </si>
  <si>
    <t>The District will take the auditors' recommendations under consideration.</t>
  </si>
  <si>
    <t>The District relies on the audit firm to prepare the annual financial statements and related footnote disclosures.  However, they have reviewed and approved the journal entries, annual financials statements and related footnote disclosures.</t>
  </si>
  <si>
    <t>Management is responsible for establishing and maintaining internal controls and for the fair presentation of the financial statements including the related disclosures, in conformity with the financial reporting provisions of the Illinois State Board of Education.</t>
  </si>
  <si>
    <t>There is no corrective action plan.</t>
  </si>
  <si>
    <t>The District relies on the external auditors to prepare the year-end financial statements with footnote disclosures.</t>
  </si>
  <si>
    <t>Bank reconciliations were not performed timely during the year.</t>
  </si>
  <si>
    <t>The cash balances in the accounting records were not reconciled to the monthly bank statements on a timely basis.  This can result in the misstatement of the District's accounting records and monthly financial statements.</t>
  </si>
  <si>
    <t>The District accounting staff did not perform timely, monthly bank reconciliations.</t>
  </si>
  <si>
    <t>The District's cash balances should be reconciled to the bank statements on a monthly basis and reviewed by an administrator.  Any discrepancies should be identified and any resulting entry to the accounting records should be entered on a timely basis.</t>
  </si>
  <si>
    <t>A review of the procedures for reconciling the accounting records for cash to the monthly bank statements on a monthly basis will be made.  Existing procedures will be updated and/or new procedures will be implemented.</t>
  </si>
  <si>
    <t>Bank reconciliations should be performed timely to detect and correct errors.</t>
  </si>
  <si>
    <t xml:space="preserve">One or more custodians of funds did not comply with the bonding requirements pursuant to Illinois School Code [105 ILCS 5/8-2;10-20.19;19-6].  </t>
  </si>
  <si>
    <t>The District will purchase additional treasurer's bond coverage.</t>
  </si>
  <si>
    <t>The District used multiple vendors to supply its food and food supplies. The District did not have a process in place to ensure procurement of competitive bidding for all required purchases.  As a result, the District did not competitively bid some of the  food and food supplies related to the grant program.</t>
  </si>
  <si>
    <t>The District did not competitively bid out a portion of the food and food supplies.</t>
  </si>
  <si>
    <t>Procedures are not in place to ensure all food and food supplies are let out for bid when required for the Child Nutrition Cluster.</t>
  </si>
  <si>
    <t xml:space="preserve">Procedures should be implemented to ensure competitive bidding takes place when thresholds are met for all vendors supplying food and food supplies for the District. </t>
  </si>
  <si>
    <t>The Code of Federal Regulations (CFR) Title 7, part 210.14(b) states the school food authority shall limit its net cash resources to an amount that does not exceed 3 months average expenditures for its "nonprofit school food service".</t>
  </si>
  <si>
    <t>The District has not monitored the net cash resources of the child nutrition program. Upon further review, it was determined that the net cash resources of the "nonprofit school food service" did not exceed 3 months average expenditures.</t>
  </si>
  <si>
    <t>The District did not calculate the net cash resources of the "nonprofit school food service".</t>
  </si>
  <si>
    <t>We recommend that the management establish internal controls related to the cash management compliance requirement to ensure that the net cash resources of the "nonprofit school food service" does not exceed 3 months average expenditures.</t>
  </si>
  <si>
    <t>There is no disagreement with this finding and internal controls will be developed to monitor the net cash resources of the "nonprofit school food service".</t>
  </si>
  <si>
    <t>An annual review will be performed.</t>
  </si>
  <si>
    <t>Assignments of tasks and positions will be reviewed on an annual basis and any identified, cost effective solutions will be implemented.</t>
  </si>
  <si>
    <t>We are currently confident with the abilities of the accounting staff to prepare interim financial statements. It is not cost feasible to correct this condition.</t>
  </si>
  <si>
    <t>Additional bond coverage will be purchased.</t>
  </si>
  <si>
    <t>There is no disagreement with this finding and procedures will be implemented to ensure all vendors contracted with have not been suspended or debarred or otherwise excluded from doing business, prior to procuring the goods and services.</t>
  </si>
  <si>
    <t>Procedures need to be implemented to ensure all vendors contracted with have not been suspended or debarred or otherwise excluded from doing business, prior to procuring the goods and services.</t>
  </si>
  <si>
    <t>Procedures will be implemented to ensure all vendors contracted with have not been suspended or debarred or otherwise excluded from doing business, prior to procuring the goods and services.</t>
  </si>
  <si>
    <t>The District does participate in a purchasing cooperative which obtains bids and assurances for a number vendors used in the food service program.  There are some additional vendors that are not covered by the cooperative's vetting process.</t>
  </si>
  <si>
    <t>Management has informed us that they do not have an internal control policy in place over annual financial statements including footnote disclosures.</t>
  </si>
  <si>
    <t>The District does not have an internal control in place over annual financial reporting that would enable management to prepare its annual financial statements and ensure related footnote disclosures are complete and presented in accordance with the financials reporting provisions of the Illinois State Board of Education.</t>
  </si>
  <si>
    <t>The completeness of the financial statement disclosures and the accuracy of the overall financial presentation is impacted as external auditors do not have the same comprehensive understanding of the district as its internal staff.</t>
  </si>
  <si>
    <t>Management should continue to review and approve the annual journal entries, financial statements and the related footnote disclosures.</t>
  </si>
  <si>
    <t>Management is currently confident with the abilities of the accounting staff to prepare interim financial statements. The District will continue to review the journal entries, financial statements and required footnotes prepared by the external auditors.  The District believes this process to be the most economical and appropriate to help insure complete financial reporting.</t>
  </si>
  <si>
    <t>There is no anticipated date of completion.</t>
  </si>
  <si>
    <t>See PDF version</t>
  </si>
  <si>
    <t xml:space="preserve">   Peoria Heights CUSD 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</si>
</sst>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_(* #,##0_);_(* \(#,##0\);_(* &quot;-&quot;??_);_(@_)"/>
    <numFmt numFmtId="188" formatCode="_(* #,##0_);_(* \(#,##0\);_(* &quot;0&quot;_);_(@_)"/>
    <numFmt numFmtId="189" formatCode="#,##0.000_);\(#,##0.000\)"/>
  </numFmts>
  <fonts count="1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ont>
    <font>
      <b/>
      <sz val="12"/>
      <name val="Times New Roman"/>
      <family val="1"/>
    </font>
    <font>
      <sz val="11"/>
      <name val="Times New Roman"/>
      <family val="1"/>
    </font>
    <font>
      <b/>
      <sz val="10"/>
      <name val="Times New Roman"/>
      <family val="1"/>
    </font>
    <font>
      <b/>
      <sz val="11"/>
      <name val="Times New Roman"/>
      <family val="1"/>
    </font>
    <font>
      <u/>
      <sz val="10"/>
      <name val="Times New Roman"/>
      <family val="1"/>
    </font>
    <font>
      <u val="singleAccounting"/>
      <sz val="10"/>
      <name val="Times New Roman"/>
      <family val="1"/>
    </font>
    <font>
      <u val="doubleAccounting"/>
      <sz val="10"/>
      <name val="Times New Roman"/>
      <family val="1"/>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
      <patternFill patternType="solid">
        <fgColor indexed="22"/>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tint="-0.499984740745262"/>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37" fontId="148" fillId="0" borderId="0"/>
    <xf numFmtId="43" fontId="46" fillId="0" borderId="0" applyFont="0" applyFill="0" applyBorder="0" applyAlignment="0" applyProtection="0"/>
    <xf numFmtId="9" fontId="46" fillId="0" borderId="0" applyFont="0" applyFill="0" applyBorder="0" applyAlignment="0" applyProtection="0"/>
  </cellStyleXfs>
  <cellXfs count="29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0" fontId="55" fillId="0" borderId="0" xfId="3" applyFont="1" applyAlignment="1">
      <alignment horizontal="center" vertical="center"/>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quotePrefix="1" applyNumberFormat="1" applyAlignment="1" applyProtection="1">
      <alignment horizontal="left" indent="2"/>
      <protection locked="0"/>
    </xf>
    <xf numFmtId="0" fontId="11" fillId="0" borderId="0" xfId="3" applyProtection="1">
      <protection locked="0"/>
    </xf>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49" fontId="55" fillId="0" borderId="0" xfId="3" applyNumberFormat="1" applyFont="1" applyAlignment="1">
      <alignment horizontal="center" vertical="top"/>
    </xf>
    <xf numFmtId="165" fontId="55" fillId="0" borderId="0" xfId="3" applyNumberFormat="1" applyFont="1" applyAlignment="1">
      <alignment horizontal="center" vertical="center"/>
    </xf>
    <xf numFmtId="166" fontId="55" fillId="0" borderId="0" xfId="3" applyNumberFormat="1" applyFont="1" applyAlignment="1">
      <alignment horizontal="center" vertical="top"/>
    </xf>
    <xf numFmtId="0" fontId="55" fillId="0" borderId="0" xfId="3" applyFont="1"/>
    <xf numFmtId="0" fontId="56" fillId="0" borderId="0" xfId="3" applyFont="1" applyAlignment="1">
      <alignment horizontal="center"/>
    </xf>
    <xf numFmtId="0" fontId="55" fillId="0" borderId="142" xfId="3" applyFont="1" applyBorder="1"/>
    <xf numFmtId="0" fontId="56" fillId="0" borderId="142" xfId="3" applyFont="1" applyBorder="1"/>
    <xf numFmtId="0" fontId="56" fillId="0" borderId="142" xfId="3" applyFont="1" applyBorder="1" applyAlignment="1">
      <alignment horizontal="center"/>
    </xf>
    <xf numFmtId="0" fontId="55" fillId="0" borderId="0" xfId="3" applyFont="1" applyAlignment="1">
      <alignment horizontal="centerContinuous"/>
    </xf>
    <xf numFmtId="0" fontId="55" fillId="0" borderId="0" xfId="3" applyFont="1" applyAlignment="1">
      <alignment horizontal="right"/>
    </xf>
    <xf numFmtId="178" fontId="55" fillId="0" borderId="9" xfId="3" applyNumberFormat="1" applyFont="1" applyBorder="1" applyAlignment="1" applyProtection="1">
      <alignment horizontal="left"/>
      <protection locked="0"/>
    </xf>
    <xf numFmtId="0" fontId="56" fillId="0" borderId="22" xfId="3" applyFont="1" applyBorder="1" applyAlignment="1" applyProtection="1">
      <alignment horizontal="center" vertical="center"/>
      <protection locked="0"/>
    </xf>
    <xf numFmtId="0" fontId="56" fillId="0" borderId="0" xfId="3" applyFont="1" applyAlignment="1">
      <alignment horizontal="left" indent="1"/>
    </xf>
    <xf numFmtId="0" fontId="65" fillId="0" borderId="0" xfId="3" applyFont="1" applyAlignment="1">
      <alignment horizontal="left" indent="1"/>
    </xf>
    <xf numFmtId="0" fontId="55" fillId="0" borderId="0" xfId="3" applyFont="1" applyAlignment="1">
      <alignment horizontal="left"/>
    </xf>
    <xf numFmtId="0" fontId="56" fillId="0" borderId="9" xfId="3" applyFont="1" applyBorder="1" applyProtection="1">
      <protection locked="0"/>
    </xf>
    <xf numFmtId="0" fontId="65" fillId="0" borderId="142" xfId="3" quotePrefix="1" applyFont="1" applyBorder="1" applyAlignment="1">
      <alignment horizontal="left"/>
    </xf>
    <xf numFmtId="0" fontId="55" fillId="0" borderId="142" xfId="3" quotePrefix="1" applyFont="1" applyBorder="1" applyAlignment="1">
      <alignment horizontal="left"/>
    </xf>
    <xf numFmtId="0" fontId="56" fillId="0" borderId="0" xfId="3" applyFont="1" applyAlignment="1">
      <alignment horizontal="left"/>
    </xf>
    <xf numFmtId="8" fontId="56"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5" fillId="0" borderId="142" xfId="3" applyFont="1" applyBorder="1" applyAlignment="1">
      <alignment horizontal="left"/>
    </xf>
    <xf numFmtId="0" fontId="56" fillId="0" borderId="78" xfId="3" applyFont="1" applyBorder="1"/>
    <xf numFmtId="0" fontId="56" fillId="0" borderId="78" xfId="3" applyFont="1" applyBorder="1" applyAlignment="1">
      <alignment horizontal="center"/>
    </xf>
    <xf numFmtId="0" fontId="120" fillId="0" borderId="0" xfId="3" applyFont="1"/>
    <xf numFmtId="0" fontId="121" fillId="0" borderId="0" xfId="3" applyFont="1"/>
    <xf numFmtId="0" fontId="55" fillId="0" borderId="0" xfId="3" applyFont="1" applyAlignment="1">
      <alignment horizontal="center" vertical="top" textRotation="180"/>
    </xf>
    <xf numFmtId="49" fontId="66" fillId="0" borderId="0" xfId="3" applyNumberFormat="1" applyFont="1" applyAlignment="1">
      <alignment horizontal="center" vertical="top"/>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pplyProtection="1">
      <alignment horizontal="right"/>
      <protection hidden="1"/>
    </xf>
    <xf numFmtId="0" fontId="58" fillId="0" borderId="0" xfId="3" applyFont="1" applyAlignment="1">
      <alignment horizontal="left" indent="1"/>
    </xf>
    <xf numFmtId="0" fontId="65" fillId="0" borderId="0" xfId="3" applyFont="1" applyAlignment="1">
      <alignment horizontal="left"/>
    </xf>
    <xf numFmtId="8" fontId="58" fillId="0" borderId="0" xfId="3" applyNumberFormat="1" applyFont="1" applyAlignment="1">
      <alignment horizontal="left"/>
    </xf>
    <xf numFmtId="0" fontId="58" fillId="0" borderId="78" xfId="3" applyFont="1" applyBorder="1"/>
    <xf numFmtId="0" fontId="58" fillId="0" borderId="78" xfId="3" applyFont="1" applyBorder="1" applyAlignment="1">
      <alignment horizontal="center"/>
    </xf>
    <xf numFmtId="0" fontId="65" fillId="0" borderId="0" xfId="3" applyFont="1" applyAlignment="1">
      <alignment horizontal="center" vertical="top" textRotation="180"/>
    </xf>
    <xf numFmtId="37" fontId="46" fillId="0" borderId="0" xfId="21" applyFont="1" applyAlignment="1">
      <alignment horizontal="center"/>
    </xf>
    <xf numFmtId="37" fontId="46" fillId="0" borderId="0" xfId="21" applyFont="1"/>
    <xf numFmtId="37" fontId="46" fillId="0" borderId="0" xfId="21" applyFont="1" applyAlignment="1">
      <alignment horizontal="right"/>
    </xf>
    <xf numFmtId="37" fontId="148" fillId="0" borderId="0" xfId="21"/>
    <xf numFmtId="37" fontId="46" fillId="0" borderId="0" xfId="21" applyFont="1" applyAlignment="1">
      <alignment horizontal="centerContinuous" vertical="center"/>
    </xf>
    <xf numFmtId="37" fontId="149" fillId="0" borderId="0" xfId="21" applyFont="1" applyAlignment="1">
      <alignment horizontal="centerContinuous" vertical="center"/>
    </xf>
    <xf numFmtId="37" fontId="46" fillId="0" borderId="0" xfId="21" applyFont="1" applyAlignment="1">
      <alignment vertical="center"/>
    </xf>
    <xf numFmtId="37" fontId="46" fillId="0" borderId="0" xfId="21" applyFont="1" applyAlignment="1">
      <alignment horizontal="center" vertical="center"/>
    </xf>
    <xf numFmtId="37" fontId="148" fillId="0" borderId="0" xfId="21" applyAlignment="1">
      <alignment vertical="center"/>
    </xf>
    <xf numFmtId="37" fontId="150" fillId="0" borderId="0" xfId="21" applyFont="1" applyAlignment="1">
      <alignment vertical="center"/>
    </xf>
    <xf numFmtId="37" fontId="150" fillId="0" borderId="0" xfId="21" applyFont="1" applyAlignment="1">
      <alignment horizontal="centerContinuous" vertical="center"/>
    </xf>
    <xf numFmtId="37" fontId="151" fillId="0" borderId="0" xfId="21" applyFont="1" applyAlignment="1">
      <alignment vertical="center"/>
    </xf>
    <xf numFmtId="37" fontId="46" fillId="0" borderId="0" xfId="21" applyFont="1" applyAlignment="1">
      <alignment horizontal="left" vertical="center"/>
    </xf>
    <xf numFmtId="37" fontId="46" fillId="0" borderId="139" xfId="21" applyFont="1" applyBorder="1" applyAlignment="1">
      <alignment horizontal="centerContinuous" vertical="center"/>
    </xf>
    <xf numFmtId="37" fontId="46" fillId="0" borderId="139" xfId="21" applyFont="1" applyBorder="1" applyAlignment="1">
      <alignment horizontal="left" vertical="center"/>
    </xf>
    <xf numFmtId="37" fontId="46" fillId="0" borderId="139" xfId="21" applyFont="1" applyBorder="1" applyAlignment="1">
      <alignment vertical="center"/>
    </xf>
    <xf numFmtId="37" fontId="46" fillId="0" borderId="139" xfId="21" applyFont="1" applyBorder="1" applyAlignment="1">
      <alignment horizontal="center" vertical="center"/>
    </xf>
    <xf numFmtId="37" fontId="153" fillId="0" borderId="0" xfId="21" applyFont="1" applyAlignment="1">
      <alignment horizontal="centerContinuous" vertical="center"/>
    </xf>
    <xf numFmtId="37" fontId="46" fillId="0" borderId="0" xfId="21" quotePrefix="1" applyFont="1" applyAlignment="1">
      <alignment horizontal="center" vertical="center"/>
    </xf>
    <xf numFmtId="14" fontId="46" fillId="0" borderId="0" xfId="21" quotePrefix="1" applyNumberFormat="1" applyFont="1" applyAlignment="1">
      <alignment horizontal="center" vertical="center"/>
    </xf>
    <xf numFmtId="14" fontId="46" fillId="0" borderId="0" xfId="21" applyNumberFormat="1" applyFont="1" applyAlignment="1">
      <alignment horizontal="center" vertical="center"/>
    </xf>
    <xf numFmtId="37" fontId="153" fillId="0" borderId="0" xfId="21" applyFont="1" applyAlignment="1">
      <alignment horizontal="left" vertical="center"/>
    </xf>
    <xf numFmtId="37" fontId="153" fillId="0" borderId="0" xfId="21" applyFont="1" applyAlignment="1">
      <alignment horizontal="center" vertical="center"/>
    </xf>
    <xf numFmtId="37" fontId="151" fillId="0" borderId="0" xfId="21" applyFont="1" applyAlignment="1">
      <alignment horizontal="left" vertical="center"/>
    </xf>
    <xf numFmtId="37" fontId="46" fillId="0" borderId="0" xfId="21" applyFont="1" applyAlignment="1">
      <alignment horizontal="right" vertical="center"/>
    </xf>
    <xf numFmtId="185" fontId="46" fillId="0" borderId="0" xfId="21" applyNumberFormat="1" applyFont="1" applyAlignment="1">
      <alignment horizontal="center" vertical="center"/>
    </xf>
    <xf numFmtId="186" fontId="46" fillId="0" borderId="0" xfId="21" applyNumberFormat="1" applyFont="1" applyAlignment="1">
      <alignment vertical="center"/>
    </xf>
    <xf numFmtId="186" fontId="46" fillId="0" borderId="0" xfId="21" applyNumberFormat="1" applyFont="1" applyAlignment="1">
      <alignment horizontal="center" vertical="center"/>
    </xf>
    <xf numFmtId="187" fontId="46" fillId="0" borderId="0" xfId="21" applyNumberFormat="1" applyFont="1" applyAlignment="1">
      <alignment vertical="center"/>
    </xf>
    <xf numFmtId="186" fontId="46" fillId="0" borderId="0" xfId="21" applyNumberFormat="1" applyFont="1" applyAlignment="1">
      <alignment horizontal="right" vertical="center"/>
    </xf>
    <xf numFmtId="186" fontId="46" fillId="0" borderId="0" xfId="21" quotePrefix="1" applyNumberFormat="1" applyFont="1" applyAlignment="1">
      <alignment horizontal="center" vertical="center"/>
    </xf>
    <xf numFmtId="186" fontId="154" fillId="0" borderId="0" xfId="21" applyNumberFormat="1" applyFont="1" applyAlignment="1">
      <alignment vertical="center"/>
    </xf>
    <xf numFmtId="187" fontId="154" fillId="0" borderId="0" xfId="21" applyNumberFormat="1" applyFont="1" applyAlignment="1">
      <alignment vertical="center"/>
    </xf>
    <xf numFmtId="186" fontId="46" fillId="0" borderId="0" xfId="21" quotePrefix="1" applyNumberFormat="1" applyFont="1" applyAlignment="1">
      <alignment vertical="center"/>
    </xf>
    <xf numFmtId="186" fontId="46" fillId="0" borderId="78" xfId="21" applyNumberFormat="1" applyFont="1" applyBorder="1" applyAlignment="1">
      <alignment vertical="center"/>
    </xf>
    <xf numFmtId="186" fontId="153" fillId="0" borderId="0" xfId="21" applyNumberFormat="1" applyFont="1" applyAlignment="1">
      <alignment vertical="center"/>
    </xf>
    <xf numFmtId="187" fontId="153" fillId="0" borderId="0" xfId="21" applyNumberFormat="1" applyFont="1" applyAlignment="1">
      <alignment vertical="center"/>
    </xf>
    <xf numFmtId="37" fontId="46" fillId="20" borderId="0" xfId="21" applyFont="1" applyFill="1" applyAlignment="1">
      <alignment vertical="center"/>
    </xf>
    <xf numFmtId="37" fontId="46" fillId="20" borderId="0" xfId="21" applyFont="1" applyFill="1" applyAlignment="1">
      <alignment horizontal="center" vertical="center"/>
    </xf>
    <xf numFmtId="186" fontId="46" fillId="20" borderId="0" xfId="21" applyNumberFormat="1" applyFont="1" applyFill="1" applyAlignment="1">
      <alignment vertical="center"/>
    </xf>
    <xf numFmtId="186" fontId="46" fillId="20" borderId="0" xfId="21" quotePrefix="1" applyNumberFormat="1" applyFont="1" applyFill="1" applyAlignment="1">
      <alignment horizontal="center" vertical="center"/>
    </xf>
    <xf numFmtId="37" fontId="148" fillId="0" borderId="0" xfId="21" applyAlignment="1">
      <alignment horizontal="center" vertical="center"/>
    </xf>
    <xf numFmtId="37" fontId="46" fillId="20" borderId="0" xfId="21" applyFont="1" applyFill="1" applyAlignment="1">
      <alignment horizontal="left" vertical="center"/>
    </xf>
    <xf numFmtId="185" fontId="46" fillId="20" borderId="0" xfId="21" applyNumberFormat="1" applyFont="1" applyFill="1" applyAlignment="1">
      <alignment horizontal="center" vertical="center"/>
    </xf>
    <xf numFmtId="37" fontId="46" fillId="20" borderId="0" xfId="21" quotePrefix="1" applyFont="1" applyFill="1" applyAlignment="1">
      <alignment horizontal="center" vertical="center"/>
    </xf>
    <xf numFmtId="37" fontId="150" fillId="0" borderId="0" xfId="21" applyFont="1"/>
    <xf numFmtId="37" fontId="150" fillId="0" borderId="0" xfId="21" quotePrefix="1" applyFont="1" applyAlignment="1">
      <alignment horizontal="left"/>
    </xf>
    <xf numFmtId="185" fontId="150" fillId="0" borderId="0" xfId="21" applyNumberFormat="1" applyFont="1" applyAlignment="1">
      <alignment horizontal="center"/>
    </xf>
    <xf numFmtId="37" fontId="150" fillId="0" borderId="0" xfId="21" applyFont="1" applyAlignment="1">
      <alignment horizontal="center"/>
    </xf>
    <xf numFmtId="37" fontId="150" fillId="0" borderId="0" xfId="21" quotePrefix="1" applyFont="1" applyAlignment="1">
      <alignment horizontal="left" vertical="center"/>
    </xf>
    <xf numFmtId="37" fontId="150" fillId="0" borderId="0" xfId="21" applyFont="1" applyAlignment="1">
      <alignment horizontal="center" vertical="center"/>
    </xf>
    <xf numFmtId="188" fontId="46" fillId="20" borderId="0" xfId="21" applyNumberFormat="1" applyFont="1" applyFill="1" applyAlignment="1">
      <alignment vertical="center"/>
    </xf>
    <xf numFmtId="186" fontId="46" fillId="20" borderId="0" xfId="21" applyNumberFormat="1" applyFont="1" applyFill="1" applyAlignment="1">
      <alignment horizontal="right" vertical="center"/>
    </xf>
    <xf numFmtId="188" fontId="46" fillId="0" borderId="0" xfId="21" applyNumberFormat="1" applyFont="1" applyAlignment="1">
      <alignment vertical="center"/>
    </xf>
    <xf numFmtId="186" fontId="46" fillId="20" borderId="0" xfId="21" applyNumberFormat="1" applyFont="1" applyFill="1" applyAlignment="1">
      <alignment horizontal="center" vertical="center"/>
    </xf>
    <xf numFmtId="186" fontId="46" fillId="0" borderId="0" xfId="21" applyNumberFormat="1" applyFont="1" applyAlignment="1">
      <alignment horizontal="left" vertical="center"/>
    </xf>
    <xf numFmtId="189" fontId="46" fillId="0" borderId="0" xfId="21" applyNumberFormat="1" applyFont="1" applyAlignment="1">
      <alignment vertical="center"/>
    </xf>
    <xf numFmtId="186" fontId="154" fillId="21" borderId="0" xfId="21" applyNumberFormat="1" applyFont="1" applyFill="1" applyAlignment="1">
      <alignment vertical="center"/>
    </xf>
    <xf numFmtId="186" fontId="46" fillId="8" borderId="0" xfId="21" applyNumberFormat="1" applyFont="1" applyFill="1" applyAlignment="1">
      <alignment vertical="center"/>
    </xf>
    <xf numFmtId="186" fontId="154" fillId="0" borderId="78" xfId="21" applyNumberFormat="1" applyFont="1" applyBorder="1" applyAlignment="1">
      <alignment vertical="center"/>
    </xf>
    <xf numFmtId="187" fontId="46" fillId="0" borderId="78" xfId="21" applyNumberFormat="1" applyFont="1" applyBorder="1" applyAlignment="1">
      <alignment vertical="center"/>
    </xf>
    <xf numFmtId="186" fontId="154" fillId="0" borderId="0" xfId="21" applyNumberFormat="1" applyFont="1" applyAlignment="1">
      <alignment horizontal="center" vertical="center"/>
    </xf>
    <xf numFmtId="185" fontId="46" fillId="0" borderId="0" xfId="21" applyNumberFormat="1" applyFont="1" applyAlignment="1">
      <alignment vertical="center"/>
    </xf>
    <xf numFmtId="187" fontId="155" fillId="0" borderId="0" xfId="21" applyNumberFormat="1" applyFont="1" applyAlignment="1">
      <alignment vertical="center"/>
    </xf>
    <xf numFmtId="186" fontId="155" fillId="0" borderId="0" xfId="21" applyNumberFormat="1" applyFont="1" applyAlignment="1">
      <alignment vertical="center"/>
    </xf>
    <xf numFmtId="186" fontId="46" fillId="0" borderId="0" xfId="21" applyNumberFormat="1" applyFont="1" applyAlignment="1">
      <alignment horizontal="fill" vertical="center"/>
    </xf>
    <xf numFmtId="37" fontId="148" fillId="0" borderId="78" xfId="21" applyBorder="1" applyAlignment="1">
      <alignment vertical="center"/>
    </xf>
    <xf numFmtId="37" fontId="148" fillId="0" borderId="0" xfId="21" applyAlignment="1">
      <alignment horizontal="left"/>
    </xf>
    <xf numFmtId="37" fontId="46" fillId="0" borderId="0" xfId="21" quotePrefix="1" applyFont="1" applyAlignment="1">
      <alignment horizontal="left" vertical="center"/>
    </xf>
    <xf numFmtId="37" fontId="46" fillId="0" borderId="0" xfId="21" applyFont="1" applyAlignment="1">
      <alignment horizontal="left"/>
    </xf>
    <xf numFmtId="186" fontId="46" fillId="0" borderId="0" xfId="21" applyNumberFormat="1" applyFont="1"/>
    <xf numFmtId="186" fontId="46" fillId="0" borderId="0" xfId="21" applyNumberFormat="1" applyFont="1" applyAlignment="1">
      <alignment horizontal="center"/>
    </xf>
    <xf numFmtId="37" fontId="147" fillId="0" borderId="0" xfId="21" applyFont="1" applyAlignment="1">
      <alignment horizontal="left"/>
    </xf>
    <xf numFmtId="169" fontId="12" fillId="0" borderId="0" xfId="21" applyNumberFormat="1" applyFont="1" applyAlignment="1">
      <alignment horizontal="left"/>
    </xf>
    <xf numFmtId="1" fontId="12" fillId="0" borderId="0" xfId="21" applyNumberFormat="1" applyFont="1" applyAlignment="1">
      <alignment horizontal="left"/>
    </xf>
    <xf numFmtId="37" fontId="12" fillId="0" borderId="0" xfId="21" applyFont="1" applyAlignment="1">
      <alignment horizontal="left"/>
    </xf>
    <xf numFmtId="169" fontId="148" fillId="0" borderId="0" xfId="21" applyNumberFormat="1" applyAlignment="1">
      <alignment horizontal="left"/>
    </xf>
    <xf numFmtId="1" fontId="148" fillId="0" borderId="0" xfId="21" applyNumberFormat="1" applyAlignment="1">
      <alignment horizontal="left"/>
    </xf>
    <xf numFmtId="169" fontId="148" fillId="0" borderId="0" xfId="21" applyNumberFormat="1" applyProtection="1">
      <protection locked="0"/>
    </xf>
    <xf numFmtId="1" fontId="148" fillId="0" borderId="0" xfId="21" applyNumberFormat="1" applyProtection="1">
      <protection locked="0"/>
    </xf>
    <xf numFmtId="37" fontId="148" fillId="0" borderId="0" xfId="21" applyProtection="1">
      <protection locked="0"/>
    </xf>
    <xf numFmtId="37" fontId="148" fillId="0" borderId="0" xfId="21" applyAlignment="1" applyProtection="1">
      <alignment horizontal="center"/>
      <protection locked="0"/>
    </xf>
    <xf numFmtId="37" fontId="14" fillId="0" borderId="0" xfId="21" applyFont="1" applyAlignment="1">
      <alignment vertical="center"/>
    </xf>
    <xf numFmtId="185" fontId="46" fillId="0" borderId="0" xfId="21" applyNumberFormat="1" applyFont="1" applyAlignment="1">
      <alignment horizontal="center"/>
    </xf>
    <xf numFmtId="37" fontId="46" fillId="0" borderId="0" xfId="21" quotePrefix="1" applyFont="1" applyAlignment="1">
      <alignment horizontal="center"/>
    </xf>
    <xf numFmtId="187" fontId="46" fillId="0" borderId="0" xfId="21" applyNumberFormat="1" applyFont="1"/>
    <xf numFmtId="186" fontId="46" fillId="0" borderId="0" xfId="21" applyNumberFormat="1" applyFont="1" applyFill="1" applyAlignment="1">
      <alignment vertical="center"/>
    </xf>
    <xf numFmtId="5" fontId="56" fillId="0" borderId="0" xfId="3" applyNumberFormat="1" applyFont="1" applyBorder="1" applyAlignment="1" applyProtection="1">
      <protection locked="0"/>
    </xf>
    <xf numFmtId="5" fontId="66" fillId="0" borderId="0" xfId="3" applyNumberFormat="1" applyFont="1" applyBorder="1" applyAlignment="1" applyProtection="1">
      <protection locked="0"/>
    </xf>
    <xf numFmtId="0" fontId="66" fillId="0" borderId="0" xfId="3" applyFont="1" applyBorder="1" applyAlignment="1" applyProtection="1">
      <protection locked="0"/>
    </xf>
    <xf numFmtId="186" fontId="154" fillId="0" borderId="0" xfId="21" applyNumberFormat="1" applyFont="1" applyAlignment="1">
      <alignment horizontal="left" vertical="center"/>
    </xf>
    <xf numFmtId="37" fontId="46" fillId="0" borderId="0" xfId="21" applyFont="1" applyFill="1" applyAlignment="1">
      <alignment horizontal="center"/>
    </xf>
    <xf numFmtId="37" fontId="46" fillId="0" borderId="0" xfId="21" applyFont="1" applyFill="1" applyAlignment="1">
      <alignment vertical="center"/>
    </xf>
    <xf numFmtId="37" fontId="46" fillId="0" borderId="0" xfId="21" applyFont="1" applyFill="1" applyAlignment="1">
      <alignment horizontal="left" vertical="center"/>
    </xf>
    <xf numFmtId="37" fontId="46" fillId="0" borderId="139" xfId="21" applyFont="1" applyFill="1" applyBorder="1" applyAlignment="1">
      <alignment horizontal="left" vertical="center"/>
    </xf>
    <xf numFmtId="37" fontId="153" fillId="0" borderId="0" xfId="21" applyFont="1" applyFill="1" applyAlignment="1">
      <alignment horizontal="centerContinuous" vertical="center"/>
    </xf>
    <xf numFmtId="37" fontId="46" fillId="0" borderId="0" xfId="21" quotePrefix="1" applyFont="1" applyFill="1" applyAlignment="1">
      <alignment horizontal="center" vertical="center"/>
    </xf>
    <xf numFmtId="14" fontId="46" fillId="0" borderId="0" xfId="21" quotePrefix="1" applyNumberFormat="1" applyFont="1" applyFill="1" applyAlignment="1">
      <alignment horizontal="center" vertical="center"/>
    </xf>
    <xf numFmtId="37" fontId="153" fillId="0" borderId="0" xfId="21" applyFont="1" applyFill="1" applyAlignment="1">
      <alignment horizontal="center" vertical="center"/>
    </xf>
    <xf numFmtId="37" fontId="46" fillId="0" borderId="0" xfId="21" applyFont="1" applyFill="1" applyAlignment="1">
      <alignment horizontal="center" vertical="center"/>
    </xf>
    <xf numFmtId="186" fontId="154" fillId="0" borderId="0" xfId="21" applyNumberFormat="1" applyFont="1" applyFill="1" applyAlignment="1">
      <alignment vertical="center"/>
    </xf>
    <xf numFmtId="187" fontId="46" fillId="0" borderId="0" xfId="21" applyNumberFormat="1" applyFont="1" applyFill="1" applyAlignment="1">
      <alignment vertical="center"/>
    </xf>
    <xf numFmtId="187" fontId="154" fillId="0" borderId="0" xfId="21" applyNumberFormat="1" applyFont="1" applyFill="1" applyAlignment="1">
      <alignment vertical="center"/>
    </xf>
    <xf numFmtId="186" fontId="46" fillId="0" borderId="78" xfId="21" applyNumberFormat="1" applyFont="1" applyFill="1" applyBorder="1" applyAlignment="1">
      <alignment vertical="center"/>
    </xf>
    <xf numFmtId="186" fontId="153" fillId="0" borderId="0" xfId="21" applyNumberFormat="1" applyFont="1" applyFill="1" applyAlignment="1">
      <alignment vertical="center"/>
    </xf>
    <xf numFmtId="187" fontId="155" fillId="0" borderId="0" xfId="21" applyNumberFormat="1" applyFont="1" applyFill="1" applyAlignment="1">
      <alignment vertical="center"/>
    </xf>
    <xf numFmtId="186" fontId="46" fillId="0" borderId="0" xfId="21" applyNumberFormat="1" applyFont="1" applyFill="1" applyAlignment="1">
      <alignment horizontal="fill" vertical="center"/>
    </xf>
    <xf numFmtId="186" fontId="46" fillId="0" borderId="0" xfId="21" applyNumberFormat="1" applyFont="1" applyFill="1"/>
    <xf numFmtId="37" fontId="12" fillId="0" borderId="0" xfId="21" applyFont="1" applyFill="1" applyAlignment="1">
      <alignment horizontal="left"/>
    </xf>
    <xf numFmtId="37" fontId="148" fillId="0" borderId="0" xfId="21" applyFill="1" applyAlignment="1">
      <alignment horizontal="left"/>
    </xf>
    <xf numFmtId="37" fontId="148" fillId="0" borderId="0" xfId="21" applyFill="1" applyAlignment="1" applyProtection="1">
      <alignment horizontal="center"/>
      <protection locked="0"/>
    </xf>
    <xf numFmtId="37" fontId="148" fillId="0" borderId="0" xfId="21" applyFill="1" applyAlignment="1">
      <alignment vertical="center"/>
    </xf>
    <xf numFmtId="49" fontId="66" fillId="27" borderId="0" xfId="3" applyNumberFormat="1" applyFont="1" applyFill="1" applyAlignment="1">
      <alignment horizontal="center" vertical="center"/>
    </xf>
    <xf numFmtId="0" fontId="58" fillId="27" borderId="0" xfId="3" applyFont="1" applyFill="1"/>
    <xf numFmtId="166" fontId="66" fillId="27" borderId="0" xfId="3" applyNumberFormat="1" applyFont="1" applyFill="1" applyAlignment="1">
      <alignment horizontal="center" vertical="center"/>
    </xf>
    <xf numFmtId="0" fontId="55" fillId="27" borderId="0" xfId="3" applyFont="1" applyFill="1" applyAlignment="1">
      <alignment horizontal="center" vertical="center"/>
    </xf>
    <xf numFmtId="0" fontId="66" fillId="27" borderId="0" xfId="3" applyFont="1" applyFill="1"/>
    <xf numFmtId="0" fontId="58" fillId="27" borderId="0" xfId="3" applyFont="1" applyFill="1" applyAlignment="1">
      <alignment horizontal="center"/>
    </xf>
    <xf numFmtId="0" fontId="58" fillId="27" borderId="142" xfId="3" applyFont="1" applyFill="1" applyBorder="1"/>
    <xf numFmtId="0" fontId="58" fillId="27" borderId="142" xfId="3" applyFont="1" applyFill="1" applyBorder="1" applyAlignment="1">
      <alignment horizontal="center"/>
    </xf>
    <xf numFmtId="0" fontId="65" fillId="27" borderId="0" xfId="3" applyFont="1" applyFill="1"/>
    <xf numFmtId="0" fontId="66" fillId="27" borderId="0" xfId="3" applyFont="1" applyFill="1" applyAlignment="1">
      <alignment horizontal="right"/>
    </xf>
    <xf numFmtId="178" fontId="66" fillId="27" borderId="74" xfId="3" applyNumberFormat="1" applyFont="1" applyFill="1" applyBorder="1" applyAlignment="1" applyProtection="1">
      <alignment horizontal="center"/>
      <protection locked="0"/>
    </xf>
    <xf numFmtId="0" fontId="58" fillId="27" borderId="22" xfId="3" applyFont="1" applyFill="1" applyBorder="1" applyAlignment="1" applyProtection="1">
      <alignment horizontal="center"/>
      <protection locked="0"/>
    </xf>
    <xf numFmtId="0" fontId="63" fillId="27" borderId="0" xfId="3" applyFont="1" applyFill="1" applyAlignment="1">
      <alignment horizontal="left" vertical="center" indent="1"/>
    </xf>
    <xf numFmtId="0" fontId="63" fillId="27" borderId="0" xfId="3" applyFont="1" applyFill="1" applyAlignment="1">
      <alignment horizontal="left" indent="1"/>
    </xf>
    <xf numFmtId="0" fontId="63" fillId="27" borderId="0" xfId="3" applyFont="1" applyFill="1" applyAlignment="1">
      <alignment horizontal="left"/>
    </xf>
    <xf numFmtId="0" fontId="58" fillId="27" borderId="74" xfId="3" applyFont="1" applyFill="1" applyBorder="1" applyProtection="1">
      <protection locked="0"/>
    </xf>
    <xf numFmtId="0" fontId="66" fillId="27" borderId="9" xfId="3" applyFont="1" applyFill="1" applyBorder="1"/>
    <xf numFmtId="0" fontId="58" fillId="27" borderId="9" xfId="3" applyFont="1" applyFill="1" applyBorder="1"/>
    <xf numFmtId="0" fontId="58" fillId="27" borderId="9" xfId="3" applyFont="1" applyFill="1" applyBorder="1" applyAlignment="1">
      <alignment horizontal="center"/>
    </xf>
    <xf numFmtId="0" fontId="58" fillId="27" borderId="0" xfId="3" applyFont="1" applyFill="1" applyAlignment="1">
      <alignment vertical="center"/>
    </xf>
    <xf numFmtId="0" fontId="63" fillId="27" borderId="0" xfId="3" applyFont="1" applyFill="1"/>
    <xf numFmtId="0" fontId="65" fillId="27" borderId="0" xfId="3" applyFont="1" applyFill="1" applyAlignment="1">
      <alignment horizontal="center"/>
    </xf>
    <xf numFmtId="0" fontId="66" fillId="27" borderId="0" xfId="3" applyFont="1" applyFill="1" applyAlignment="1">
      <alignment vertical="center"/>
    </xf>
    <xf numFmtId="0" fontId="66" fillId="27" borderId="0" xfId="3" applyFont="1" applyFill="1" applyAlignment="1">
      <alignment horizontal="center"/>
    </xf>
    <xf numFmtId="0" fontId="65" fillId="27" borderId="0" xfId="3" quotePrefix="1" applyFont="1" applyFill="1" applyAlignment="1">
      <alignment horizontal="left"/>
    </xf>
    <xf numFmtId="0" fontId="56" fillId="27" borderId="0" xfId="3" applyFont="1" applyFill="1"/>
    <xf numFmtId="0" fontId="56" fillId="27" borderId="0" xfId="3" applyFont="1" applyFill="1" applyAlignment="1">
      <alignment horizontal="center"/>
    </xf>
    <xf numFmtId="0" fontId="58" fillId="27" borderId="9" xfId="3" applyFont="1" applyFill="1" applyBorder="1" applyAlignment="1">
      <alignment horizontal="left"/>
    </xf>
    <xf numFmtId="170" fontId="58" fillId="27" borderId="9" xfId="3" applyNumberFormat="1" applyFont="1" applyFill="1" applyBorder="1" applyAlignment="1">
      <alignment horizontal="centerContinuous"/>
    </xf>
    <xf numFmtId="0" fontId="58" fillId="27" borderId="0" xfId="3" applyFont="1" applyFill="1" applyAlignment="1">
      <alignment horizontal="left"/>
    </xf>
    <xf numFmtId="0" fontId="65" fillId="27" borderId="142" xfId="3" applyFont="1" applyFill="1" applyBorder="1" applyAlignment="1">
      <alignment horizontal="left"/>
    </xf>
    <xf numFmtId="0" fontId="66" fillId="27" borderId="142" xfId="3" applyFont="1" applyFill="1" applyBorder="1"/>
    <xf numFmtId="0" fontId="65" fillId="24" borderId="141" xfId="3" applyFont="1" applyFill="1" applyBorder="1"/>
    <xf numFmtId="0" fontId="65" fillId="24" borderId="142" xfId="3" applyFont="1" applyFill="1" applyBorder="1"/>
    <xf numFmtId="0" fontId="58" fillId="24" borderId="142" xfId="3" applyFont="1" applyFill="1" applyBorder="1"/>
    <xf numFmtId="0" fontId="58" fillId="24" borderId="142" xfId="3" applyFont="1" applyFill="1" applyBorder="1" applyAlignment="1">
      <alignment horizontal="center"/>
    </xf>
    <xf numFmtId="0" fontId="58" fillId="24" borderId="143" xfId="3" applyFont="1" applyFill="1" applyBorder="1"/>
    <xf numFmtId="0" fontId="58" fillId="27" borderId="5" xfId="3" applyFont="1" applyFill="1" applyBorder="1"/>
    <xf numFmtId="0" fontId="63" fillId="24" borderId="5" xfId="3" applyFont="1" applyFill="1" applyBorder="1"/>
    <xf numFmtId="0" fontId="63" fillId="24" borderId="196" xfId="3" applyFont="1" applyFill="1" applyBorder="1"/>
    <xf numFmtId="14" fontId="58" fillId="24" borderId="74" xfId="3" applyNumberFormat="1" applyFont="1" applyFill="1" applyBorder="1" applyAlignment="1">
      <alignment horizontal="center"/>
    </xf>
    <xf numFmtId="14" fontId="58" fillId="24" borderId="0" xfId="3" applyNumberFormat="1" applyFont="1" applyFill="1"/>
    <xf numFmtId="0" fontId="63" fillId="24" borderId="0" xfId="3" applyFont="1" applyFill="1"/>
    <xf numFmtId="0" fontId="58" fillId="24" borderId="0" xfId="3" applyFont="1" applyFill="1" applyAlignment="1">
      <alignment horizontal="center"/>
    </xf>
    <xf numFmtId="0" fontId="58" fillId="24" borderId="0" xfId="3" applyFont="1" applyFill="1"/>
    <xf numFmtId="0" fontId="58" fillId="24" borderId="74" xfId="3" applyFont="1" applyFill="1" applyBorder="1" applyAlignment="1">
      <alignment horizontal="center"/>
    </xf>
    <xf numFmtId="0" fontId="58" fillId="24" borderId="40" xfId="3" applyFont="1" applyFill="1" applyBorder="1"/>
    <xf numFmtId="0" fontId="58" fillId="24" borderId="50" xfId="3" applyFont="1" applyFill="1" applyBorder="1"/>
    <xf numFmtId="0" fontId="58" fillId="24" borderId="9" xfId="3" applyFont="1" applyFill="1" applyBorder="1"/>
    <xf numFmtId="0" fontId="58" fillId="24" borderId="9" xfId="3" applyFont="1" applyFill="1" applyBorder="1" applyAlignment="1">
      <alignment horizontal="center"/>
    </xf>
    <xf numFmtId="0" fontId="58" fillId="24" borderId="59" xfId="3" applyFont="1" applyFill="1" applyBorder="1"/>
    <xf numFmtId="0" fontId="73" fillId="27" borderId="149" xfId="3" applyFont="1" applyFill="1" applyBorder="1" applyAlignment="1">
      <alignment horizontal="left"/>
    </xf>
    <xf numFmtId="0" fontId="58" fillId="27" borderId="149" xfId="3" applyFont="1" applyFill="1" applyBorder="1"/>
    <xf numFmtId="0" fontId="58" fillId="27" borderId="149" xfId="3" applyFont="1" applyFill="1" applyBorder="1" applyAlignment="1">
      <alignment horizontal="center"/>
    </xf>
    <xf numFmtId="0" fontId="120" fillId="27" borderId="0" xfId="3" applyFont="1" applyFill="1"/>
    <xf numFmtId="49" fontId="66" fillId="0" borderId="0" xfId="3" applyNumberFormat="1" applyFont="1" applyAlignment="1">
      <alignment horizontal="center" vertical="center"/>
    </xf>
    <xf numFmtId="166" fontId="66" fillId="0" borderId="0" xfId="3" applyNumberFormat="1" applyFont="1" applyAlignment="1">
      <alignment horizontal="center" vertical="center"/>
    </xf>
    <xf numFmtId="0" fontId="66" fillId="0" borderId="0" xfId="3" applyFont="1" applyAlignment="1">
      <alignment horizontal="right"/>
    </xf>
    <xf numFmtId="0" fontId="63" fillId="0" borderId="0" xfId="3" applyFont="1" applyAlignment="1">
      <alignment horizontal="left" vertical="center" indent="1"/>
    </xf>
    <xf numFmtId="0" fontId="63" fillId="0" borderId="0" xfId="3" applyFont="1" applyAlignment="1">
      <alignment horizontal="left" indent="1"/>
    </xf>
    <xf numFmtId="0" fontId="63" fillId="0" borderId="0" xfId="3" applyFont="1" applyAlignment="1">
      <alignment horizontal="left"/>
    </xf>
    <xf numFmtId="0" fontId="66" fillId="0" borderId="9" xfId="3" applyFont="1" applyBorder="1"/>
    <xf numFmtId="0" fontId="58" fillId="0" borderId="9" xfId="3" applyFont="1" applyBorder="1"/>
    <xf numFmtId="0" fontId="58" fillId="0" borderId="9" xfId="3" applyFont="1" applyBorder="1" applyAlignment="1">
      <alignment horizontal="center"/>
    </xf>
    <xf numFmtId="0" fontId="65" fillId="0" borderId="0" xfId="3" applyFont="1" applyAlignment="1">
      <alignment horizontal="center"/>
    </xf>
    <xf numFmtId="0" fontId="66" fillId="0" borderId="0" xfId="3" applyFont="1" applyAlignment="1">
      <alignment vertical="center"/>
    </xf>
    <xf numFmtId="0" fontId="66" fillId="0" borderId="0" xfId="3" applyFont="1" applyAlignment="1">
      <alignment horizontal="center"/>
    </xf>
    <xf numFmtId="0" fontId="65" fillId="0" borderId="0" xfId="3" quotePrefix="1" applyFont="1" applyAlignment="1">
      <alignment horizontal="left"/>
    </xf>
    <xf numFmtId="0" fontId="58" fillId="0" borderId="9" xfId="3" applyFont="1" applyBorder="1" applyAlignment="1">
      <alignment horizontal="left"/>
    </xf>
    <xf numFmtId="170" fontId="58" fillId="0" borderId="9" xfId="3" applyNumberFormat="1" applyFont="1" applyBorder="1" applyAlignment="1">
      <alignment horizontal="centerContinuous"/>
    </xf>
    <xf numFmtId="0" fontId="65" fillId="28" borderId="141" xfId="3" applyFont="1" applyFill="1" applyBorder="1"/>
    <xf numFmtId="0" fontId="65" fillId="28" borderId="142" xfId="3" applyFont="1" applyFill="1" applyBorder="1"/>
    <xf numFmtId="0" fontId="58" fillId="28" borderId="142" xfId="3" applyFont="1" applyFill="1" applyBorder="1"/>
    <xf numFmtId="0" fontId="58" fillId="28" borderId="142" xfId="3" applyFont="1" applyFill="1" applyBorder="1" applyAlignment="1">
      <alignment horizontal="center"/>
    </xf>
    <xf numFmtId="0" fontId="58" fillId="28" borderId="143" xfId="3" applyFont="1" applyFill="1" applyBorder="1"/>
    <xf numFmtId="0" fontId="58" fillId="0" borderId="5" xfId="3" applyFont="1" applyBorder="1"/>
    <xf numFmtId="0" fontId="63" fillId="28" borderId="5" xfId="3" applyFont="1" applyFill="1" applyBorder="1"/>
    <xf numFmtId="0" fontId="63" fillId="28" borderId="196" xfId="3" applyFont="1" applyFill="1" applyBorder="1"/>
    <xf numFmtId="14" fontId="58" fillId="28" borderId="74" xfId="3" applyNumberFormat="1" applyFont="1" applyFill="1" applyBorder="1" applyAlignment="1">
      <alignment horizontal="center"/>
    </xf>
    <xf numFmtId="14" fontId="58" fillId="28" borderId="0" xfId="3" applyNumberFormat="1" applyFont="1" applyFill="1"/>
    <xf numFmtId="0" fontId="63" fillId="28" borderId="0" xfId="3" applyFont="1" applyFill="1"/>
    <xf numFmtId="0" fontId="58" fillId="28" borderId="0" xfId="3" applyFont="1" applyFill="1" applyAlignment="1">
      <alignment horizontal="center"/>
    </xf>
    <xf numFmtId="0" fontId="58" fillId="28" borderId="0" xfId="3" applyFont="1" applyFill="1"/>
    <xf numFmtId="0" fontId="58" fillId="28" borderId="74" xfId="3" applyFont="1" applyFill="1" applyBorder="1" applyAlignment="1">
      <alignment horizontal="center"/>
    </xf>
    <xf numFmtId="0" fontId="58" fillId="28" borderId="40" xfId="3" applyFont="1" applyFill="1" applyBorder="1"/>
    <xf numFmtId="0" fontId="58" fillId="28" borderId="50" xfId="3" applyFont="1" applyFill="1" applyBorder="1"/>
    <xf numFmtId="0" fontId="58" fillId="28" borderId="9" xfId="3" applyFont="1" applyFill="1" applyBorder="1"/>
    <xf numFmtId="0" fontId="58" fillId="28" borderId="9" xfId="3" applyFont="1" applyFill="1" applyBorder="1" applyAlignment="1">
      <alignment horizontal="center"/>
    </xf>
    <xf numFmtId="0" fontId="58" fillId="28" borderId="59" xfId="3" applyFont="1" applyFill="1" applyBorder="1"/>
    <xf numFmtId="0" fontId="73" fillId="0" borderId="149" xfId="3" applyFont="1" applyBorder="1" applyAlignment="1">
      <alignment horizontal="left"/>
    </xf>
    <xf numFmtId="0" fontId="58" fillId="0" borderId="149" xfId="3" applyFont="1" applyBorder="1"/>
    <xf numFmtId="0" fontId="58" fillId="0" borderId="149" xfId="3" applyFont="1" applyBorder="1" applyAlignment="1">
      <alignment horizontal="center"/>
    </xf>
    <xf numFmtId="0" fontId="12" fillId="0" borderId="0" xfId="3" applyFont="1" applyAlignment="1">
      <alignment vertical="top"/>
    </xf>
    <xf numFmtId="0" fontId="11" fillId="0" borderId="0" xfId="3" applyAlignment="1" applyProtection="1">
      <alignment wrapText="1"/>
      <protection locked="0"/>
    </xf>
    <xf numFmtId="0" fontId="55" fillId="0" borderId="0" xfId="3" applyFont="1" applyAlignment="1">
      <alignment horizontal="center" vertical="center"/>
    </xf>
    <xf numFmtId="0" fontId="58" fillId="0" borderId="9" xfId="3" applyFont="1" applyFill="1" applyBorder="1" applyAlignment="1">
      <alignment horizontal="left"/>
    </xf>
    <xf numFmtId="0" fontId="58" fillId="0" borderId="9" xfId="3" applyFont="1" applyFill="1" applyBorder="1"/>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wrapText="1"/>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72" fillId="0" borderId="50" xfId="3" applyNumberFormat="1" applyFont="1" applyBorder="1" applyAlignment="1" applyProtection="1">
      <alignment horizontal="left" indent="1"/>
    </xf>
    <xf numFmtId="0" fontId="72" fillId="0" borderId="9" xfId="3" applyFont="1" applyBorder="1" applyAlignment="1" applyProtection="1">
      <alignment horizontal="left" indent="1"/>
    </xf>
    <xf numFmtId="0" fontId="72"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alignment horizontal="left"/>
    </xf>
    <xf numFmtId="0" fontId="66" fillId="0" borderId="0" xfId="3" applyFont="1" applyBorder="1" applyAlignment="1" applyProtection="1">
      <alignment horizontal="left"/>
    </xf>
    <xf numFmtId="0" fontId="66" fillId="0" borderId="40" xfId="3" applyFont="1" applyBorder="1" applyAlignment="1" applyProtection="1">
      <alignment horizontal="left"/>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37" fontId="149" fillId="0" borderId="0" xfId="21" applyFont="1" applyAlignment="1">
      <alignment horizontal="center" vertical="center"/>
    </xf>
    <xf numFmtId="37" fontId="152" fillId="0" borderId="0" xfId="21" applyFont="1" applyAlignment="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6"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6"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0" xfId="3" applyFont="1" applyAlignment="1" applyProtection="1">
      <alignment horizontal="center" vertical="center" wrapText="1"/>
    </xf>
    <xf numFmtId="0" fontId="55" fillId="0" borderId="142" xfId="3" applyFont="1" applyBorder="1" applyAlignment="1" applyProtection="1">
      <alignment horizontal="center" vertical="center" wrapText="1"/>
    </xf>
    <xf numFmtId="0" fontId="58" fillId="0" borderId="0" xfId="3" applyFont="1" applyBorder="1" applyAlignment="1" applyProtection="1">
      <alignment horizontal="left" vertical="top" wrapText="1"/>
      <protection locked="0"/>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58" fillId="27" borderId="0" xfId="3" applyFont="1" applyFill="1" applyAlignment="1" applyProtection="1">
      <alignment horizontal="left" vertical="top" wrapText="1"/>
      <protection locked="0"/>
    </xf>
    <xf numFmtId="0" fontId="66" fillId="27" borderId="74" xfId="3" applyFont="1" applyFill="1" applyBorder="1" applyAlignment="1" applyProtection="1">
      <alignment horizontal="center"/>
      <protection locked="0"/>
    </xf>
    <xf numFmtId="0" fontId="66" fillId="27" borderId="74" xfId="3" applyFont="1" applyFill="1" applyBorder="1" applyAlignment="1" applyProtection="1">
      <alignment horizontal="center" vertical="center"/>
      <protection locked="0"/>
    </xf>
    <xf numFmtId="0" fontId="55" fillId="27" borderId="0" xfId="3" applyFont="1" applyFill="1" applyAlignment="1">
      <alignment horizontal="center" vertical="center" wrapText="1"/>
    </xf>
    <xf numFmtId="165" fontId="55" fillId="27" borderId="0" xfId="3" applyNumberFormat="1" applyFont="1" applyFill="1" applyAlignment="1">
      <alignment horizontal="center" vertical="center" wrapText="1"/>
    </xf>
    <xf numFmtId="0" fontId="55" fillId="27" borderId="142" xfId="3" applyFont="1" applyFill="1" applyBorder="1" applyAlignment="1">
      <alignment horizontal="center" vertical="center" wrapText="1"/>
    </xf>
    <xf numFmtId="165" fontId="55" fillId="0" borderId="0" xfId="3" applyNumberFormat="1" applyFont="1" applyAlignment="1">
      <alignment horizontal="center" vertical="center" wrapText="1"/>
    </xf>
    <xf numFmtId="0" fontId="55" fillId="0" borderId="142" xfId="3" applyFont="1" applyBorder="1" applyAlignment="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xf numFmtId="0" fontId="14" fillId="0" borderId="0" xfId="3" applyFont="1" applyAlignment="1">
      <alignment horizontal="center" wrapText="1"/>
    </xf>
    <xf numFmtId="165" fontId="21" fillId="0" borderId="0" xfId="3" applyNumberFormat="1" applyFont="1" applyAlignment="1">
      <alignment horizontal="center" vertical="center" wrapText="1"/>
    </xf>
    <xf numFmtId="0" fontId="11" fillId="0" borderId="0" xfId="3" applyFill="1" applyAlignment="1" applyProtection="1">
      <alignment horizontal="left" vertical="top" wrapText="1"/>
      <protection locked="0"/>
    </xf>
  </cellXfs>
  <cellStyles count="24">
    <cellStyle name="Comma" xfId="1" builtinId="3"/>
    <cellStyle name="Comma 2" xfId="22" xr:uid="{F09AFFB8-B78C-4ECD-8489-B3702DCBD6BD}"/>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25A3F175-83C4-47C0-88A6-A1EF426F23E2}"/>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Percent 2" xfId="23" xr:uid="{56F7925B-F534-44BB-B25D-8132A91298A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22093"/>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12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419350" y="254317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862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419350" y="254317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862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oneCellAnchor>
    <xdr:from>
      <xdr:col>4</xdr:col>
      <xdr:colOff>0</xdr:colOff>
      <xdr:row>29</xdr:row>
      <xdr:rowOff>0</xdr:rowOff>
    </xdr:from>
    <xdr:ext cx="85725" cy="201757"/>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1699260" y="838962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29</xdr:row>
      <xdr:rowOff>0</xdr:rowOff>
    </xdr:from>
    <xdr:to>
      <xdr:col>3</xdr:col>
      <xdr:colOff>0</xdr:colOff>
      <xdr:row>29</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325880" y="8389620"/>
          <a:ext cx="0" cy="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oneCellAnchor>
    <xdr:from>
      <xdr:col>4</xdr:col>
      <xdr:colOff>0</xdr:colOff>
      <xdr:row>28</xdr:row>
      <xdr:rowOff>0</xdr:rowOff>
    </xdr:from>
    <xdr:ext cx="85725" cy="201757"/>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1699260" y="838962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28</xdr:row>
      <xdr:rowOff>0</xdr:rowOff>
    </xdr:from>
    <xdr:to>
      <xdr:col>3</xdr:col>
      <xdr:colOff>0</xdr:colOff>
      <xdr:row>28</xdr:row>
      <xdr:rowOff>0</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bwMode="auto">
        <a:xfrm>
          <a:off x="1325880" y="8389620"/>
          <a:ext cx="0" cy="0"/>
        </a:xfrm>
        <a:prstGeom prst="rect">
          <a:avLst/>
        </a:prstGeom>
        <a:solidFill>
          <a:srgbClr val="FFFFFF"/>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oneCellAnchor>
    <xdr:from>
      <xdr:col>4</xdr:col>
      <xdr:colOff>0</xdr:colOff>
      <xdr:row>28</xdr:row>
      <xdr:rowOff>0</xdr:rowOff>
    </xdr:from>
    <xdr:ext cx="85725" cy="201757"/>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1699260" y="861822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28</xdr:row>
      <xdr:rowOff>0</xdr:rowOff>
    </xdr:from>
    <xdr:to>
      <xdr:col>3</xdr:col>
      <xdr:colOff>0</xdr:colOff>
      <xdr:row>28</xdr:row>
      <xdr:rowOff>0</xdr:rowOff>
    </xdr:to>
    <xdr:sp macro="" textlink="">
      <xdr:nvSpPr>
        <xdr:cNvPr id="3" name="Rectangle 2">
          <a:extLst>
            <a:ext uri="{FF2B5EF4-FFF2-40B4-BE49-F238E27FC236}">
              <a16:creationId xmlns:a16="http://schemas.microsoft.com/office/drawing/2014/main" id="{00000000-0008-0000-2A00-000003000000}"/>
            </a:ext>
          </a:extLst>
        </xdr:cNvPr>
        <xdr:cNvSpPr>
          <a:spLocks noChangeArrowheads="1"/>
        </xdr:cNvSpPr>
      </xdr:nvSpPr>
      <xdr:spPr bwMode="auto">
        <a:xfrm>
          <a:off x="1325880" y="8618220"/>
          <a:ext cx="0" cy="0"/>
        </a:xfrm>
        <a:prstGeom prst="rect">
          <a:avLst/>
        </a:prstGeom>
        <a:solidFill>
          <a:srgbClr val="FFFFFF"/>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0</xdr:colOff>
      <xdr:row>28</xdr:row>
      <xdr:rowOff>0</xdr:rowOff>
    </xdr:from>
    <xdr:to>
      <xdr:col>4</xdr:col>
      <xdr:colOff>82550</xdr:colOff>
      <xdr:row>29</xdr:row>
      <xdr:rowOff>25400</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647825" y="7658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28</xdr:row>
      <xdr:rowOff>0</xdr:rowOff>
    </xdr:from>
    <xdr:to>
      <xdr:col>3</xdr:col>
      <xdr:colOff>0</xdr:colOff>
      <xdr:row>28</xdr:row>
      <xdr:rowOff>0</xdr:rowOff>
    </xdr:to>
    <xdr:sp macro="" textlink="">
      <xdr:nvSpPr>
        <xdr:cNvPr id="3" name="Rectangle 2">
          <a:extLst>
            <a:ext uri="{FF2B5EF4-FFF2-40B4-BE49-F238E27FC236}">
              <a16:creationId xmlns:a16="http://schemas.microsoft.com/office/drawing/2014/main" id="{00000000-0008-0000-2B00-000003000000}"/>
            </a:ext>
          </a:extLst>
        </xdr:cNvPr>
        <xdr:cNvSpPr>
          <a:spLocks noChangeArrowheads="1"/>
        </xdr:cNvSpPr>
      </xdr:nvSpPr>
      <xdr:spPr bwMode="auto">
        <a:xfrm>
          <a:off x="1285875" y="7658100"/>
          <a:ext cx="0" cy="0"/>
        </a:xfrm>
        <a:prstGeom prst="rect">
          <a:avLst/>
        </a:prstGeom>
        <a:solidFill>
          <a:srgbClr val="FFFFFF"/>
        </a:solidFill>
        <a:ln w="9525">
          <a:solidFill>
            <a:srgbClr val="000000"/>
          </a:solid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oneCellAnchor>
    <xdr:from>
      <xdr:col>4</xdr:col>
      <xdr:colOff>0</xdr:colOff>
      <xdr:row>34</xdr:row>
      <xdr:rowOff>0</xdr:rowOff>
    </xdr:from>
    <xdr:ext cx="85725" cy="201757"/>
    <xdr:sp macro="" textlink="">
      <xdr:nvSpPr>
        <xdr:cNvPr id="2" name="Text 1">
          <a:extLst>
            <a:ext uri="{FF2B5EF4-FFF2-40B4-BE49-F238E27FC236}">
              <a16:creationId xmlns:a16="http://schemas.microsoft.com/office/drawing/2014/main" id="{00000000-0008-0000-2C00-000002000000}"/>
            </a:ext>
          </a:extLst>
        </xdr:cNvPr>
        <xdr:cNvSpPr txBox="1">
          <a:spLocks noChangeArrowheads="1"/>
        </xdr:cNvSpPr>
      </xdr:nvSpPr>
      <xdr:spPr bwMode="auto">
        <a:xfrm>
          <a:off x="1647825" y="81153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34</xdr:row>
      <xdr:rowOff>0</xdr:rowOff>
    </xdr:from>
    <xdr:to>
      <xdr:col>3</xdr:col>
      <xdr:colOff>0</xdr:colOff>
      <xdr:row>34</xdr:row>
      <xdr:rowOff>0</xdr:rowOff>
    </xdr:to>
    <xdr:sp macro="" textlink="">
      <xdr:nvSpPr>
        <xdr:cNvPr id="3" name="Rectangle 2">
          <a:extLst>
            <a:ext uri="{FF2B5EF4-FFF2-40B4-BE49-F238E27FC236}">
              <a16:creationId xmlns:a16="http://schemas.microsoft.com/office/drawing/2014/main" id="{00000000-0008-0000-2C00-000003000000}"/>
            </a:ext>
          </a:extLst>
        </xdr:cNvPr>
        <xdr:cNvSpPr>
          <a:spLocks noChangeArrowheads="1"/>
        </xdr:cNvSpPr>
      </xdr:nvSpPr>
      <xdr:spPr bwMode="auto">
        <a:xfrm>
          <a:off x="1285875" y="81153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4</xdr:col>
      <xdr:colOff>0</xdr:colOff>
      <xdr:row>34</xdr:row>
      <xdr:rowOff>0</xdr:rowOff>
    </xdr:from>
    <xdr:ext cx="85725" cy="201757"/>
    <xdr:sp macro="" textlink="">
      <xdr:nvSpPr>
        <xdr:cNvPr id="2" name="Text 1">
          <a:extLst>
            <a:ext uri="{FF2B5EF4-FFF2-40B4-BE49-F238E27FC236}">
              <a16:creationId xmlns:a16="http://schemas.microsoft.com/office/drawing/2014/main" id="{00000000-0008-0000-2D00-000002000000}"/>
            </a:ext>
          </a:extLst>
        </xdr:cNvPr>
        <xdr:cNvSpPr txBox="1">
          <a:spLocks noChangeArrowheads="1"/>
        </xdr:cNvSpPr>
      </xdr:nvSpPr>
      <xdr:spPr bwMode="auto">
        <a:xfrm>
          <a:off x="1647825" y="81153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34</xdr:row>
      <xdr:rowOff>0</xdr:rowOff>
    </xdr:from>
    <xdr:to>
      <xdr:col>3</xdr:col>
      <xdr:colOff>0</xdr:colOff>
      <xdr:row>34</xdr:row>
      <xdr:rowOff>0</xdr:rowOff>
    </xdr:to>
    <xdr:sp macro="" textlink="">
      <xdr:nvSpPr>
        <xdr:cNvPr id="3" name="Rectangle 2">
          <a:extLst>
            <a:ext uri="{FF2B5EF4-FFF2-40B4-BE49-F238E27FC236}">
              <a16:creationId xmlns:a16="http://schemas.microsoft.com/office/drawing/2014/main" id="{00000000-0008-0000-2D00-000003000000}"/>
            </a:ext>
          </a:extLst>
        </xdr:cNvPr>
        <xdr:cNvSpPr>
          <a:spLocks noChangeArrowheads="1"/>
        </xdr:cNvSpPr>
      </xdr:nvSpPr>
      <xdr:spPr bwMode="auto">
        <a:xfrm>
          <a:off x="1285875" y="8115300"/>
          <a:ext cx="0" cy="0"/>
        </a:xfrm>
        <a:prstGeom prst="rect">
          <a:avLst/>
        </a:prstGeom>
        <a:solidFill>
          <a:srgbClr val="FFFFFF"/>
        </a:solidFill>
        <a:ln w="9525">
          <a:solidFill>
            <a:srgbClr val="000000"/>
          </a:solid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oneCellAnchor>
    <xdr:from>
      <xdr:col>4</xdr:col>
      <xdr:colOff>0</xdr:colOff>
      <xdr:row>34</xdr:row>
      <xdr:rowOff>0</xdr:rowOff>
    </xdr:from>
    <xdr:ext cx="85725" cy="201757"/>
    <xdr:sp macro="" textlink="">
      <xdr:nvSpPr>
        <xdr:cNvPr id="2" name="Text 1">
          <a:extLst>
            <a:ext uri="{FF2B5EF4-FFF2-40B4-BE49-F238E27FC236}">
              <a16:creationId xmlns:a16="http://schemas.microsoft.com/office/drawing/2014/main" id="{00000000-0008-0000-2E00-000002000000}"/>
            </a:ext>
          </a:extLst>
        </xdr:cNvPr>
        <xdr:cNvSpPr txBox="1">
          <a:spLocks noChangeArrowheads="1"/>
        </xdr:cNvSpPr>
      </xdr:nvSpPr>
      <xdr:spPr bwMode="auto">
        <a:xfrm>
          <a:off x="1647825" y="6962775"/>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34</xdr:row>
      <xdr:rowOff>0</xdr:rowOff>
    </xdr:from>
    <xdr:to>
      <xdr:col>3</xdr:col>
      <xdr:colOff>0</xdr:colOff>
      <xdr:row>34</xdr:row>
      <xdr:rowOff>0</xdr:rowOff>
    </xdr:to>
    <xdr:sp macro="" textlink="">
      <xdr:nvSpPr>
        <xdr:cNvPr id="3" name="Rectangle 2">
          <a:extLst>
            <a:ext uri="{FF2B5EF4-FFF2-40B4-BE49-F238E27FC236}">
              <a16:creationId xmlns:a16="http://schemas.microsoft.com/office/drawing/2014/main" id="{00000000-0008-0000-2E00-000003000000}"/>
            </a:ext>
          </a:extLst>
        </xdr:cNvPr>
        <xdr:cNvSpPr>
          <a:spLocks noChangeArrowheads="1"/>
        </xdr:cNvSpPr>
      </xdr:nvSpPr>
      <xdr:spPr bwMode="auto">
        <a:xfrm>
          <a:off x="1285875" y="6962775"/>
          <a:ext cx="0" cy="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1</xdr:row>
          <xdr:rowOff>66675</xdr:rowOff>
        </xdr:from>
        <xdr:to>
          <xdr:col>1</xdr:col>
          <xdr:colOff>2152650</xdr:colOff>
          <xdr:row>5</xdr:row>
          <xdr:rowOff>66675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2589068</xdr:colOff>
          <xdr:row>1</xdr:row>
          <xdr:rowOff>51954</xdr:rowOff>
        </xdr:from>
        <xdr:to>
          <xdr:col>1</xdr:col>
          <xdr:colOff>3500870</xdr:colOff>
          <xdr:row>6</xdr:row>
          <xdr:rowOff>11257</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541F0A9F-7986-432A-9FA7-29B0FAF7AE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312">
        <f>+'AFR20'!E4</f>
        <v>44119</v>
      </c>
      <c r="C1" s="2312"/>
      <c r="D1" s="2313"/>
      <c r="I1" s="2391" t="s">
        <v>402</v>
      </c>
      <c r="J1" s="2392"/>
      <c r="K1" s="2392"/>
      <c r="L1" s="2392"/>
      <c r="M1" s="2392"/>
      <c r="N1" s="2392"/>
      <c r="O1" s="2392"/>
      <c r="P1" s="2392"/>
      <c r="Q1" s="2392"/>
      <c r="R1" s="2392"/>
      <c r="S1" s="2392"/>
    </row>
    <row r="2" spans="1:32" ht="12" customHeight="1" x14ac:dyDescent="0.2">
      <c r="A2" s="1831" t="str">
        <f>"Due to ISBE on "</f>
        <v xml:space="preserve">Due to ISBE on </v>
      </c>
      <c r="B2" s="2314">
        <f>+'AFR20'!F4</f>
        <v>44151</v>
      </c>
      <c r="C2" s="2314"/>
      <c r="D2" s="2315"/>
      <c r="I2" s="2393" t="s">
        <v>1999</v>
      </c>
      <c r="J2" s="2392"/>
      <c r="K2" s="2392"/>
      <c r="L2" s="2392"/>
      <c r="M2" s="2392"/>
      <c r="N2" s="2392"/>
      <c r="O2" s="2392"/>
      <c r="P2" s="2392"/>
      <c r="Q2" s="2392"/>
      <c r="R2" s="2392"/>
      <c r="S2" s="2392"/>
    </row>
    <row r="3" spans="1:32" ht="12" customHeight="1" x14ac:dyDescent="0.2">
      <c r="A3" s="1834" t="str">
        <f>"SD/JA"&amp;MID('AFR20'!E2,3,2)</f>
        <v>SD/JA20</v>
      </c>
      <c r="B3" s="151"/>
      <c r="C3" s="151"/>
      <c r="D3" s="152"/>
      <c r="I3" s="2393" t="s">
        <v>52</v>
      </c>
      <c r="J3" s="2392"/>
      <c r="K3" s="2392"/>
      <c r="L3" s="2392"/>
      <c r="M3" s="2392"/>
      <c r="N3" s="2392"/>
      <c r="O3" s="2392"/>
      <c r="P3" s="2392"/>
      <c r="Q3" s="2392"/>
      <c r="R3" s="2392"/>
      <c r="S3" s="2392"/>
    </row>
    <row r="4" spans="1:32" ht="12" customHeight="1" x14ac:dyDescent="0.2">
      <c r="A4" s="37"/>
      <c r="I4" s="2393" t="s">
        <v>521</v>
      </c>
      <c r="J4" s="2392"/>
      <c r="K4" s="2392"/>
      <c r="L4" s="2392"/>
      <c r="M4" s="2392"/>
      <c r="N4" s="2392"/>
      <c r="O4" s="2392"/>
      <c r="P4" s="2392"/>
      <c r="Q4" s="2392"/>
      <c r="R4" s="2392"/>
      <c r="S4" s="2392"/>
    </row>
    <row r="5" spans="1:32" ht="14.1" customHeight="1" x14ac:dyDescent="0.2">
      <c r="B5" s="101" t="s">
        <v>2047</v>
      </c>
      <c r="C5" s="26" t="s">
        <v>904</v>
      </c>
      <c r="D5" s="81"/>
      <c r="E5" s="81"/>
      <c r="H5" s="38"/>
      <c r="I5" s="2400" t="s">
        <v>675</v>
      </c>
      <c r="J5" s="2345"/>
      <c r="K5" s="2345"/>
      <c r="L5" s="2345"/>
      <c r="M5" s="2345"/>
      <c r="N5" s="2345"/>
      <c r="O5" s="2345"/>
      <c r="P5" s="2345"/>
      <c r="Q5" s="2345"/>
      <c r="R5" s="2345"/>
      <c r="S5" s="2345"/>
      <c r="AF5" s="1827"/>
    </row>
    <row r="6" spans="1:32" ht="14.1" customHeight="1" x14ac:dyDescent="0.2">
      <c r="B6" s="101"/>
      <c r="C6" s="26" t="s">
        <v>905</v>
      </c>
      <c r="D6" s="81"/>
      <c r="E6" s="81"/>
      <c r="I6" s="2399" t="s">
        <v>877</v>
      </c>
      <c r="J6" s="2345"/>
      <c r="K6" s="2345"/>
      <c r="L6" s="2345"/>
      <c r="M6" s="2345"/>
      <c r="N6" s="2345"/>
      <c r="O6" s="2345"/>
      <c r="P6" s="2345"/>
      <c r="Q6" s="2345"/>
      <c r="R6" s="2345"/>
      <c r="S6" s="2345"/>
    </row>
    <row r="7" spans="1:32" ht="12.2" customHeight="1" x14ac:dyDescent="0.2">
      <c r="I7" s="2394" t="str">
        <f>"June 30, "&amp;'AFR20'!E2</f>
        <v>June 30, 2020</v>
      </c>
      <c r="J7" s="2395"/>
      <c r="K7" s="2395"/>
      <c r="L7" s="2395"/>
      <c r="M7" s="2395"/>
      <c r="N7" s="2395"/>
      <c r="O7" s="2395"/>
      <c r="P7" s="2395"/>
      <c r="Q7" s="2395"/>
      <c r="R7" s="2395"/>
      <c r="S7" s="239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396" t="s">
        <v>669</v>
      </c>
      <c r="J9" s="2397"/>
      <c r="K9" s="2397"/>
      <c r="L9" s="2397"/>
      <c r="M9" s="2397"/>
      <c r="N9" s="2397"/>
      <c r="O9" s="2397"/>
      <c r="P9" s="2397"/>
      <c r="Q9" s="2397"/>
      <c r="R9" s="2397"/>
      <c r="S9" s="2398"/>
      <c r="T9" s="2341" t="s">
        <v>530</v>
      </c>
      <c r="U9" s="2342"/>
      <c r="V9" s="2342"/>
      <c r="W9" s="2342"/>
      <c r="X9" s="2342"/>
      <c r="Y9" s="2342"/>
      <c r="Z9" s="2342"/>
      <c r="AA9" s="2343"/>
    </row>
    <row r="10" spans="1:32" ht="13.5" customHeight="1" x14ac:dyDescent="0.2">
      <c r="A10" s="2350" t="s">
        <v>670</v>
      </c>
      <c r="B10" s="2351"/>
      <c r="C10" s="2351"/>
      <c r="D10" s="2351"/>
      <c r="E10" s="2351"/>
      <c r="F10" s="2351"/>
      <c r="G10" s="2351"/>
      <c r="H10" s="2352"/>
      <c r="I10" s="29"/>
      <c r="J10" s="30"/>
      <c r="K10" s="28"/>
      <c r="R10" s="30"/>
      <c r="S10" s="30"/>
      <c r="T10" s="2344"/>
      <c r="U10" s="2345"/>
      <c r="V10" s="2345"/>
      <c r="W10" s="2345"/>
      <c r="X10" s="2345"/>
      <c r="Y10" s="2345"/>
      <c r="Z10" s="2345"/>
      <c r="AA10" s="2346"/>
    </row>
    <row r="11" spans="1:32" ht="14.25" customHeight="1" x14ac:dyDescent="0.2">
      <c r="A11" s="2353" t="s">
        <v>949</v>
      </c>
      <c r="B11" s="2354"/>
      <c r="C11" s="2354"/>
      <c r="D11" s="2354"/>
      <c r="E11" s="2354"/>
      <c r="F11" s="2354"/>
      <c r="G11" s="2354"/>
      <c r="H11" s="2355"/>
      <c r="I11" s="27"/>
      <c r="J11" s="71"/>
      <c r="K11" s="27"/>
      <c r="O11" s="144" t="s">
        <v>2047</v>
      </c>
      <c r="P11" s="97" t="s">
        <v>199</v>
      </c>
      <c r="Q11" s="30"/>
      <c r="R11" s="28"/>
      <c r="S11" s="27"/>
      <c r="T11" s="2347"/>
      <c r="U11" s="2348"/>
      <c r="V11" s="2348"/>
      <c r="W11" s="2348"/>
      <c r="X11" s="2348"/>
      <c r="Y11" s="2348"/>
      <c r="Z11" s="2348"/>
      <c r="AA11" s="234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361">
        <v>48072325026</v>
      </c>
      <c r="B13" s="2362"/>
      <c r="C13" s="2362"/>
      <c r="D13" s="2362"/>
      <c r="E13" s="2362"/>
      <c r="F13" s="2362"/>
      <c r="G13" s="2362"/>
      <c r="H13" s="2363"/>
      <c r="I13" s="31"/>
      <c r="J13" s="30"/>
      <c r="K13" s="28"/>
      <c r="L13" s="30"/>
      <c r="M13" s="30"/>
      <c r="N13" s="30"/>
      <c r="O13" s="30"/>
      <c r="P13" s="30"/>
      <c r="Q13" s="30"/>
      <c r="R13" s="30"/>
      <c r="S13" s="30"/>
      <c r="T13" s="2366" t="s">
        <v>2048</v>
      </c>
      <c r="U13" s="2367"/>
      <c r="V13" s="2367"/>
      <c r="W13" s="2367"/>
      <c r="X13" s="2367"/>
      <c r="Y13" s="2368"/>
      <c r="Z13" s="2368"/>
      <c r="AA13" s="236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359" t="s">
        <v>2050</v>
      </c>
      <c r="B15" s="2364"/>
      <c r="C15" s="2364"/>
      <c r="D15" s="2364"/>
      <c r="E15" s="2364"/>
      <c r="F15" s="2364"/>
      <c r="G15" s="2364"/>
      <c r="H15" s="2365"/>
      <c r="T15" s="2327" t="s">
        <v>2220</v>
      </c>
      <c r="U15" s="2328"/>
      <c r="V15" s="2328"/>
      <c r="W15" s="2328"/>
      <c r="X15" s="2328"/>
      <c r="Y15" s="2370"/>
      <c r="Z15" s="2370"/>
      <c r="AA15" s="237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319" t="s">
        <v>2325</v>
      </c>
      <c r="B17" s="2389"/>
      <c r="C17" s="2389"/>
      <c r="D17" s="2389"/>
      <c r="E17" s="2389"/>
      <c r="F17" s="2389"/>
      <c r="G17" s="2389"/>
      <c r="H17" s="2390"/>
      <c r="T17" s="2376" t="s">
        <v>2049</v>
      </c>
      <c r="U17" s="2377"/>
      <c r="V17" s="2377"/>
      <c r="W17" s="2377"/>
      <c r="X17" s="2377"/>
      <c r="Y17" s="2377"/>
      <c r="Z17" s="2377"/>
      <c r="AA17" s="2378"/>
    </row>
    <row r="18" spans="1:27" ht="13.5" customHeight="1" x14ac:dyDescent="0.2">
      <c r="A18" s="82" t="s">
        <v>527</v>
      </c>
      <c r="B18" s="73"/>
      <c r="C18" s="69"/>
      <c r="D18" s="73"/>
      <c r="E18" s="73"/>
      <c r="F18" s="73"/>
      <c r="G18" s="73"/>
      <c r="H18" s="53"/>
      <c r="I18" s="2386" t="s">
        <v>671</v>
      </c>
      <c r="J18" s="2387"/>
      <c r="K18" s="2387"/>
      <c r="L18" s="2387"/>
      <c r="M18" s="2387"/>
      <c r="N18" s="2387"/>
      <c r="O18" s="2387"/>
      <c r="P18" s="2387"/>
      <c r="Q18" s="2387"/>
      <c r="R18" s="2387"/>
      <c r="S18" s="2388"/>
      <c r="T18" s="82" t="s">
        <v>706</v>
      </c>
      <c r="U18" s="48"/>
      <c r="V18" s="69"/>
      <c r="W18" s="47"/>
      <c r="X18" s="82" t="s">
        <v>264</v>
      </c>
      <c r="Y18" s="78"/>
      <c r="Z18" s="154" t="s">
        <v>672</v>
      </c>
      <c r="AA18" s="44"/>
    </row>
    <row r="19" spans="1:27" ht="13.5" customHeight="1" x14ac:dyDescent="0.2">
      <c r="A19" s="2359" t="s">
        <v>2217</v>
      </c>
      <c r="B19" s="2360"/>
      <c r="C19" s="2360"/>
      <c r="D19" s="2360"/>
      <c r="E19" s="2360"/>
      <c r="F19" s="2360"/>
      <c r="G19" s="2360"/>
      <c r="H19" s="2358"/>
      <c r="I19" s="30"/>
      <c r="J19" s="96"/>
      <c r="K19" s="40"/>
      <c r="L19" s="38"/>
      <c r="M19" s="109" t="s">
        <v>312</v>
      </c>
      <c r="P19" s="27"/>
      <c r="Q19" s="27"/>
      <c r="R19" s="27"/>
      <c r="S19" s="31"/>
      <c r="T19" s="2359" t="s">
        <v>2050</v>
      </c>
      <c r="U19" s="2357"/>
      <c r="V19" s="2357"/>
      <c r="W19" s="2358"/>
      <c r="X19" s="2374" t="s">
        <v>2051</v>
      </c>
      <c r="Y19" s="2375"/>
      <c r="Z19" s="2372">
        <v>61614</v>
      </c>
      <c r="AA19" s="237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356" t="s">
        <v>2218</v>
      </c>
      <c r="B21" s="2357"/>
      <c r="C21" s="2357"/>
      <c r="D21" s="2357"/>
      <c r="E21" s="2357"/>
      <c r="F21" s="2357"/>
      <c r="G21" s="2357"/>
      <c r="H21" s="2358"/>
      <c r="I21" s="2382" t="s">
        <v>673</v>
      </c>
      <c r="J21" s="2345"/>
      <c r="K21" s="2345"/>
      <c r="L21" s="2345"/>
      <c r="M21" s="2345"/>
      <c r="N21" s="2345"/>
      <c r="O21" s="2345"/>
      <c r="P21" s="2345"/>
      <c r="Q21" s="2345"/>
      <c r="R21" s="2345"/>
      <c r="S21" s="2346"/>
      <c r="T21" s="2324" t="s">
        <v>2052</v>
      </c>
      <c r="U21" s="2325"/>
      <c r="V21" s="2325"/>
      <c r="W21" s="2325"/>
      <c r="X21" s="2338" t="s">
        <v>2053</v>
      </c>
      <c r="Y21" s="2339"/>
      <c r="Z21" s="2339"/>
      <c r="AA21" s="2340"/>
    </row>
    <row r="22" spans="1:27" ht="13.5" customHeight="1" x14ac:dyDescent="0.2">
      <c r="A22" s="84" t="s">
        <v>528</v>
      </c>
      <c r="B22" s="56"/>
      <c r="C22" s="56"/>
      <c r="D22" s="56"/>
      <c r="E22" s="56"/>
      <c r="F22" s="56"/>
      <c r="G22" s="56"/>
      <c r="H22" s="57"/>
      <c r="I22" s="2383" t="s">
        <v>1412</v>
      </c>
      <c r="J22" s="2384"/>
      <c r="K22" s="2384"/>
      <c r="L22" s="2384"/>
      <c r="M22" s="2384"/>
      <c r="N22" s="2384"/>
      <c r="O22" s="2384"/>
      <c r="P22" s="2384"/>
      <c r="Q22" s="2384"/>
      <c r="R22" s="2384"/>
      <c r="S22" s="2385"/>
      <c r="T22" s="82" t="s">
        <v>1499</v>
      </c>
      <c r="U22" s="48"/>
      <c r="V22" s="69"/>
      <c r="W22" s="48"/>
      <c r="X22" s="155" t="s">
        <v>1307</v>
      </c>
      <c r="Z22" s="43"/>
      <c r="AA22" s="44"/>
    </row>
    <row r="23" spans="1:27" ht="13.5" customHeight="1" x14ac:dyDescent="0.2">
      <c r="A23" s="2379" t="s">
        <v>2219</v>
      </c>
      <c r="B23" s="2380"/>
      <c r="C23" s="2380"/>
      <c r="D23" s="2380"/>
      <c r="E23" s="2380"/>
      <c r="F23" s="2380"/>
      <c r="G23" s="2380"/>
      <c r="H23" s="2381"/>
      <c r="T23" s="2319" t="s">
        <v>2054</v>
      </c>
      <c r="U23" s="2320"/>
      <c r="V23" s="2320"/>
      <c r="W23" s="2320"/>
      <c r="X23" s="2335">
        <v>44501</v>
      </c>
      <c r="Y23" s="2336"/>
      <c r="Z23" s="2336"/>
      <c r="AA23" s="2337"/>
    </row>
    <row r="24" spans="1:27" ht="14.1" customHeight="1" x14ac:dyDescent="0.2">
      <c r="A24" s="85" t="s">
        <v>672</v>
      </c>
      <c r="B24" s="46"/>
      <c r="C24" s="46"/>
      <c r="D24" s="46"/>
      <c r="E24" s="46"/>
      <c r="F24" s="46"/>
      <c r="G24" s="46"/>
      <c r="H24" s="58"/>
      <c r="J24" s="2421">
        <f>IF(B5="x",IF(AUDITCHECK!D29="AFR form Incomplete.","",IF(AUDITCHECK!D29="Deficit reduction plan is required.","School District must complete a deficit reduction plan in the 2020-2021 Budget",)),"")</f>
        <v>0</v>
      </c>
      <c r="K24" s="2421"/>
      <c r="L24" s="2421"/>
      <c r="M24" s="2421"/>
      <c r="N24" s="2421"/>
      <c r="O24" s="2421"/>
      <c r="P24" s="2421"/>
      <c r="Q24" s="2421"/>
      <c r="R24" s="2421"/>
      <c r="S24" s="2422"/>
      <c r="T24" s="102" t="s">
        <v>528</v>
      </c>
      <c r="U24" s="103"/>
      <c r="V24" s="103"/>
      <c r="W24" s="103"/>
      <c r="X24" s="104"/>
      <c r="Y24" s="104"/>
      <c r="Z24" s="104"/>
      <c r="AA24" s="105"/>
    </row>
    <row r="25" spans="1:27" ht="14.1" customHeight="1" x14ac:dyDescent="0.2">
      <c r="A25" s="2356">
        <v>61616</v>
      </c>
      <c r="B25" s="2357"/>
      <c r="C25" s="2357"/>
      <c r="D25" s="2357"/>
      <c r="E25" s="2357"/>
      <c r="F25" s="2357"/>
      <c r="G25" s="2357"/>
      <c r="H25" s="2358"/>
      <c r="I25" s="110"/>
      <c r="J25" s="2423"/>
      <c r="K25" s="2423"/>
      <c r="L25" s="2423"/>
      <c r="M25" s="2423"/>
      <c r="N25" s="2423"/>
      <c r="O25" s="2423"/>
      <c r="P25" s="2423"/>
      <c r="Q25" s="2423"/>
      <c r="R25" s="2423"/>
      <c r="S25" s="2424"/>
      <c r="T25" s="2316" t="s">
        <v>2221</v>
      </c>
      <c r="U25" s="2317"/>
      <c r="V25" s="2317"/>
      <c r="W25" s="2317"/>
      <c r="X25" s="2317"/>
      <c r="Y25" s="2317"/>
      <c r="Z25" s="2317"/>
      <c r="AA25" s="231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414" t="s">
        <v>1494</v>
      </c>
      <c r="J27" s="2387"/>
      <c r="K27" s="2387"/>
      <c r="L27" s="2387"/>
      <c r="M27" s="2387"/>
      <c r="N27" s="2387"/>
      <c r="O27" s="2387"/>
      <c r="P27" s="2387"/>
      <c r="Q27" s="2387"/>
      <c r="R27" s="2387"/>
      <c r="S27" s="238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2047</v>
      </c>
      <c r="F29" s="137" t="s">
        <v>1305</v>
      </c>
      <c r="G29" s="111"/>
      <c r="I29" s="51"/>
      <c r="J29" s="144" t="s">
        <v>2047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2047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2047</v>
      </c>
      <c r="K31" s="40" t="s">
        <v>879</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360"/>
      <c r="Q35" s="2357"/>
      <c r="R35" s="235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319" t="s">
        <v>2222</v>
      </c>
      <c r="B38" s="2389"/>
      <c r="C38" s="2389"/>
      <c r="D38" s="2389"/>
      <c r="E38" s="2389"/>
      <c r="F38" s="2357"/>
      <c r="G38" s="2357"/>
      <c r="H38" s="2358"/>
      <c r="I38" s="2408"/>
      <c r="J38" s="2328"/>
      <c r="K38" s="2328"/>
      <c r="L38" s="2328"/>
      <c r="M38" s="2328"/>
      <c r="N38" s="2328"/>
      <c r="O38" s="2328"/>
      <c r="P38" s="2329"/>
      <c r="Q38" s="2329"/>
      <c r="R38" s="2329"/>
      <c r="S38" s="2330"/>
      <c r="T38" s="2327"/>
      <c r="U38" s="2328"/>
      <c r="V38" s="2328"/>
      <c r="W38" s="2328"/>
      <c r="X38" s="2329"/>
      <c r="Y38" s="2329"/>
      <c r="Z38" s="2329"/>
      <c r="AA38" s="2330"/>
    </row>
    <row r="39" spans="1:27" ht="12" customHeight="1" x14ac:dyDescent="0.2">
      <c r="A39" s="2412" t="s">
        <v>528</v>
      </c>
      <c r="B39" s="2413"/>
      <c r="C39" s="69"/>
      <c r="D39" s="66"/>
      <c r="E39" s="66"/>
      <c r="F39" s="76"/>
      <c r="G39" s="66"/>
      <c r="H39" s="53"/>
      <c r="I39" s="2412" t="s">
        <v>528</v>
      </c>
      <c r="J39" s="2413"/>
      <c r="K39" s="2413"/>
      <c r="L39" s="2413"/>
      <c r="M39" s="2413"/>
      <c r="N39" s="64"/>
      <c r="O39" s="69"/>
      <c r="P39" s="69"/>
      <c r="Q39" s="75"/>
      <c r="R39" s="69"/>
      <c r="S39" s="53"/>
      <c r="T39" s="69" t="s">
        <v>528</v>
      </c>
      <c r="U39" s="48"/>
      <c r="V39" s="69"/>
      <c r="W39" s="47"/>
      <c r="X39" s="75"/>
      <c r="Y39" s="43"/>
      <c r="Z39" s="43"/>
      <c r="AA39" s="44"/>
    </row>
    <row r="40" spans="1:27" ht="13.5" customHeight="1" x14ac:dyDescent="0.2">
      <c r="A40" s="2415" t="s">
        <v>2219</v>
      </c>
      <c r="B40" s="2416"/>
      <c r="C40" s="2417"/>
      <c r="D40" s="2417"/>
      <c r="E40" s="2417"/>
      <c r="F40" s="2418"/>
      <c r="G40" s="2418"/>
      <c r="H40" s="2419"/>
      <c r="I40" s="2331"/>
      <c r="J40" s="2333"/>
      <c r="K40" s="2333"/>
      <c r="L40" s="2333"/>
      <c r="M40" s="2333"/>
      <c r="N40" s="2333"/>
      <c r="O40" s="2333"/>
      <c r="P40" s="2333"/>
      <c r="Q40" s="2333"/>
      <c r="R40" s="2333"/>
      <c r="S40" s="2334"/>
      <c r="T40" s="2331"/>
      <c r="U40" s="2332"/>
      <c r="V40" s="2333"/>
      <c r="W40" s="2333"/>
      <c r="X40" s="2333"/>
      <c r="Y40" s="2333"/>
      <c r="Z40" s="2333"/>
      <c r="AA40" s="233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405" t="s">
        <v>2223</v>
      </c>
      <c r="B42" s="2406"/>
      <c r="C42" s="2407"/>
      <c r="D42" s="2420" t="s">
        <v>2224</v>
      </c>
      <c r="E42" s="2406"/>
      <c r="F42" s="2406"/>
      <c r="G42" s="2406"/>
      <c r="H42" s="2407"/>
      <c r="I42" s="2326"/>
      <c r="J42" s="2322"/>
      <c r="K42" s="2322"/>
      <c r="L42" s="2322"/>
      <c r="M42" s="2322"/>
      <c r="N42" s="2322"/>
      <c r="O42" s="2323"/>
      <c r="P42" s="2321"/>
      <c r="Q42" s="2322"/>
      <c r="R42" s="2322"/>
      <c r="S42" s="2323"/>
      <c r="T42" s="2326"/>
      <c r="U42" s="2322"/>
      <c r="V42" s="2322"/>
      <c r="W42" s="2323"/>
      <c r="X42" s="2321"/>
      <c r="Y42" s="2322"/>
      <c r="Z42" s="2322"/>
      <c r="AA42" s="232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409"/>
      <c r="B44" s="2410"/>
      <c r="C44" s="2410"/>
      <c r="D44" s="2410"/>
      <c r="E44" s="2410"/>
      <c r="F44" s="2410"/>
      <c r="G44" s="2410"/>
      <c r="H44" s="2411"/>
      <c r="I44" s="2401"/>
      <c r="J44" s="2403"/>
      <c r="K44" s="2403"/>
      <c r="L44" s="2403"/>
      <c r="M44" s="2403"/>
      <c r="N44" s="2403"/>
      <c r="O44" s="2403"/>
      <c r="P44" s="2403"/>
      <c r="Q44" s="2403"/>
      <c r="R44" s="2403"/>
      <c r="S44" s="2404"/>
      <c r="T44" s="2401"/>
      <c r="U44" s="2402"/>
      <c r="V44" s="2402"/>
      <c r="W44" s="2402"/>
      <c r="X44" s="2402"/>
      <c r="Y44" s="2402"/>
      <c r="Z44" s="2403"/>
      <c r="AA44" s="240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563"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564"/>
      <c r="B3" s="1294"/>
      <c r="C3" s="1295"/>
      <c r="D3" s="1296" t="s">
        <v>254</v>
      </c>
      <c r="E3" s="1295"/>
      <c r="F3" s="1296" t="s">
        <v>255</v>
      </c>
    </row>
    <row r="4" spans="1:8" ht="13.7" customHeight="1" x14ac:dyDescent="0.2">
      <c r="A4" s="579" t="s">
        <v>1145</v>
      </c>
      <c r="B4" s="1721">
        <f>'Revenues 9-14'!C5</f>
        <v>4238796</v>
      </c>
      <c r="C4" s="1722">
        <v>1708503</v>
      </c>
      <c r="D4" s="1723">
        <f>B4-C4</f>
        <v>2530293</v>
      </c>
      <c r="E4" s="1722">
        <v>4352430</v>
      </c>
      <c r="F4" s="1723">
        <f>E4-C4</f>
        <v>2643927</v>
      </c>
    </row>
    <row r="5" spans="1:8" ht="13.7" customHeight="1" x14ac:dyDescent="0.2">
      <c r="A5" s="579" t="s">
        <v>865</v>
      </c>
      <c r="B5" s="1724">
        <f>'Revenues 9-14'!D5</f>
        <v>397387</v>
      </c>
      <c r="C5" s="1664">
        <v>160172</v>
      </c>
      <c r="D5" s="1725">
        <f t="shared" ref="D5:D18" si="0">B5-C5</f>
        <v>237215</v>
      </c>
      <c r="E5" s="1664">
        <v>408040</v>
      </c>
      <c r="F5" s="1725">
        <f>E5-C5</f>
        <v>247868</v>
      </c>
    </row>
    <row r="6" spans="1:8" ht="13.7" customHeight="1" x14ac:dyDescent="0.2">
      <c r="A6" s="579" t="s">
        <v>408</v>
      </c>
      <c r="B6" s="1724">
        <f>'Revenues 9-14'!E5</f>
        <v>867825</v>
      </c>
      <c r="C6" s="1664">
        <v>343396</v>
      </c>
      <c r="D6" s="1725">
        <f t="shared" si="0"/>
        <v>524429</v>
      </c>
      <c r="E6" s="1664">
        <v>874806</v>
      </c>
      <c r="F6" s="1725">
        <f t="shared" ref="F6:F18" si="1">E6-C6</f>
        <v>531410</v>
      </c>
    </row>
    <row r="7" spans="1:8" ht="13.7" customHeight="1" x14ac:dyDescent="0.2">
      <c r="A7" s="579" t="s">
        <v>154</v>
      </c>
      <c r="B7" s="1724">
        <f>'Revenues 9-14'!F5</f>
        <v>211940</v>
      </c>
      <c r="C7" s="1664">
        <v>85425</v>
      </c>
      <c r="D7" s="1725">
        <f t="shared" si="0"/>
        <v>126515</v>
      </c>
      <c r="E7" s="1664">
        <v>217622</v>
      </c>
      <c r="F7" s="1725">
        <f t="shared" si="1"/>
        <v>132197</v>
      </c>
    </row>
    <row r="8" spans="1:8" ht="13.7" customHeight="1" x14ac:dyDescent="0.2">
      <c r="A8" s="579" t="s">
        <v>1169</v>
      </c>
      <c r="B8" s="1724">
        <f>'Revenues 9-14'!G5</f>
        <v>119016</v>
      </c>
      <c r="C8" s="1664">
        <v>47108</v>
      </c>
      <c r="D8" s="1725">
        <f t="shared" si="0"/>
        <v>71908</v>
      </c>
      <c r="E8" s="1664">
        <v>120007</v>
      </c>
      <c r="F8" s="1725">
        <f t="shared" si="1"/>
        <v>72899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19631</v>
      </c>
      <c r="C10" s="1664">
        <v>19631</v>
      </c>
      <c r="D10" s="1725">
        <f t="shared" si="0"/>
        <v>0</v>
      </c>
      <c r="E10" s="1664">
        <v>50009</v>
      </c>
      <c r="F10" s="1725">
        <f t="shared" si="1"/>
        <v>30378</v>
      </c>
    </row>
    <row r="11" spans="1:8" x14ac:dyDescent="0.2">
      <c r="A11" s="579" t="s">
        <v>406</v>
      </c>
      <c r="B11" s="1724">
        <f>'Revenues 9-14'!J5</f>
        <v>52556</v>
      </c>
      <c r="C11" s="1664">
        <v>19631</v>
      </c>
      <c r="D11" s="1725">
        <f t="shared" si="0"/>
        <v>32925</v>
      </c>
      <c r="E11" s="1664">
        <v>50009</v>
      </c>
      <c r="F11" s="1725">
        <f t="shared" si="1"/>
        <v>30378</v>
      </c>
    </row>
    <row r="12" spans="1:8" ht="13.7" customHeight="1" x14ac:dyDescent="0.2">
      <c r="A12" s="579" t="s">
        <v>156</v>
      </c>
      <c r="B12" s="1724">
        <f>'Revenues 9-14'!K5</f>
        <v>51260</v>
      </c>
      <c r="C12" s="1664">
        <v>19631</v>
      </c>
      <c r="D12" s="1725">
        <f t="shared" si="0"/>
        <v>31629</v>
      </c>
      <c r="E12" s="1664">
        <v>50009</v>
      </c>
      <c r="F12" s="1725">
        <f t="shared" si="1"/>
        <v>30378</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42183</v>
      </c>
      <c r="C14" s="1664">
        <v>16880</v>
      </c>
      <c r="D14" s="1725">
        <f t="shared" si="0"/>
        <v>25303</v>
      </c>
      <c r="E14" s="1664">
        <v>43002</v>
      </c>
      <c r="F14" s="1725">
        <f t="shared" si="1"/>
        <v>26122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106028</v>
      </c>
      <c r="C16" s="1664">
        <v>43182</v>
      </c>
      <c r="D16" s="1725">
        <f t="shared" si="0"/>
        <v>62846</v>
      </c>
      <c r="E16" s="1664">
        <v>110008</v>
      </c>
      <c r="F16" s="1725">
        <f t="shared" si="1"/>
        <v>66826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6106622</v>
      </c>
      <c r="C19" s="1726">
        <f>SUM(C4:C18)</f>
        <v>2463559</v>
      </c>
      <c r="D19" s="1726">
        <f>SUM(D4:D18)</f>
        <v>3643063</v>
      </c>
      <c r="E19" s="1726">
        <f>SUM(E4:E18)</f>
        <v>6275942</v>
      </c>
      <c r="F19" s="1726">
        <f>SUM(F4:F18)</f>
        <v>3812383</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569" t="s">
        <v>625</v>
      </c>
      <c r="B1" s="2570"/>
      <c r="C1" s="585"/>
    </row>
    <row r="2" spans="1:7" ht="33.75" x14ac:dyDescent="0.2">
      <c r="A2" s="2578" t="s">
        <v>1775</v>
      </c>
      <c r="B2" s="257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582" t="s">
        <v>1104</v>
      </c>
      <c r="B3" s="2583"/>
      <c r="C3" s="2571"/>
      <c r="D3" s="2572"/>
      <c r="E3" s="2572"/>
      <c r="F3" s="2573"/>
    </row>
    <row r="4" spans="1:7" ht="12.75" customHeight="1" thickBot="1" x14ac:dyDescent="0.25">
      <c r="A4" s="2580" t="s">
        <v>626</v>
      </c>
      <c r="B4" s="2581"/>
      <c r="C4" s="1656"/>
      <c r="D4" s="1656"/>
      <c r="E4" s="1656"/>
      <c r="F4" s="1732">
        <f>SUM(C4+D4)-E4</f>
        <v>0</v>
      </c>
    </row>
    <row r="5" spans="1:7" ht="15.75" customHeight="1" thickTop="1" x14ac:dyDescent="0.2">
      <c r="A5" s="2565" t="s">
        <v>1101</v>
      </c>
      <c r="B5" s="2566"/>
      <c r="C5" s="2574"/>
      <c r="D5" s="2575"/>
      <c r="E5" s="2575"/>
      <c r="F5" s="257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567" t="s">
        <v>627</v>
      </c>
      <c r="B15" s="2568"/>
      <c r="C15" s="1732">
        <f>SUM(C6:C14)</f>
        <v>0</v>
      </c>
      <c r="D15" s="1732">
        <f>SUM(D6:D14)</f>
        <v>0</v>
      </c>
      <c r="E15" s="1732">
        <f>SUM(E6:E14)</f>
        <v>0</v>
      </c>
      <c r="F15" s="1732">
        <f>SUM(F6:F14)</f>
        <v>0</v>
      </c>
      <c r="G15" s="473"/>
    </row>
    <row r="16" spans="1:7" s="197" customFormat="1" ht="15.75" customHeight="1" thickTop="1" x14ac:dyDescent="0.2">
      <c r="A16" s="2577" t="s">
        <v>1102</v>
      </c>
      <c r="B16" s="2566"/>
      <c r="C16" s="2574"/>
      <c r="D16" s="2575"/>
      <c r="E16" s="2575"/>
      <c r="F16" s="2576"/>
    </row>
    <row r="17" spans="1:11" ht="12.75" customHeight="1" thickBot="1" x14ac:dyDescent="0.25">
      <c r="A17" s="2590" t="s">
        <v>64</v>
      </c>
      <c r="B17" s="2591"/>
      <c r="C17" s="1733"/>
      <c r="D17" s="1664"/>
      <c r="E17" s="1733"/>
      <c r="F17" s="1732">
        <f>SUM(C17+D17)-E17</f>
        <v>0</v>
      </c>
    </row>
    <row r="18" spans="1:11" ht="12.75" customHeight="1" thickTop="1" thickBot="1" x14ac:dyDescent="0.25">
      <c r="A18" s="2590" t="s">
        <v>6</v>
      </c>
      <c r="B18" s="2591"/>
      <c r="C18" s="1733"/>
      <c r="D18" s="1664"/>
      <c r="E18" s="1733"/>
      <c r="F18" s="1732">
        <f>SUM(C18+D18)-E18</f>
        <v>0</v>
      </c>
    </row>
    <row r="19" spans="1:11" ht="12.75" customHeight="1" thickTop="1" thickBot="1" x14ac:dyDescent="0.25">
      <c r="A19" s="2590" t="s">
        <v>385</v>
      </c>
      <c r="B19" s="2591"/>
      <c r="C19" s="1733"/>
      <c r="D19" s="1664"/>
      <c r="E19" s="1733"/>
      <c r="F19" s="1732">
        <f>SUM(C19+D19)-E19</f>
        <v>0</v>
      </c>
    </row>
    <row r="20" spans="1:11" ht="12.75" customHeight="1" thickTop="1" thickBot="1" x14ac:dyDescent="0.25">
      <c r="A20" s="2590" t="s">
        <v>445</v>
      </c>
      <c r="B20" s="2591"/>
      <c r="C20" s="1733"/>
      <c r="D20" s="1664"/>
      <c r="E20" s="1733"/>
      <c r="F20" s="1732">
        <f>SUM(C20+D20)-E20</f>
        <v>0</v>
      </c>
    </row>
    <row r="21" spans="1:11" ht="14.25" thickTop="1" thickBot="1" x14ac:dyDescent="0.25">
      <c r="A21" s="2567" t="s">
        <v>628</v>
      </c>
      <c r="B21" s="2568"/>
      <c r="C21" s="1732">
        <f>SUM(C17:C20)</f>
        <v>0</v>
      </c>
      <c r="D21" s="1732">
        <f>SUM(D17:D20)</f>
        <v>0</v>
      </c>
      <c r="E21" s="1732">
        <f>SUM(E17:E20)</f>
        <v>0</v>
      </c>
      <c r="F21" s="1732">
        <f>SUM(F17:F20)</f>
        <v>0</v>
      </c>
      <c r="G21" s="473"/>
    </row>
    <row r="22" spans="1:11" ht="15.75" customHeight="1" thickTop="1" x14ac:dyDescent="0.2">
      <c r="A22" s="2592" t="s">
        <v>1103</v>
      </c>
      <c r="B22" s="2566"/>
      <c r="C22" s="2574"/>
      <c r="D22" s="2575"/>
      <c r="E22" s="2575"/>
      <c r="F22" s="2576"/>
    </row>
    <row r="23" spans="1:11" ht="13.5" thickBot="1" x14ac:dyDescent="0.25">
      <c r="A23" s="2580" t="s">
        <v>629</v>
      </c>
      <c r="B23" s="2581"/>
      <c r="C23" s="1656"/>
      <c r="D23" s="1656"/>
      <c r="E23" s="1656"/>
      <c r="F23" s="1732">
        <f>SUM(C23+D23)-E23</f>
        <v>0</v>
      </c>
      <c r="G23" s="473"/>
    </row>
    <row r="24" spans="1:11" ht="15.75" customHeight="1" thickTop="1" x14ac:dyDescent="0.2">
      <c r="A24" s="2592" t="s">
        <v>2002</v>
      </c>
      <c r="B24" s="2566"/>
      <c r="C24" s="2574"/>
      <c r="D24" s="2575"/>
      <c r="E24" s="2575"/>
      <c r="F24" s="2576"/>
    </row>
    <row r="25" spans="1:11" ht="13.5" thickBot="1" x14ac:dyDescent="0.25">
      <c r="A25" s="2580" t="s">
        <v>2003</v>
      </c>
      <c r="B25" s="2581"/>
      <c r="C25" s="1656"/>
      <c r="D25" s="1656"/>
      <c r="E25" s="1656"/>
      <c r="F25" s="1732">
        <f>SUM(C25+D25)-E25</f>
        <v>0</v>
      </c>
      <c r="G25" s="473"/>
    </row>
    <row r="26" spans="1:11" ht="15.75" customHeight="1" thickTop="1" x14ac:dyDescent="0.2">
      <c r="A26" s="2565" t="s">
        <v>652</v>
      </c>
      <c r="B26" s="2566"/>
      <c r="C26" s="589"/>
      <c r="D26" s="589"/>
      <c r="E26" s="589"/>
      <c r="F26" s="590"/>
    </row>
    <row r="27" spans="1:11" ht="13.5" thickBot="1" x14ac:dyDescent="0.25">
      <c r="A27" s="2567" t="s">
        <v>1061</v>
      </c>
      <c r="B27" s="2568"/>
      <c r="C27" s="1664"/>
      <c r="D27" s="1664"/>
      <c r="E27" s="1664"/>
      <c r="F27" s="1732">
        <f>SUM(C27+D27)-E27</f>
        <v>0</v>
      </c>
      <c r="G27" s="473"/>
    </row>
    <row r="28" spans="1:11" ht="7.5" customHeight="1" thickTop="1" x14ac:dyDescent="0.2">
      <c r="A28" s="489"/>
    </row>
    <row r="29" spans="1:11" ht="23.25" customHeight="1" x14ac:dyDescent="0.2">
      <c r="A29" s="2593" t="s">
        <v>578</v>
      </c>
      <c r="B29" s="2570"/>
      <c r="C29" s="591"/>
      <c r="D29" s="591"/>
      <c r="E29" s="591"/>
      <c r="F29" s="591"/>
      <c r="G29" s="591"/>
      <c r="H29" s="591"/>
      <c r="I29" s="591"/>
      <c r="J29" s="591"/>
    </row>
    <row r="30" spans="1:11" ht="33.75" x14ac:dyDescent="0.2">
      <c r="A30" s="1297" t="s">
        <v>1062</v>
      </c>
      <c r="B30" s="592" t="s">
        <v>1114</v>
      </c>
      <c r="C30" s="592" t="s">
        <v>579</v>
      </c>
      <c r="D30" s="592" t="s">
        <v>1653</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2267</v>
      </c>
      <c r="B31" s="595">
        <v>41518</v>
      </c>
      <c r="C31" s="1734">
        <v>3960000</v>
      </c>
      <c r="D31" s="1735">
        <v>1</v>
      </c>
      <c r="E31" s="1734">
        <v>1795000</v>
      </c>
      <c r="F31" s="1734"/>
      <c r="G31" s="1734"/>
      <c r="H31" s="1734">
        <v>675000</v>
      </c>
      <c r="I31" s="1736">
        <f>((E31+F31)-H31)+G31</f>
        <v>1120000</v>
      </c>
      <c r="J31" s="1734">
        <f>1120000-315754</f>
        <v>804246</v>
      </c>
      <c r="K31" s="596"/>
    </row>
    <row r="32" spans="1:11" ht="12" customHeight="1" x14ac:dyDescent="0.2">
      <c r="A32" s="594" t="s">
        <v>2266</v>
      </c>
      <c r="B32" s="595">
        <v>41518</v>
      </c>
      <c r="C32" s="1734">
        <v>3045000</v>
      </c>
      <c r="D32" s="1735">
        <v>3</v>
      </c>
      <c r="E32" s="1734">
        <v>3045000</v>
      </c>
      <c r="F32" s="1734"/>
      <c r="G32" s="1734"/>
      <c r="H32" s="1734"/>
      <c r="I32" s="1736">
        <f>((E32+F32)-H32)+G32</f>
        <v>3045000</v>
      </c>
      <c r="J32" s="1734">
        <f>3045000-44890</f>
        <v>3000110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7005000</v>
      </c>
      <c r="D49" s="1742"/>
      <c r="E49" s="1736">
        <f t="shared" ref="E49:J49" si="2">SUM(E31:E48)</f>
        <v>4840000</v>
      </c>
      <c r="F49" s="1736">
        <f t="shared" si="2"/>
        <v>0</v>
      </c>
      <c r="G49" s="1736">
        <f t="shared" si="2"/>
        <v>0</v>
      </c>
      <c r="H49" s="1736">
        <f t="shared" si="2"/>
        <v>675000</v>
      </c>
      <c r="I49" s="1736">
        <f t="shared" si="2"/>
        <v>4165000</v>
      </c>
      <c r="J49" s="1736">
        <f t="shared" si="2"/>
        <v>3804356</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584" t="s">
        <v>580</v>
      </c>
      <c r="C52" s="2585"/>
      <c r="D52" s="2585"/>
      <c r="E52" s="603" t="s">
        <v>840</v>
      </c>
      <c r="F52" s="2586"/>
      <c r="G52" s="2587"/>
      <c r="H52" s="596"/>
      <c r="I52" s="596"/>
      <c r="J52" s="600"/>
    </row>
    <row r="53" spans="1:11" ht="11.25" customHeight="1" x14ac:dyDescent="0.2">
      <c r="A53" s="604" t="s">
        <v>907</v>
      </c>
      <c r="B53" s="605" t="s">
        <v>945</v>
      </c>
      <c r="C53" s="600"/>
      <c r="D53" s="597"/>
      <c r="E53" s="603" t="s">
        <v>494</v>
      </c>
      <c r="F53" s="2588"/>
      <c r="G53" s="2589"/>
      <c r="H53" s="596"/>
      <c r="I53" s="596"/>
      <c r="J53" s="600"/>
    </row>
    <row r="54" spans="1:11" ht="11.25" customHeight="1" x14ac:dyDescent="0.2">
      <c r="A54" s="606" t="s">
        <v>908</v>
      </c>
      <c r="B54" s="601" t="s">
        <v>946</v>
      </c>
      <c r="C54" s="600"/>
      <c r="D54" s="597"/>
      <c r="E54" s="603" t="s">
        <v>495</v>
      </c>
      <c r="F54" s="2588"/>
      <c r="G54" s="258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620" t="s">
        <v>851</v>
      </c>
      <c r="B1" s="2621"/>
      <c r="C1" s="2621"/>
      <c r="D1" s="2621"/>
      <c r="E1" s="2621"/>
      <c r="F1" s="2621"/>
      <c r="G1" s="2622"/>
      <c r="H1" s="1298"/>
      <c r="I1" s="614"/>
      <c r="J1" s="400"/>
    </row>
    <row r="2" spans="1:11" ht="26.25" x14ac:dyDescent="0.2">
      <c r="A2" s="2597" t="s">
        <v>1657</v>
      </c>
      <c r="B2" s="2598"/>
      <c r="C2" s="2598"/>
      <c r="D2" s="2598"/>
      <c r="E2" s="2599"/>
      <c r="F2" s="615" t="s">
        <v>898</v>
      </c>
      <c r="G2" s="616" t="s">
        <v>1654</v>
      </c>
      <c r="H2" s="616" t="s">
        <v>407</v>
      </c>
      <c r="I2" s="616" t="s">
        <v>1148</v>
      </c>
      <c r="J2" s="616" t="s">
        <v>1785</v>
      </c>
      <c r="K2" s="616" t="s">
        <v>137</v>
      </c>
    </row>
    <row r="3" spans="1:11" x14ac:dyDescent="0.2">
      <c r="A3" s="2600" t="str">
        <f>"Cash Basis Fund Balance as of July 1, "&amp;'AFR20'!E2-1</f>
        <v>Cash Basis Fund Balance as of July 1, 2019</v>
      </c>
      <c r="B3" s="2601"/>
      <c r="C3" s="2601"/>
      <c r="D3" s="2601"/>
      <c r="E3" s="2602"/>
      <c r="F3" s="617"/>
      <c r="G3" s="1744"/>
      <c r="H3" s="1744"/>
      <c r="I3" s="1744"/>
      <c r="J3" s="1745">
        <v>100706</v>
      </c>
      <c r="K3" s="1745"/>
    </row>
    <row r="4" spans="1:11" x14ac:dyDescent="0.2">
      <c r="A4" s="2603" t="s">
        <v>366</v>
      </c>
      <c r="B4" s="2604"/>
      <c r="C4" s="2604"/>
      <c r="D4" s="2604"/>
      <c r="E4" s="2585"/>
      <c r="F4" s="620"/>
      <c r="G4" s="1746"/>
      <c r="H4" s="1747"/>
      <c r="I4" s="1746"/>
      <c r="J4" s="1748"/>
      <c r="K4" s="1748"/>
    </row>
    <row r="5" spans="1:11" x14ac:dyDescent="0.2">
      <c r="A5" s="2623" t="s">
        <v>1060</v>
      </c>
      <c r="B5" s="2594"/>
      <c r="C5" s="2594"/>
      <c r="D5" s="2594"/>
      <c r="E5" s="2624"/>
      <c r="F5" s="622" t="s">
        <v>843</v>
      </c>
      <c r="G5" s="1749"/>
      <c r="H5" s="1744">
        <v>42183</v>
      </c>
      <c r="I5" s="1750"/>
      <c r="J5" s="1751"/>
      <c r="K5" s="1751"/>
    </row>
    <row r="6" spans="1:11" x14ac:dyDescent="0.2">
      <c r="A6" s="625" t="s">
        <v>715</v>
      </c>
      <c r="B6" s="626"/>
      <c r="C6" s="626"/>
      <c r="D6" s="626"/>
      <c r="E6" s="627"/>
      <c r="F6" s="628" t="s">
        <v>844</v>
      </c>
      <c r="G6" s="1744"/>
      <c r="H6" s="1744">
        <v>58</v>
      </c>
      <c r="I6" s="1744"/>
      <c r="J6" s="1745">
        <v>1575</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232403</v>
      </c>
      <c r="K8" s="1748"/>
    </row>
    <row r="9" spans="1:11" x14ac:dyDescent="0.2">
      <c r="A9" s="629" t="s">
        <v>137</v>
      </c>
      <c r="B9" s="630"/>
      <c r="C9" s="630"/>
      <c r="D9" s="630"/>
      <c r="E9" s="631"/>
      <c r="F9" s="628" t="s">
        <v>848</v>
      </c>
      <c r="G9" s="1753"/>
      <c r="H9" s="1749"/>
      <c r="I9" s="1749"/>
      <c r="J9" s="1752"/>
      <c r="K9" s="1745">
        <v>6931</v>
      </c>
    </row>
    <row r="10" spans="1:11" x14ac:dyDescent="0.2">
      <c r="A10" s="2623" t="s">
        <v>1786</v>
      </c>
      <c r="B10" s="2594"/>
      <c r="C10" s="2594"/>
      <c r="D10" s="2594"/>
      <c r="E10" s="2625"/>
      <c r="F10" s="633" t="s">
        <v>857</v>
      </c>
      <c r="G10" s="1753"/>
      <c r="H10" s="1754"/>
      <c r="I10" s="1744"/>
      <c r="J10" s="1745"/>
      <c r="K10" s="1745"/>
    </row>
    <row r="11" spans="1:11" x14ac:dyDescent="0.2">
      <c r="A11" s="2623" t="s">
        <v>159</v>
      </c>
      <c r="B11" s="2594"/>
      <c r="C11" s="2594"/>
      <c r="D11" s="2594"/>
      <c r="E11" s="2624"/>
      <c r="F11" s="622" t="s">
        <v>847</v>
      </c>
      <c r="G11" s="1749"/>
      <c r="H11" s="1744"/>
      <c r="I11" s="1744"/>
      <c r="J11" s="1745"/>
      <c r="K11" s="1751"/>
    </row>
    <row r="12" spans="1:11" ht="13.5" thickBot="1" x14ac:dyDescent="0.25">
      <c r="A12" s="2611" t="s">
        <v>899</v>
      </c>
      <c r="B12" s="2612"/>
      <c r="C12" s="2612"/>
      <c r="D12" s="2612"/>
      <c r="E12" s="2613"/>
      <c r="F12" s="1433"/>
      <c r="G12" s="1755">
        <f>SUM(G5:G11)</f>
        <v>0</v>
      </c>
      <c r="H12" s="1755">
        <f>SUM(H5:H11)</f>
        <v>42241</v>
      </c>
      <c r="I12" s="1755">
        <f>SUM(I5:I11)</f>
        <v>0</v>
      </c>
      <c r="J12" s="1755">
        <f>SUM(J5:J11)</f>
        <v>233978</v>
      </c>
      <c r="K12" s="1755">
        <f>SUM(K5:K11)</f>
        <v>6931</v>
      </c>
    </row>
    <row r="13" spans="1:11" ht="13.5" thickTop="1" x14ac:dyDescent="0.2">
      <c r="A13" s="2605" t="s">
        <v>367</v>
      </c>
      <c r="B13" s="2606"/>
      <c r="C13" s="2606"/>
      <c r="D13" s="2606"/>
      <c r="E13" s="2607"/>
      <c r="F13" s="634"/>
      <c r="G13" s="1756"/>
      <c r="H13" s="1757"/>
      <c r="I13" s="1758"/>
      <c r="J13" s="1758"/>
      <c r="K13" s="1758"/>
    </row>
    <row r="14" spans="1:11" x14ac:dyDescent="0.2">
      <c r="A14" s="2629" t="s">
        <v>453</v>
      </c>
      <c r="B14" s="2629"/>
      <c r="C14" s="2629"/>
      <c r="D14" s="2629"/>
      <c r="E14" s="2630"/>
      <c r="F14" s="635" t="s">
        <v>849</v>
      </c>
      <c r="G14" s="1753"/>
      <c r="H14" s="1744">
        <v>42241</v>
      </c>
      <c r="I14" s="1749"/>
      <c r="J14" s="1751"/>
      <c r="K14" s="1745">
        <v>6391</v>
      </c>
    </row>
    <row r="15" spans="1:11" x14ac:dyDescent="0.2">
      <c r="A15" s="2594" t="s">
        <v>4</v>
      </c>
      <c r="B15" s="2594"/>
      <c r="C15" s="2594"/>
      <c r="D15" s="2594"/>
      <c r="E15" s="2624"/>
      <c r="F15" s="635" t="s">
        <v>850</v>
      </c>
      <c r="G15" s="1749"/>
      <c r="H15" s="1744"/>
      <c r="I15" s="1744"/>
      <c r="J15" s="1745">
        <v>150712</v>
      </c>
      <c r="K15" s="1745"/>
    </row>
    <row r="16" spans="1:11" x14ac:dyDescent="0.2">
      <c r="A16" s="2594" t="s">
        <v>295</v>
      </c>
      <c r="B16" s="2594"/>
      <c r="C16" s="2594"/>
      <c r="D16" s="2594"/>
      <c r="E16" s="2624"/>
      <c r="F16" s="635" t="s">
        <v>917</v>
      </c>
      <c r="G16" s="1750"/>
      <c r="H16" s="1746"/>
      <c r="I16" s="1746"/>
      <c r="J16" s="1748"/>
      <c r="K16" s="1748"/>
    </row>
    <row r="17" spans="1:15" x14ac:dyDescent="0.2">
      <c r="A17" s="2618" t="s">
        <v>929</v>
      </c>
      <c r="B17" s="2618"/>
      <c r="C17" s="2618"/>
      <c r="D17" s="2618"/>
      <c r="E17" s="2619"/>
      <c r="F17" s="636"/>
      <c r="G17" s="1759"/>
      <c r="H17" s="1760"/>
      <c r="I17" s="1760"/>
      <c r="J17" s="1761"/>
      <c r="K17" s="1762"/>
    </row>
    <row r="18" spans="1:15" x14ac:dyDescent="0.2">
      <c r="A18" s="2608" t="s">
        <v>365</v>
      </c>
      <c r="B18" s="2609"/>
      <c r="C18" s="2609"/>
      <c r="D18" s="2609"/>
      <c r="E18" s="2610"/>
      <c r="F18" s="635" t="s">
        <v>926</v>
      </c>
      <c r="G18" s="1753"/>
      <c r="H18" s="1753"/>
      <c r="I18" s="1753"/>
      <c r="J18" s="1745"/>
      <c r="K18" s="1763"/>
    </row>
    <row r="19" spans="1:15" ht="21.75" customHeight="1" x14ac:dyDescent="0.2">
      <c r="A19" s="2631" t="s">
        <v>1782</v>
      </c>
      <c r="B19" s="2631"/>
      <c r="C19" s="2631"/>
      <c r="D19" s="2631"/>
      <c r="E19" s="2632"/>
      <c r="F19" s="635" t="s">
        <v>927</v>
      </c>
      <c r="G19" s="1753"/>
      <c r="H19" s="1753"/>
      <c r="I19" s="1753"/>
      <c r="J19" s="1745"/>
      <c r="K19" s="1763"/>
    </row>
    <row r="20" spans="1:15" x14ac:dyDescent="0.2">
      <c r="A20" s="2608" t="s">
        <v>1787</v>
      </c>
      <c r="B20" s="2609"/>
      <c r="C20" s="2609"/>
      <c r="D20" s="2609"/>
      <c r="E20" s="2610"/>
      <c r="F20" s="635" t="s">
        <v>928</v>
      </c>
      <c r="G20" s="1753"/>
      <c r="H20" s="1753"/>
      <c r="I20" s="1753"/>
      <c r="J20" s="1745"/>
      <c r="K20" s="1763"/>
    </row>
    <row r="21" spans="1:15" ht="13.5" thickBot="1" x14ac:dyDescent="0.25">
      <c r="A21" s="2614" t="s">
        <v>633</v>
      </c>
      <c r="B21" s="2614"/>
      <c r="C21" s="2614"/>
      <c r="D21" s="2614"/>
      <c r="E21" s="2614"/>
      <c r="F21" s="1434"/>
      <c r="G21" s="1760"/>
      <c r="H21" s="1764"/>
      <c r="I21" s="1764"/>
      <c r="J21" s="1765">
        <f>SUM(J18:J20)</f>
        <v>0</v>
      </c>
      <c r="K21" s="1761"/>
    </row>
    <row r="22" spans="1:15" ht="13.5" thickTop="1" x14ac:dyDescent="0.2">
      <c r="A22" s="2594" t="s">
        <v>1788</v>
      </c>
      <c r="B22" s="2594"/>
      <c r="C22" s="2594"/>
      <c r="D22" s="2594"/>
      <c r="E22" s="2624"/>
      <c r="F22" s="635" t="s">
        <v>857</v>
      </c>
      <c r="G22" s="1753"/>
      <c r="H22" s="1744"/>
      <c r="I22" s="1744"/>
      <c r="J22" s="1766"/>
      <c r="K22" s="1745"/>
    </row>
    <row r="23" spans="1:15" ht="13.5" thickBot="1" x14ac:dyDescent="0.25">
      <c r="A23" s="2615" t="s">
        <v>900</v>
      </c>
      <c r="B23" s="2614"/>
      <c r="C23" s="2614"/>
      <c r="D23" s="2614"/>
      <c r="E23" s="2614"/>
      <c r="F23" s="1436"/>
      <c r="G23" s="1755">
        <f>SUM(G14:G16,G21,G22)</f>
        <v>0</v>
      </c>
      <c r="H23" s="1755">
        <f>SUM(H14:H16,H21,H22)</f>
        <v>42241</v>
      </c>
      <c r="I23" s="1755">
        <f>SUM(I14:I16,I21,I22)</f>
        <v>0</v>
      </c>
      <c r="J23" s="1755">
        <f>SUM(J14:J16,J21,J22)</f>
        <v>150712</v>
      </c>
      <c r="K23" s="1755">
        <f>SUM(K14:K16,K21,K22)</f>
        <v>6391</v>
      </c>
      <c r="M23" s="1846"/>
      <c r="N23" s="1846"/>
      <c r="O23" s="1846"/>
    </row>
    <row r="24" spans="1:15" ht="14.25" thickTop="1" thickBot="1" x14ac:dyDescent="0.25">
      <c r="A24" s="2616" t="str">
        <f>"Ending Cash Basis Fund Balance as of June 30, "&amp;'AFR20'!E2</f>
        <v>Ending Cash Basis Fund Balance as of June 30, 2020</v>
      </c>
      <c r="B24" s="2617"/>
      <c r="C24" s="2617"/>
      <c r="D24" s="2617"/>
      <c r="E24" s="2617"/>
      <c r="F24" s="1437"/>
      <c r="G24" s="1767">
        <f>SUM(G3,G12)-G23</f>
        <v>0</v>
      </c>
      <c r="H24" s="1767">
        <f>SUM(H3,H12)-H23</f>
        <v>0</v>
      </c>
      <c r="I24" s="1767">
        <f>SUM(I3,I12)-I23</f>
        <v>0</v>
      </c>
      <c r="J24" s="1767">
        <f>SUM(J3,J12)-J23</f>
        <v>183972</v>
      </c>
      <c r="K24" s="1767">
        <f>SUM(K3,K12)-K23</f>
        <v>540</v>
      </c>
      <c r="L24" s="1846"/>
      <c r="M24" s="1846"/>
      <c r="N24" s="1846"/>
      <c r="O24" s="1846"/>
    </row>
    <row r="25" spans="1:15" ht="13.5" thickTop="1" x14ac:dyDescent="0.2">
      <c r="A25" s="639" t="s">
        <v>417</v>
      </c>
      <c r="B25" s="640"/>
      <c r="C25" s="640"/>
      <c r="D25" s="640"/>
      <c r="E25" s="641"/>
      <c r="F25" s="642">
        <v>714</v>
      </c>
      <c r="G25" s="1768"/>
      <c r="H25" s="1768"/>
      <c r="I25" s="1768"/>
      <c r="J25" s="1766">
        <v>183972</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540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c r="H31" s="2626"/>
      <c r="I31" s="2627"/>
      <c r="J31" s="2627"/>
      <c r="K31" s="2627"/>
    </row>
    <row r="32" spans="1:15" x14ac:dyDescent="0.2">
      <c r="A32" s="649"/>
      <c r="B32" s="232"/>
      <c r="C32" s="232"/>
      <c r="D32" s="232"/>
      <c r="E32" s="645"/>
      <c r="F32" s="651" t="s">
        <v>537</v>
      </c>
      <c r="G32" s="618"/>
      <c r="H32" s="2628"/>
      <c r="I32" s="2627"/>
      <c r="J32" s="2627"/>
      <c r="K32" s="2627"/>
    </row>
    <row r="33" spans="1:11" ht="1.5" customHeight="1" x14ac:dyDescent="0.2">
      <c r="A33" s="652" t="s">
        <v>1159</v>
      </c>
      <c r="B33" s="341"/>
      <c r="C33" s="341"/>
      <c r="D33" s="341"/>
      <c r="E33" s="341"/>
      <c r="F33" s="341"/>
      <c r="G33" s="653"/>
      <c r="H33" s="2628"/>
      <c r="I33" s="2627"/>
      <c r="J33" s="2627"/>
      <c r="K33" s="2627"/>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594" t="s">
        <v>538</v>
      </c>
      <c r="B41" s="2595"/>
      <c r="C41" s="2595"/>
      <c r="D41" s="2595"/>
      <c r="E41" s="2595"/>
      <c r="F41" s="259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635" t="s">
        <v>1871</v>
      </c>
      <c r="B1" s="2636"/>
      <c r="C1" s="2637"/>
      <c r="D1" s="666"/>
      <c r="E1" s="667"/>
      <c r="F1" s="667"/>
      <c r="G1" s="668"/>
      <c r="H1" s="669"/>
      <c r="I1" s="670"/>
      <c r="J1" s="2633"/>
      <c r="K1" s="2634"/>
      <c r="L1" s="2634"/>
    </row>
    <row r="2" spans="1:14" ht="69.75" customHeight="1" x14ac:dyDescent="0.2">
      <c r="A2" s="671" t="s">
        <v>1658</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216942</v>
      </c>
      <c r="D5" s="1770"/>
      <c r="E5" s="1770"/>
      <c r="F5" s="1765">
        <f>(C5+D5)-E5</f>
        <v>216942</v>
      </c>
      <c r="G5" s="676"/>
      <c r="H5" s="680"/>
      <c r="I5" s="680"/>
      <c r="J5" s="680"/>
      <c r="K5" s="637"/>
      <c r="L5" s="1442">
        <f>F5-K5</f>
        <v>216942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13728529</v>
      </c>
      <c r="D8" s="1771">
        <v>66894</v>
      </c>
      <c r="E8" s="1771"/>
      <c r="F8" s="1765">
        <f>(C8+D8)-E8</f>
        <v>13795423</v>
      </c>
      <c r="G8" s="681">
        <v>50</v>
      </c>
      <c r="H8" s="619">
        <v>5587544</v>
      </c>
      <c r="I8" s="619">
        <v>274715</v>
      </c>
      <c r="J8" s="619"/>
      <c r="K8" s="1442">
        <f>(H8+I8)-J8</f>
        <v>5862259</v>
      </c>
      <c r="L8" s="1442">
        <f>F8-K8</f>
        <v>7933164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1150675</v>
      </c>
      <c r="D10" s="1772">
        <v>85752</v>
      </c>
      <c r="E10" s="1772"/>
      <c r="F10" s="1773">
        <f>(C10+D10)-E10</f>
        <v>1236427</v>
      </c>
      <c r="G10" s="681">
        <v>20</v>
      </c>
      <c r="H10" s="683">
        <v>370796</v>
      </c>
      <c r="I10" s="683">
        <v>55919</v>
      </c>
      <c r="J10" s="683"/>
      <c r="K10" s="1442">
        <f>(H10+I10)-J10</f>
        <v>426715</v>
      </c>
      <c r="L10" s="1442">
        <f>F10-K10</f>
        <v>809712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658916</v>
      </c>
      <c r="D12" s="1771">
        <v>88482</v>
      </c>
      <c r="E12" s="1771">
        <v>24855</v>
      </c>
      <c r="F12" s="1765">
        <f>(C12+D12)-E12</f>
        <v>722543</v>
      </c>
      <c r="G12" s="681">
        <v>10</v>
      </c>
      <c r="H12" s="619">
        <v>331384</v>
      </c>
      <c r="I12" s="619">
        <v>72251</v>
      </c>
      <c r="J12" s="619">
        <v>24855</v>
      </c>
      <c r="K12" s="1442">
        <f>(H12+I12)-J12</f>
        <v>378780</v>
      </c>
      <c r="L12" s="1442">
        <f>F12-K12</f>
        <v>343763</v>
      </c>
    </row>
    <row r="13" spans="1:14" ht="14.25" thickTop="1" thickBot="1" x14ac:dyDescent="0.25">
      <c r="A13" s="684" t="s">
        <v>1112</v>
      </c>
      <c r="B13" s="679">
        <v>252</v>
      </c>
      <c r="C13" s="1771">
        <v>923211</v>
      </c>
      <c r="D13" s="1771">
        <v>50904</v>
      </c>
      <c r="E13" s="1771">
        <v>16707</v>
      </c>
      <c r="F13" s="1765">
        <f>(C13+D13)-E13</f>
        <v>957408</v>
      </c>
      <c r="G13" s="681">
        <v>5</v>
      </c>
      <c r="H13" s="619">
        <v>804927</v>
      </c>
      <c r="I13" s="619">
        <v>57577</v>
      </c>
      <c r="J13" s="619">
        <v>68669</v>
      </c>
      <c r="K13" s="1442">
        <f>(H13+I13)-J13</f>
        <v>793835</v>
      </c>
      <c r="L13" s="1442">
        <f>F13-K13</f>
        <v>163573</v>
      </c>
    </row>
    <row r="14" spans="1:14" ht="14.25" thickTop="1" thickBot="1" x14ac:dyDescent="0.25">
      <c r="A14" s="684" t="s">
        <v>1113</v>
      </c>
      <c r="B14" s="679">
        <v>253</v>
      </c>
      <c r="C14" s="1745">
        <v>22057</v>
      </c>
      <c r="D14" s="1745"/>
      <c r="E14" s="1745"/>
      <c r="F14" s="1765">
        <f>(C14+D14)-E14</f>
        <v>22057</v>
      </c>
      <c r="G14" s="681">
        <v>3</v>
      </c>
      <c r="H14" s="619">
        <v>7352</v>
      </c>
      <c r="I14" s="619">
        <v>7352</v>
      </c>
      <c r="J14" s="619"/>
      <c r="K14" s="1442">
        <f>(H14+I14)-J14</f>
        <v>14704</v>
      </c>
      <c r="L14" s="1442">
        <f>F14-K14</f>
        <v>7353</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16700330</v>
      </c>
      <c r="D16" s="1765">
        <f>SUM(D3,D5:D6,D8:D10,D12:D15)</f>
        <v>292032</v>
      </c>
      <c r="E16" s="1765">
        <f>SUM(E3,E5:E6,E8:E10,E12:E15)</f>
        <v>41562</v>
      </c>
      <c r="F16" s="1765">
        <f>SUM(F3,F5:F6,F8:F10,F12:F15)</f>
        <v>16950800</v>
      </c>
      <c r="G16" s="681"/>
      <c r="H16" s="1435">
        <f>SUM(H3,H6,H8:H10,H12:H14,)</f>
        <v>7102003</v>
      </c>
      <c r="I16" s="1435">
        <f>SUM(I3,I6,I8:I10,I12:I14,)</f>
        <v>467814</v>
      </c>
      <c r="J16" s="1435">
        <f>SUM(J3,J6,J8:J10,J12:J14,)</f>
        <v>93524</v>
      </c>
      <c r="K16" s="1435">
        <f>(H16+I16)-J16</f>
        <v>7476293</v>
      </c>
      <c r="L16" s="1435">
        <f>F16-K16</f>
        <v>9474507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467814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641" t="str">
        <f>"ESTIMATED OPERATING EXPENSE PER PUPIL (OEPP)/PER CAPITA TUITION CHARGE (PCTC) COMPUTATIONS ("&amp;'AFR20'!E2-1&amp;" - "&amp;'AFR20'!E2&amp;")"</f>
        <v>ESTIMATED OPERATING EXPENSE PER PUPIL (OEPP)/PER CAPITA TUITION CHARGE (PCTC) COMPUTATIONS (2019 - 2020)</v>
      </c>
      <c r="B1" s="2642"/>
      <c r="C1" s="2642"/>
      <c r="D1" s="2642"/>
      <c r="E1" s="2642"/>
      <c r="F1" s="2643"/>
      <c r="G1" s="691"/>
      <c r="I1" s="701"/>
    </row>
    <row r="2" spans="1:9" ht="15" customHeight="1" thickBot="1" x14ac:dyDescent="0.25">
      <c r="A2" s="2644" t="s">
        <v>474</v>
      </c>
      <c r="B2" s="2645"/>
      <c r="C2" s="2645"/>
      <c r="D2" s="2645"/>
      <c r="E2" s="2645"/>
      <c r="F2" s="264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647"/>
      <c r="B5" s="2648"/>
      <c r="C5" s="2648"/>
      <c r="D5" s="2648"/>
      <c r="E5" s="2648"/>
      <c r="F5" s="2648"/>
    </row>
    <row r="6" spans="1:9" ht="13.5" customHeight="1" thickBot="1" x14ac:dyDescent="0.25">
      <c r="A6" s="2638" t="s">
        <v>1095</v>
      </c>
      <c r="B6" s="2639"/>
      <c r="C6" s="2639"/>
      <c r="D6" s="2639"/>
      <c r="E6" s="2639"/>
      <c r="F6" s="264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9906171</v>
      </c>
      <c r="G8" s="701"/>
    </row>
    <row r="9" spans="1:9" x14ac:dyDescent="0.2">
      <c r="A9" s="705" t="s">
        <v>457</v>
      </c>
      <c r="B9" s="706" t="s">
        <v>1844</v>
      </c>
      <c r="C9" s="707"/>
      <c r="D9" s="705" t="s">
        <v>498</v>
      </c>
      <c r="E9" s="704"/>
      <c r="F9" s="1775">
        <f>'Expenditures 15-22'!K151</f>
        <v>468735</v>
      </c>
      <c r="G9" s="708"/>
    </row>
    <row r="10" spans="1:9" x14ac:dyDescent="0.2">
      <c r="A10" s="705" t="s">
        <v>496</v>
      </c>
      <c r="B10" s="706" t="s">
        <v>1845</v>
      </c>
      <c r="C10" s="707"/>
      <c r="D10" s="705" t="s">
        <v>498</v>
      </c>
      <c r="E10" s="704"/>
      <c r="F10" s="1775">
        <f>'Expenditures 15-22'!K174</f>
        <v>859501</v>
      </c>
      <c r="G10" s="708"/>
    </row>
    <row r="11" spans="1:9" x14ac:dyDescent="0.2">
      <c r="A11" s="705" t="s">
        <v>458</v>
      </c>
      <c r="B11" s="706" t="s">
        <v>1846</v>
      </c>
      <c r="C11" s="707"/>
      <c r="D11" s="705" t="s">
        <v>498</v>
      </c>
      <c r="E11" s="704"/>
      <c r="F11" s="1775">
        <f>'Expenditures 15-22'!K210</f>
        <v>554033</v>
      </c>
      <c r="G11" s="708"/>
    </row>
    <row r="12" spans="1:9" x14ac:dyDescent="0.2">
      <c r="A12" s="705" t="s">
        <v>459</v>
      </c>
      <c r="B12" s="706" t="s">
        <v>1847</v>
      </c>
      <c r="C12" s="707"/>
      <c r="D12" s="705" t="s">
        <v>498</v>
      </c>
      <c r="E12" s="704"/>
      <c r="F12" s="1775">
        <f>'Expenditures 15-22'!K295</f>
        <v>412282</v>
      </c>
      <c r="G12" s="708"/>
    </row>
    <row r="13" spans="1:9" x14ac:dyDescent="0.2">
      <c r="A13" s="705" t="s">
        <v>106</v>
      </c>
      <c r="B13" s="706" t="s">
        <v>1848</v>
      </c>
      <c r="C13" s="707"/>
      <c r="D13" s="705" t="s">
        <v>498</v>
      </c>
      <c r="E13" s="704"/>
      <c r="F13" s="1775">
        <f>'Expenditures 15-22'!K342</f>
        <v>50000</v>
      </c>
      <c r="G13" s="709"/>
    </row>
    <row r="14" spans="1:9" ht="12" customHeight="1" thickBot="1" x14ac:dyDescent="0.25">
      <c r="A14" s="1443"/>
      <c r="B14" s="1444"/>
      <c r="C14" s="1445"/>
      <c r="D14" s="1446" t="s">
        <v>498</v>
      </c>
      <c r="E14" s="1447" t="s">
        <v>952</v>
      </c>
      <c r="F14" s="1776">
        <f>SUM(F8:F13)</f>
        <v>12250722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83">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1905</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227904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80144</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409930</v>
      </c>
      <c r="G52" s="701"/>
    </row>
    <row r="53" spans="1:7" x14ac:dyDescent="0.2">
      <c r="A53" s="705" t="s">
        <v>456</v>
      </c>
      <c r="B53" s="705" t="s">
        <v>1458</v>
      </c>
      <c r="C53" s="724">
        <f>'Expenditures 15-22'!B102</f>
        <v>4000</v>
      </c>
      <c r="D53" s="723" t="str">
        <f>'Expenditures 15-22'!A102</f>
        <v>Total Payments to Other Govt Units</v>
      </c>
      <c r="E53" s="704"/>
      <c r="F53" s="1782">
        <f>'Expenditures 15-22'!K102</f>
        <v>3169417</v>
      </c>
      <c r="G53" s="701"/>
    </row>
    <row r="54" spans="1:7" x14ac:dyDescent="0.2">
      <c r="A54" s="705" t="s">
        <v>456</v>
      </c>
      <c r="B54" s="705" t="s">
        <v>1459</v>
      </c>
      <c r="C54" s="724" t="s">
        <v>975</v>
      </c>
      <c r="D54" s="720" t="s">
        <v>1086</v>
      </c>
      <c r="E54" s="704"/>
      <c r="F54" s="1782">
        <f>'Expenditures 15-22'!G114</f>
        <v>87403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82">
        <f>'Expenditures 15-22'!K139</f>
        <v>0</v>
      </c>
      <c r="G57" s="701"/>
    </row>
    <row r="58" spans="1:7" x14ac:dyDescent="0.2">
      <c r="A58" s="705" t="s">
        <v>457</v>
      </c>
      <c r="B58" s="705" t="s">
        <v>1850</v>
      </c>
      <c r="C58" s="721" t="s">
        <v>975</v>
      </c>
      <c r="D58" s="720" t="s">
        <v>1086</v>
      </c>
      <c r="E58" s="704"/>
      <c r="F58" s="1784">
        <f>'Expenditures 15-22'!G151</f>
        <v>3013</v>
      </c>
      <c r="G58" s="701"/>
    </row>
    <row r="59" spans="1:7" x14ac:dyDescent="0.2">
      <c r="A59" s="728" t="s">
        <v>457</v>
      </c>
      <c r="B59" s="692" t="s">
        <v>1851</v>
      </c>
      <c r="C59" s="729" t="s">
        <v>975</v>
      </c>
      <c r="D59" s="692" t="s">
        <v>288</v>
      </c>
      <c r="F59" s="1785">
        <f>'Expenditures 15-22'!I151</f>
        <v>0</v>
      </c>
      <c r="G59" s="701"/>
    </row>
    <row r="60" spans="1:7" x14ac:dyDescent="0.2">
      <c r="A60" s="728" t="s">
        <v>496</v>
      </c>
      <c r="B60" s="692" t="s">
        <v>1852</v>
      </c>
      <c r="C60" s="729">
        <v>4000</v>
      </c>
      <c r="D60" s="692" t="s">
        <v>309</v>
      </c>
      <c r="F60" s="1783">
        <f>'Expenditures 15-22'!K160</f>
        <v>0</v>
      </c>
      <c r="G60" s="701"/>
    </row>
    <row r="61" spans="1:7" x14ac:dyDescent="0.2">
      <c r="A61" s="730" t="s">
        <v>496</v>
      </c>
      <c r="B61" s="730" t="s">
        <v>1853</v>
      </c>
      <c r="C61" s="731" t="str">
        <f>'Expenditures 15-22'!B170</f>
        <v>5300</v>
      </c>
      <c r="D61" s="732" t="s">
        <v>308</v>
      </c>
      <c r="E61" s="715"/>
      <c r="F61" s="1782">
        <f>'Expenditures 15-22'!K170</f>
        <v>675000</v>
      </c>
      <c r="G61" s="701"/>
    </row>
    <row r="62" spans="1:7" x14ac:dyDescent="0.2">
      <c r="A62" s="705" t="s">
        <v>458</v>
      </c>
      <c r="B62" s="705" t="s">
        <v>1854</v>
      </c>
      <c r="C62" s="721">
        <f>'Expenditures 15-22'!B185</f>
        <v>3000</v>
      </c>
      <c r="D62" s="712" t="s">
        <v>446</v>
      </c>
      <c r="E62" s="704"/>
      <c r="F62" s="1782">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1856</v>
      </c>
      <c r="C64" s="731" t="str">
        <f>'Expenditures 15-22'!B206</f>
        <v>5300</v>
      </c>
      <c r="D64" s="727" t="s">
        <v>308</v>
      </c>
      <c r="E64" s="704"/>
      <c r="F64" s="1782">
        <f>'Expenditures 15-22'!K206</f>
        <v>0</v>
      </c>
      <c r="G64" s="701"/>
    </row>
    <row r="65" spans="1:9" x14ac:dyDescent="0.2">
      <c r="A65" s="705" t="s">
        <v>458</v>
      </c>
      <c r="B65" s="705" t="s">
        <v>1857</v>
      </c>
      <c r="C65" s="721" t="s">
        <v>975</v>
      </c>
      <c r="D65" s="720" t="s">
        <v>1086</v>
      </c>
      <c r="E65" s="704"/>
      <c r="F65" s="1782">
        <f>'Expenditures 15-22'!G210</f>
        <v>50904</v>
      </c>
      <c r="G65" s="701"/>
    </row>
    <row r="66" spans="1:9" x14ac:dyDescent="0.2">
      <c r="A66" s="705" t="s">
        <v>458</v>
      </c>
      <c r="B66" s="705" t="s">
        <v>1858</v>
      </c>
      <c r="C66" s="721" t="s">
        <v>975</v>
      </c>
      <c r="D66" s="720" t="s">
        <v>288</v>
      </c>
      <c r="E66" s="704"/>
      <c r="F66" s="1782">
        <f>'Expenditures 15-22'!I210</f>
        <v>0</v>
      </c>
      <c r="G66" s="701"/>
    </row>
    <row r="67" spans="1:9" x14ac:dyDescent="0.2">
      <c r="A67" s="705" t="s">
        <v>459</v>
      </c>
      <c r="B67" s="705" t="s">
        <v>1859</v>
      </c>
      <c r="C67" s="721" t="str">
        <f>'Expenditures 15-22'!B216</f>
        <v>1125</v>
      </c>
      <c r="D67" s="727" t="str">
        <f>'Expenditures 15-22'!A216</f>
        <v>Pre-K Programs</v>
      </c>
      <c r="E67" s="704"/>
      <c r="F67" s="1782">
        <f>'Expenditures 15-22'!K216</f>
        <v>9501</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1861</v>
      </c>
      <c r="C70" s="721">
        <f>'Expenditures 15-22'!B221</f>
        <v>1300</v>
      </c>
      <c r="D70" s="722" t="str">
        <f>'Expenditures 15-22'!A221</f>
        <v>Adult/Continuing Education Programs</v>
      </c>
      <c r="E70" s="704"/>
      <c r="F70" s="1782">
        <f>'Expenditures 15-22'!K221</f>
        <v>0</v>
      </c>
      <c r="G70" s="701"/>
    </row>
    <row r="71" spans="1:9" x14ac:dyDescent="0.2">
      <c r="A71" s="705" t="s">
        <v>459</v>
      </c>
      <c r="B71" s="705" t="s">
        <v>1862</v>
      </c>
      <c r="C71" s="721">
        <f>'Expenditures 15-22'!B224</f>
        <v>1600</v>
      </c>
      <c r="D71" s="722" t="str">
        <f>'Expenditures 15-22'!A224</f>
        <v>Summer School Programs</v>
      </c>
      <c r="E71" s="704"/>
      <c r="F71" s="1782">
        <f>'Expenditures 15-22'!K224</f>
        <v>0</v>
      </c>
      <c r="G71" s="701"/>
    </row>
    <row r="72" spans="1:9" x14ac:dyDescent="0.2">
      <c r="A72" s="705" t="s">
        <v>459</v>
      </c>
      <c r="B72" s="705" t="s">
        <v>1863</v>
      </c>
      <c r="C72" s="721">
        <f>'Expenditures 15-22'!B280</f>
        <v>3000</v>
      </c>
      <c r="D72" s="712" t="s">
        <v>446</v>
      </c>
      <c r="E72" s="704"/>
      <c r="F72" s="1782">
        <f>'Expenditures 15-22'!K280</f>
        <v>53505</v>
      </c>
      <c r="G72" s="701"/>
    </row>
    <row r="73" spans="1:9" x14ac:dyDescent="0.2">
      <c r="A73" s="705" t="s">
        <v>459</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1865</v>
      </c>
      <c r="C74" s="721" t="s">
        <v>855</v>
      </c>
      <c r="D74" s="722" t="s">
        <v>1470</v>
      </c>
      <c r="E74" s="704"/>
      <c r="F74" s="1786">
        <f>'Expenditures 15-22'!K334</f>
        <v>50000</v>
      </c>
      <c r="G74" s="701"/>
    </row>
    <row r="75" spans="1:9" x14ac:dyDescent="0.2">
      <c r="A75" s="705" t="s">
        <v>2004</v>
      </c>
      <c r="B75" s="705" t="s">
        <v>2005</v>
      </c>
      <c r="C75" s="721" t="s">
        <v>975</v>
      </c>
      <c r="D75" s="722" t="s">
        <v>1086</v>
      </c>
      <c r="E75" s="704"/>
      <c r="F75" s="1786">
        <f>'Expenditures 15-22'!G342</f>
        <v>0</v>
      </c>
      <c r="G75" s="701"/>
    </row>
    <row r="76" spans="1:9" ht="10.5" customHeight="1" x14ac:dyDescent="0.2">
      <c r="A76" s="701" t="s">
        <v>433</v>
      </c>
      <c r="B76" s="705" t="s">
        <v>2006</v>
      </c>
      <c r="C76" s="711" t="s">
        <v>975</v>
      </c>
      <c r="D76" s="701" t="s">
        <v>288</v>
      </c>
      <c r="E76" s="704"/>
      <c r="F76" s="1786">
        <f>'Expenditures 15-22'!I342</f>
        <v>0</v>
      </c>
      <c r="G76" s="703"/>
    </row>
    <row r="77" spans="1:9" ht="12" thickBot="1" x14ac:dyDescent="0.25">
      <c r="A77" s="1443"/>
      <c r="B77" s="1448"/>
      <c r="C77" s="1445"/>
      <c r="D77" s="1449" t="s">
        <v>2007</v>
      </c>
      <c r="E77" s="1447" t="s">
        <v>952</v>
      </c>
      <c r="F77" s="1787">
        <f>SUM(F18:F76)</f>
        <v>4816721</v>
      </c>
      <c r="G77" s="701"/>
    </row>
    <row r="78" spans="1:9" s="728" customFormat="1" ht="12" customHeight="1" thickTop="1" thickBot="1" x14ac:dyDescent="0.25">
      <c r="A78" s="1450"/>
      <c r="B78" s="1448"/>
      <c r="C78" s="1445"/>
      <c r="D78" s="1449" t="s">
        <v>2008</v>
      </c>
      <c r="E78" s="1447"/>
      <c r="F78" s="1788">
        <f>(F14-F77)</f>
        <v>7434001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663.5</v>
      </c>
      <c r="G79" s="733"/>
      <c r="H79" s="705"/>
      <c r="I79" s="705"/>
    </row>
    <row r="80" spans="1:9" s="728" customFormat="1" ht="12" customHeight="1" thickBot="1" x14ac:dyDescent="0.25">
      <c r="A80" s="1452"/>
      <c r="B80" s="1448"/>
      <c r="C80" s="1445"/>
      <c r="D80" s="1449" t="s">
        <v>2009</v>
      </c>
      <c r="E80" s="1447" t="s">
        <v>952</v>
      </c>
      <c r="F80" s="1790">
        <f>IF(F79&gt;0,F78/F79," Complete Line 79")</f>
        <v>11204.221552373776</v>
      </c>
      <c r="G80" s="705"/>
    </row>
    <row r="81" spans="1:7" s="728" customFormat="1" ht="8.25" customHeight="1" thickTop="1" x14ac:dyDescent="0.2">
      <c r="A81" s="734"/>
      <c r="B81" s="705"/>
      <c r="C81" s="707"/>
      <c r="D81" s="735"/>
      <c r="E81" s="704"/>
      <c r="F81" s="1791"/>
      <c r="G81" s="705"/>
    </row>
    <row r="82" spans="1:7" s="728" customFormat="1" ht="12" thickBot="1" x14ac:dyDescent="0.25">
      <c r="A82" s="2638" t="s">
        <v>1096</v>
      </c>
      <c r="B82" s="2639"/>
      <c r="C82" s="2639"/>
      <c r="D82" s="2639"/>
      <c r="E82" s="2639"/>
      <c r="F82" s="264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6240</v>
      </c>
      <c r="G95" s="745"/>
    </row>
    <row r="96" spans="1:7" x14ac:dyDescent="0.2">
      <c r="A96" s="741" t="s">
        <v>139</v>
      </c>
      <c r="B96" s="741" t="s">
        <v>174</v>
      </c>
      <c r="C96" s="743">
        <v>1700</v>
      </c>
      <c r="D96" s="751" t="str">
        <f>'Revenues 9-14'!A82</f>
        <v>Total District/School Activity Income</v>
      </c>
      <c r="E96" s="739"/>
      <c r="F96" s="1793">
        <f>SUM('Revenues 9-14'!C82,'Revenues 9-14'!D82)</f>
        <v>13520</v>
      </c>
      <c r="G96" s="745"/>
    </row>
    <row r="97" spans="1:7" x14ac:dyDescent="0.2">
      <c r="A97" s="741" t="s">
        <v>456</v>
      </c>
      <c r="B97" s="741" t="s">
        <v>175</v>
      </c>
      <c r="C97" s="743">
        <f>'Revenues 9-14'!B84</f>
        <v>1811</v>
      </c>
      <c r="D97" s="744" t="str">
        <f>'Revenues 9-14'!A84</f>
        <v>Rentals - Regular Textbooks</v>
      </c>
      <c r="E97" s="739"/>
      <c r="F97" s="1793">
        <f>'Revenues 9-14'!C84</f>
        <v>13170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1906</v>
      </c>
      <c r="C106" s="746">
        <v>3100</v>
      </c>
      <c r="D106" s="752" t="str">
        <f>'Revenues 9-14'!A132</f>
        <v>Total Special Education</v>
      </c>
      <c r="E106" s="739"/>
      <c r="F106" s="1793">
        <f>SUM('Revenues 9-14'!C132:D132,'Revenues 9-14'!F132)</f>
        <v>60886</v>
      </c>
      <c r="G106" s="745"/>
    </row>
    <row r="107" spans="1:7" x14ac:dyDescent="0.2">
      <c r="A107" s="741" t="s">
        <v>668</v>
      </c>
      <c r="B107" s="741" t="s">
        <v>1907</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1908</v>
      </c>
      <c r="C108" s="753">
        <v>3300</v>
      </c>
      <c r="D108" s="744" t="str">
        <f>'Revenues 9-14'!A145</f>
        <v>Total Bilingual Ed</v>
      </c>
      <c r="E108" s="739"/>
      <c r="F108" s="1793">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93">
        <f>'Revenues 9-14'!C146</f>
        <v>4363</v>
      </c>
      <c r="G109" s="745"/>
    </row>
    <row r="110" spans="1:7" x14ac:dyDescent="0.2">
      <c r="A110" s="741" t="s">
        <v>668</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6931</v>
      </c>
      <c r="G111" s="745"/>
    </row>
    <row r="112" spans="1:7" x14ac:dyDescent="0.2">
      <c r="A112" s="741" t="s">
        <v>663</v>
      </c>
      <c r="B112" s="741" t="s">
        <v>1912</v>
      </c>
      <c r="C112" s="755">
        <v>3500</v>
      </c>
      <c r="D112" s="744" t="str">
        <f>'Revenues 9-14'!A155</f>
        <v>Total Transportation</v>
      </c>
      <c r="E112" s="739"/>
      <c r="F112" s="1793">
        <f>SUM('Revenues 9-14'!C155,'Revenues 9-14'!D155,'Revenues 9-14'!F155,'Revenues 9-14'!G155)</f>
        <v>218653</v>
      </c>
      <c r="G112" s="745"/>
    </row>
    <row r="113" spans="1:7" x14ac:dyDescent="0.2">
      <c r="A113" s="741" t="s">
        <v>456</v>
      </c>
      <c r="B113" s="741" t="s">
        <v>1913</v>
      </c>
      <c r="C113" s="753">
        <f>'Revenues 9-14'!B156</f>
        <v>3610</v>
      </c>
      <c r="D113" s="744" t="str">
        <f>'Revenues 9-14'!A156</f>
        <v>Learning Improvement - Change Grants</v>
      </c>
      <c r="E113" s="739"/>
      <c r="F113" s="1793">
        <f>'Revenues 9-14'!C156</f>
        <v>0</v>
      </c>
      <c r="G113" s="745"/>
    </row>
    <row r="114" spans="1:7" x14ac:dyDescent="0.2">
      <c r="A114" s="741" t="s">
        <v>663</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92">
        <f>SUM('Revenues 9-14'!C163:G163)</f>
        <v>0</v>
      </c>
      <c r="G119" s="745"/>
    </row>
    <row r="120" spans="1:7" x14ac:dyDescent="0.2">
      <c r="A120" s="756" t="s">
        <v>501</v>
      </c>
      <c r="B120" s="756" t="s">
        <v>1920</v>
      </c>
      <c r="C120" s="757">
        <f>'Revenues 9-14'!B164</f>
        <v>3815</v>
      </c>
      <c r="D120" s="758" t="str">
        <f>'Revenues 9-14'!A164</f>
        <v>State Charter Schools</v>
      </c>
      <c r="E120" s="739"/>
      <c r="F120" s="1792">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93">
        <f>'Revenues 9-14'!D167</f>
        <v>0</v>
      </c>
      <c r="G121" s="763"/>
    </row>
    <row r="122" spans="1:7" x14ac:dyDescent="0.2">
      <c r="A122" s="760" t="s">
        <v>497</v>
      </c>
      <c r="B122" s="760" t="s">
        <v>1922</v>
      </c>
      <c r="C122" s="761">
        <f>'Revenues 9-14'!B168</f>
        <v>3999</v>
      </c>
      <c r="D122" s="762" t="s">
        <v>540</v>
      </c>
      <c r="E122" s="764"/>
      <c r="F122" s="1793">
        <f>SUM('Revenues 9-14'!C168:G168,'Revenues 9-14'!J168)</f>
        <v>0</v>
      </c>
      <c r="G122" s="763"/>
    </row>
    <row r="123" spans="1:7" x14ac:dyDescent="0.2">
      <c r="A123" s="760" t="s">
        <v>456</v>
      </c>
      <c r="B123" s="760" t="s">
        <v>1923</v>
      </c>
      <c r="C123" s="765">
        <f>'Revenues 9-14'!B177</f>
        <v>4045</v>
      </c>
      <c r="D123" s="762" t="str">
        <f>'Revenues 9-14'!A177 &amp; " (Subtract)"</f>
        <v>Head Start (Subtract)</v>
      </c>
      <c r="E123" s="739"/>
      <c r="F123" s="1793">
        <f>SUM(-'Revenues 9-14'!C177)</f>
        <v>0</v>
      </c>
      <c r="G123" s="763"/>
    </row>
    <row r="124" spans="1:7" x14ac:dyDescent="0.2">
      <c r="A124" s="760" t="s">
        <v>663</v>
      </c>
      <c r="B124" s="760" t="s">
        <v>1924</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1925</v>
      </c>
      <c r="C125" s="765">
        <v>4100</v>
      </c>
      <c r="D125" s="766" t="str">
        <f>'Revenues 9-14'!A188</f>
        <v>Total Title V</v>
      </c>
      <c r="E125" s="739"/>
      <c r="F125" s="1793">
        <f>SUM('Revenues 9-14'!C188,'Revenues 9-14'!D188,'Revenues 9-14'!F188,'Revenues 9-14'!G188)</f>
        <v>0</v>
      </c>
      <c r="G125" s="763"/>
    </row>
    <row r="126" spans="1:7" x14ac:dyDescent="0.2">
      <c r="A126" s="760" t="s">
        <v>659</v>
      </c>
      <c r="B126" s="760" t="s">
        <v>1926</v>
      </c>
      <c r="C126" s="765">
        <v>4200</v>
      </c>
      <c r="D126" s="762" t="str">
        <f>'Revenues 9-14'!A198</f>
        <v>Total Food Service</v>
      </c>
      <c r="E126" s="739"/>
      <c r="F126" s="1793">
        <f>SUM('Revenues 9-14'!C198,'Revenues 9-14'!G198)</f>
        <v>326516</v>
      </c>
      <c r="G126" s="763"/>
    </row>
    <row r="127" spans="1:7" x14ac:dyDescent="0.2">
      <c r="A127" s="760" t="s">
        <v>663</v>
      </c>
      <c r="B127" s="760" t="s">
        <v>1927</v>
      </c>
      <c r="C127" s="765">
        <v>4300</v>
      </c>
      <c r="D127" s="766" t="str">
        <f>'Revenues 9-14'!A204</f>
        <v>Total Title I</v>
      </c>
      <c r="E127" s="739"/>
      <c r="F127" s="1793">
        <f>SUM('Revenues 9-14'!C204,'Revenues 9-14'!D204,'Revenues 9-14'!F204,'Revenues 9-14'!G204)</f>
        <v>264363</v>
      </c>
      <c r="G127" s="763"/>
    </row>
    <row r="128" spans="1:7" x14ac:dyDescent="0.2">
      <c r="A128" s="760" t="s">
        <v>663</v>
      </c>
      <c r="B128" s="760" t="s">
        <v>1928</v>
      </c>
      <c r="C128" s="765">
        <v>4400</v>
      </c>
      <c r="D128" s="766" t="str">
        <f>'Revenues 9-14'!A209</f>
        <v>Total Title IV</v>
      </c>
      <c r="E128" s="739"/>
      <c r="F128" s="1793">
        <f>SUM('Revenues 9-14'!C209,'Revenues 9-14'!D209,'Revenues 9-14'!F209,'Revenues 9-14'!G209)</f>
        <v>0</v>
      </c>
      <c r="G128" s="763"/>
    </row>
    <row r="129" spans="1:7" x14ac:dyDescent="0.2">
      <c r="A129" s="760" t="s">
        <v>663</v>
      </c>
      <c r="B129" s="760" t="s">
        <v>1929</v>
      </c>
      <c r="C129" s="765">
        <f>'Revenues 9-14'!B213</f>
        <v>4620</v>
      </c>
      <c r="D129" s="766" t="str">
        <f>'Revenues 9-14'!A213</f>
        <v>Fed - Spec Education - IDEA - Flow Through</v>
      </c>
      <c r="E129" s="739"/>
      <c r="F129" s="1793">
        <f>SUM('Revenues 9-14'!C213:D213,'Revenues 9-14'!F213:G213)</f>
        <v>229557</v>
      </c>
      <c r="G129" s="763"/>
    </row>
    <row r="130" spans="1:7" x14ac:dyDescent="0.2">
      <c r="A130" s="760" t="s">
        <v>663</v>
      </c>
      <c r="B130" s="760" t="s">
        <v>1930</v>
      </c>
      <c r="C130" s="765">
        <f>'Revenues 9-14'!B214</f>
        <v>4625</v>
      </c>
      <c r="D130" s="766" t="str">
        <f>'Revenues 9-14'!A214</f>
        <v>Fed - Spec Education - IDEA - Room &amp; Board</v>
      </c>
      <c r="E130" s="739"/>
      <c r="F130" s="1793">
        <f>SUM('Revenues 9-14'!C214,'Revenues 9-14'!D214,'Revenues 9-14'!F214,'Revenues 9-14'!G214)</f>
        <v>3953</v>
      </c>
      <c r="G130" s="763"/>
    </row>
    <row r="131" spans="1:7" x14ac:dyDescent="0.2">
      <c r="A131" s="760" t="s">
        <v>663</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1932</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1947</v>
      </c>
      <c r="C158" s="773" t="s">
        <v>836</v>
      </c>
      <c r="D158" s="774" t="s">
        <v>772</v>
      </c>
      <c r="E158" s="775"/>
      <c r="F158" s="1793">
        <f>SUM(F134:F157)</f>
        <v>0</v>
      </c>
      <c r="G158" s="738"/>
    </row>
    <row r="159" spans="1:7" s="703" customFormat="1" x14ac:dyDescent="0.2">
      <c r="A159" s="771" t="s">
        <v>456</v>
      </c>
      <c r="B159" s="772" t="s">
        <v>1948</v>
      </c>
      <c r="C159" s="773" t="s">
        <v>1410</v>
      </c>
      <c r="D159" s="774" t="s">
        <v>1411</v>
      </c>
      <c r="E159" s="775"/>
      <c r="F159" s="1793">
        <f>SUM('Revenues 9-14'!C253)</f>
        <v>0</v>
      </c>
      <c r="G159" s="738"/>
    </row>
    <row r="160" spans="1:7" s="703" customFormat="1" x14ac:dyDescent="0.2">
      <c r="A160" s="771" t="s">
        <v>497</v>
      </c>
      <c r="B160" s="772" t="s">
        <v>1949</v>
      </c>
      <c r="C160" s="773" t="s">
        <v>1449</v>
      </c>
      <c r="D160" s="774" t="s">
        <v>1450</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93">
        <f>SUM('Revenues 9-14'!C263:D263,'Revenues 9-14'!F263:G263)</f>
        <v>6054</v>
      </c>
      <c r="G169" s="780">
        <v>6320</v>
      </c>
    </row>
    <row r="170" spans="1:7" x14ac:dyDescent="0.2">
      <c r="A170" s="760" t="s">
        <v>663</v>
      </c>
      <c r="B170" s="760" t="s">
        <v>1957</v>
      </c>
      <c r="C170" s="765">
        <f>'Revenues 9-14'!B264</f>
        <v>4992</v>
      </c>
      <c r="D170" s="766" t="str">
        <f>'Revenues 9-14'!A264</f>
        <v>Medicaid Matching Funds - Fee-for-Service Program</v>
      </c>
      <c r="E170" s="739"/>
      <c r="F170" s="1793">
        <f>SUM('Revenues 9-14'!C264:D264,'Revenues 9-14'!F264:G264)</f>
        <v>9533</v>
      </c>
      <c r="G170" s="780"/>
    </row>
    <row r="171" spans="1:7" x14ac:dyDescent="0.2">
      <c r="A171" s="781" t="s">
        <v>663</v>
      </c>
      <c r="B171" s="777" t="s">
        <v>1958</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1881</v>
      </c>
      <c r="C172" s="1531">
        <v>3100</v>
      </c>
      <c r="D172" s="1532" t="s">
        <v>1883</v>
      </c>
      <c r="E172" s="739"/>
      <c r="F172" s="1794">
        <v>135505.46</v>
      </c>
      <c r="G172" s="760"/>
    </row>
    <row r="173" spans="1:7" x14ac:dyDescent="0.2">
      <c r="A173" s="1529" t="s">
        <v>659</v>
      </c>
      <c r="B173" s="1530" t="s">
        <v>1881</v>
      </c>
      <c r="C173" s="1531">
        <v>3300</v>
      </c>
      <c r="D173" s="1532" t="s">
        <v>1884</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952</v>
      </c>
      <c r="F175" s="1796">
        <f>SUM(F85:F133,F158:F173)</f>
        <v>1299244.46</v>
      </c>
    </row>
    <row r="176" spans="1:7" ht="12" customHeight="1" x14ac:dyDescent="0.2">
      <c r="A176" s="1443"/>
      <c r="B176" s="1453"/>
      <c r="C176" s="1454"/>
      <c r="D176" s="1455" t="s">
        <v>2010</v>
      </c>
      <c r="E176" s="1456"/>
      <c r="F176" s="1793">
        <f>'PCTC-OEPP 27-28'!F78-F175</f>
        <v>6134756.54</v>
      </c>
    </row>
    <row r="177" spans="1:9" ht="12" customHeight="1" x14ac:dyDescent="0.2">
      <c r="A177" s="1443"/>
      <c r="B177" s="1453"/>
      <c r="C177" s="1454"/>
      <c r="D177" s="1455" t="s">
        <v>1790</v>
      </c>
      <c r="E177" s="1456"/>
      <c r="F177" s="1793">
        <f>'Cap Outlay Deprec 26'!I18</f>
        <v>467814</v>
      </c>
    </row>
    <row r="178" spans="1:9" ht="12" customHeight="1" x14ac:dyDescent="0.2">
      <c r="A178" s="1443"/>
      <c r="B178" s="1453"/>
      <c r="C178" s="1454"/>
      <c r="D178" s="1455" t="s">
        <v>2011</v>
      </c>
      <c r="E178" s="1456"/>
      <c r="F178" s="1793">
        <f>F176+F177</f>
        <v>6602570.54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663.5</v>
      </c>
      <c r="G179" s="763"/>
      <c r="I179" s="701"/>
    </row>
    <row r="180" spans="1:9" ht="12" customHeight="1" thickBot="1" x14ac:dyDescent="0.25">
      <c r="A180" s="1443"/>
      <c r="B180" s="1457"/>
      <c r="C180" s="1454"/>
      <c r="D180" s="1455" t="s">
        <v>2013</v>
      </c>
      <c r="E180" s="1456" t="s">
        <v>1528</v>
      </c>
      <c r="F180" s="1798">
        <f>F178/F179</f>
        <v>9951.1236473247936</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1803</v>
      </c>
      <c r="B1" s="1860"/>
      <c r="C1" s="1861"/>
      <c r="D1" s="1861"/>
      <c r="E1" s="1861"/>
      <c r="F1" s="1861"/>
    </row>
    <row r="2" spans="1:6" x14ac:dyDescent="0.25">
      <c r="A2" s="1863"/>
      <c r="B2" s="1864"/>
      <c r="C2" s="1913" t="s">
        <v>1999</v>
      </c>
      <c r="D2" s="1863"/>
      <c r="E2" s="1863"/>
      <c r="F2" s="1863"/>
    </row>
    <row r="3" spans="1:6" ht="5.25" customHeight="1" x14ac:dyDescent="0.25">
      <c r="A3" s="1865"/>
      <c r="B3" s="1866"/>
      <c r="C3" s="1865"/>
      <c r="D3" s="1865"/>
      <c r="E3" s="1865"/>
      <c r="F3" s="1865"/>
    </row>
    <row r="4" spans="1:6" ht="18.75" customHeight="1" x14ac:dyDescent="0.25">
      <c r="A4" s="2652" t="s">
        <v>1791</v>
      </c>
      <c r="B4" s="2653"/>
      <c r="C4" s="2653"/>
      <c r="D4" s="2653"/>
      <c r="E4" s="2653"/>
      <c r="F4" s="2654"/>
    </row>
    <row r="5" spans="1:6" x14ac:dyDescent="0.25">
      <c r="A5" s="2655"/>
      <c r="B5" s="2656"/>
      <c r="C5" s="2656"/>
      <c r="D5" s="2656"/>
      <c r="E5" s="2656"/>
      <c r="F5" s="2657"/>
    </row>
    <row r="6" spans="1:6" ht="18.75" x14ac:dyDescent="0.25">
      <c r="A6" s="1867" t="s">
        <v>1792</v>
      </c>
      <c r="B6" s="1868"/>
      <c r="C6" s="1869"/>
      <c r="D6" s="1869"/>
      <c r="E6" s="1869"/>
      <c r="F6" s="1870"/>
    </row>
    <row r="7" spans="1:6" ht="47.25" customHeight="1" x14ac:dyDescent="0.25">
      <c r="A7" s="2658" t="s">
        <v>1981</v>
      </c>
      <c r="B7" s="2659"/>
      <c r="C7" s="2659"/>
      <c r="D7" s="2659"/>
      <c r="E7" s="2659"/>
      <c r="F7" s="2660"/>
    </row>
    <row r="8" spans="1:6" ht="20.25" customHeight="1" x14ac:dyDescent="0.25">
      <c r="A8" s="1902" t="s">
        <v>1983</v>
      </c>
      <c r="B8" s="1903"/>
      <c r="C8" s="1903"/>
      <c r="D8" s="1903"/>
      <c r="E8" s="1871"/>
      <c r="F8" s="1872"/>
    </row>
    <row r="9" spans="1:6" ht="18" customHeight="1" x14ac:dyDescent="0.25">
      <c r="A9" s="1873" t="s">
        <v>1980</v>
      </c>
      <c r="B9" s="1875"/>
      <c r="C9" s="1875"/>
      <c r="D9" s="1875"/>
      <c r="E9" s="1871"/>
      <c r="F9" s="1872"/>
    </row>
    <row r="10" spans="1:6" ht="15.75" customHeight="1" x14ac:dyDescent="0.25">
      <c r="A10" s="2661" t="s">
        <v>1977</v>
      </c>
      <c r="B10" s="2662"/>
      <c r="C10" s="2662"/>
      <c r="D10" s="2662"/>
      <c r="E10" s="2662"/>
      <c r="F10" s="2663"/>
    </row>
    <row r="11" spans="1:6" ht="33" customHeight="1" x14ac:dyDescent="0.25">
      <c r="A11" s="2658" t="s">
        <v>1982</v>
      </c>
      <c r="B11" s="2659"/>
      <c r="C11" s="2659"/>
      <c r="D11" s="2659"/>
      <c r="E11" s="2659"/>
      <c r="F11" s="2660"/>
    </row>
    <row r="12" spans="1:6" ht="15" customHeight="1" x14ac:dyDescent="0.25">
      <c r="A12" s="1873" t="s">
        <v>1978</v>
      </c>
      <c r="B12" s="1874"/>
      <c r="C12" s="1875"/>
      <c r="D12" s="1875"/>
      <c r="E12" s="1875"/>
      <c r="F12" s="1876"/>
    </row>
    <row r="13" spans="1:6" ht="17.25" customHeight="1" x14ac:dyDescent="0.25">
      <c r="A13" s="2658" t="s">
        <v>1979</v>
      </c>
      <c r="B13" s="2659"/>
      <c r="C13" s="2659"/>
      <c r="D13" s="2659"/>
      <c r="E13" s="2659"/>
      <c r="F13" s="2660"/>
    </row>
    <row r="14" spans="1:6" ht="15" customHeight="1" x14ac:dyDescent="0.25">
      <c r="A14" s="1873" t="s">
        <v>1796</v>
      </c>
      <c r="B14" s="1874"/>
      <c r="C14" s="1875"/>
      <c r="D14" s="1875"/>
      <c r="E14" s="1875"/>
      <c r="F14" s="1876"/>
    </row>
    <row r="15" spans="1:6" ht="32.25" customHeight="1" x14ac:dyDescent="0.25">
      <c r="A15" s="264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650"/>
      <c r="C15" s="2650"/>
      <c r="D15" s="2650"/>
      <c r="E15" s="2650"/>
      <c r="F15" s="2651"/>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7" t="s">
        <v>1795</v>
      </c>
      <c r="C17" s="1881" t="s">
        <v>1793</v>
      </c>
      <c r="D17" s="1882">
        <v>500000</v>
      </c>
      <c r="E17" s="1882" t="str">
        <f>IF(D17&lt;25000,D17,"25,000")</f>
        <v>25,000</v>
      </c>
      <c r="F17" s="1883">
        <f>IF(D17&gt;=25000,(D17-E17),"0")</f>
        <v>475000</v>
      </c>
    </row>
    <row r="18" spans="1:7" x14ac:dyDescent="0.25">
      <c r="A18" s="2311" t="s">
        <v>2226</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hidden="1"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664" t="s">
        <v>1659</v>
      </c>
      <c r="B5" s="2665"/>
      <c r="C5" s="2665"/>
      <c r="D5" s="2665"/>
      <c r="E5" s="2665"/>
      <c r="F5" s="2665"/>
      <c r="G5" s="266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v>169572.53</v>
      </c>
      <c r="F10" s="805"/>
      <c r="G10" s="806"/>
      <c r="H10" s="157"/>
      <c r="I10" s="157"/>
    </row>
    <row r="11" spans="1:13" s="542" customFormat="1" ht="22.5" customHeight="1" x14ac:dyDescent="0.2">
      <c r="A11" s="266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670"/>
      <c r="C11" s="2670"/>
      <c r="D11" s="2671"/>
      <c r="E11" s="1801">
        <v>26596.3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3931427</v>
      </c>
      <c r="F19" s="1802"/>
      <c r="G19" s="1804">
        <f>'Expenditures 15-22'!K33-SUM('Expenditures 15-22'!G33,'Expenditures 15-22'!I33)+'Expenditures 15-22'!D229</f>
        <v>3931427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183490</v>
      </c>
      <c r="F21" s="1805"/>
      <c r="G21" s="1808">
        <f>'Expenditures 15-22'!K42-SUM('Expenditures 15-22'!G42,'Expenditures 15-22'!I42)+'Expenditures 15-22'!K120-SUM('Expenditures 15-22'!G120,'Expenditures 15-22'!I120)+'Expenditures 15-22'!K180-SUM('Expenditures 15-22'!G180,'Expenditures 15-22'!I180)+'Expenditures 15-22'!D238</f>
        <v>183490</v>
      </c>
      <c r="H21" s="817"/>
      <c r="I21" s="157"/>
    </row>
    <row r="22" spans="1:9" s="542" customFormat="1" ht="12" customHeight="1" x14ac:dyDescent="0.2">
      <c r="A22" s="824" t="s">
        <v>560</v>
      </c>
      <c r="B22" s="825"/>
      <c r="C22" s="823">
        <v>2200</v>
      </c>
      <c r="D22" s="1805"/>
      <c r="E22" s="1807">
        <f>'Expenditures 15-22'!K47-SUM('Expenditures 15-22'!G47,'Expenditures 15-22'!I47)+'Expenditures 15-22'!D243</f>
        <v>302285</v>
      </c>
      <c r="F22" s="1805"/>
      <c r="G22" s="1808">
        <f>'Expenditures 15-22'!K47-SUM('Expenditures 15-22'!G47,'Expenditures 15-22'!I47)+'Expenditures 15-22'!D243</f>
        <v>302285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672616</v>
      </c>
      <c r="F23" s="1805"/>
      <c r="G23" s="1807">
        <f>'Expenditures 15-22'!K53-SUM('Expenditures 15-22'!G53,'Expenditures 15-22'!I53)+'Expenditures 15-22'!D257+'Expenditures 15-22'!K330-SUM('Expenditures 15-22'!G330,'Expenditures 15-22'!I330)</f>
        <v>672616</v>
      </c>
      <c r="H23" s="817"/>
      <c r="I23" s="157"/>
    </row>
    <row r="24" spans="1:9" s="542" customFormat="1" ht="12" customHeight="1" x14ac:dyDescent="0.2">
      <c r="A24" s="824" t="s">
        <v>562</v>
      </c>
      <c r="B24" s="825"/>
      <c r="C24" s="823">
        <v>2400</v>
      </c>
      <c r="D24" s="1805"/>
      <c r="E24" s="1807">
        <f>'Expenditures 15-22'!K57-SUM('Expenditures 15-22'!G57,'Expenditures 15-22'!I57)+'Expenditures 15-22'!D261</f>
        <v>543677</v>
      </c>
      <c r="F24" s="1805"/>
      <c r="G24" s="1808">
        <f>'Expenditures 15-22'!K57-SUM('Expenditures 15-22'!G57,'Expenditures 15-22'!I57)+'Expenditures 15-22'!D261</f>
        <v>543677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76436</v>
      </c>
      <c r="E27" s="1807">
        <f>E8</f>
        <v>0</v>
      </c>
      <c r="F27" s="1807">
        <f>'Expenditures 15-22'!K60-SUM('Expenditures 15-22'!G60,'Expenditures 15-22'!I60)+'Expenditures 15-22'!D264-E8</f>
        <v>76436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834296</v>
      </c>
      <c r="F28" s="1809">
        <f>'Expenditures 15-22'!K61-SUM('Expenditures 15-22'!G61,'Expenditures 15-22'!I61)+'Expenditures 15-22'!K124-SUM('Expenditures 15-22'!G124,'Expenditures 15-22'!I124)+'Expenditures 15-22'!D266-E9</f>
        <v>834296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559073</v>
      </c>
      <c r="F29" s="1805"/>
      <c r="G29" s="1808">
        <f>'Expenditures 15-22'!K62-SUM('Expenditures 15-22'!G62,'Expenditures 15-22'!I62)+'Expenditures 15-22'!K125-SUM('Expenditures 15-22'!G125,'Expenditures 15-22'!I125)+'Expenditures 15-22'!K182-SUM('Expenditures 15-22'!G182,'Expenditures 15-22'!I182)+'Expenditures 15-22'!D267</f>
        <v>559073</v>
      </c>
      <c r="H29" s="815"/>
    </row>
    <row r="30" spans="1:9" ht="12" customHeight="1" x14ac:dyDescent="0.2">
      <c r="A30" s="824" t="s">
        <v>100</v>
      </c>
      <c r="B30" s="827"/>
      <c r="C30" s="823">
        <v>2560</v>
      </c>
      <c r="D30" s="1805"/>
      <c r="E30" s="1807">
        <f>'Expenditures 15-22'!K63-SUM('Expenditures 15-22'!G63,'Expenditures 15-22'!I63)+'Expenditures 15-22'!D268-E10</f>
        <v>291636.46999999997</v>
      </c>
      <c r="F30" s="1805"/>
      <c r="G30" s="1807">
        <f>'Expenditures 15-22'!K63-SUM('Expenditures 15-22'!G63,'Expenditures 15-22'!I63)+'Expenditures 15-22'!D268-E10</f>
        <v>291636.46999999997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2540</v>
      </c>
      <c r="E37" s="1807">
        <f>E14</f>
        <v>0</v>
      </c>
      <c r="F37" s="1807">
        <f>'Expenditures 15-22'!K71-SUM('Expenditures 15-22'!G71,'Expenditures 15-22'!I71)+'Expenditures 15-22'!D276-E14</f>
        <v>2540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463435</v>
      </c>
      <c r="F39" s="1805"/>
      <c r="G39" s="1807">
        <f>'Expenditures 15-22'!K75-SUM('Expenditures 15-22'!G75,'Expenditures 15-22'!I75)+'Expenditures 15-22'!K130-SUM('Expenditures 15-22'!G130,'Expenditures 15-22'!I130)+'Expenditures 15-22'!K185-SUM('Expenditures 15-22'!G185,'Expenditures 15-22'!I185)+'Expenditures 15-22'!D280</f>
        <v>463435</v>
      </c>
    </row>
    <row r="40" spans="1:7" ht="12" customHeight="1" x14ac:dyDescent="0.2">
      <c r="A40" s="820" t="s">
        <v>1794</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78976</v>
      </c>
      <c r="E41" s="1809">
        <f>SUM(E19:E40)</f>
        <v>7781935.4699999997</v>
      </c>
      <c r="F41" s="1809">
        <f>SUM(F19:F39)</f>
        <v>913272</v>
      </c>
      <c r="G41" s="1809">
        <f>SUM(G19:G40)</f>
        <v>6947639.4699999997</v>
      </c>
    </row>
    <row r="42" spans="1:7" x14ac:dyDescent="0.2">
      <c r="A42" s="817"/>
      <c r="B42" s="157"/>
      <c r="C42" s="831"/>
      <c r="D42" s="2667" t="s">
        <v>519</v>
      </c>
      <c r="E42" s="2668"/>
      <c r="F42" s="832" t="s">
        <v>520</v>
      </c>
      <c r="G42" s="833"/>
    </row>
    <row r="43" spans="1:7" ht="12" customHeight="1" x14ac:dyDescent="0.2">
      <c r="A43" s="817"/>
      <c r="B43" s="157"/>
      <c r="C43" s="831"/>
      <c r="D43" s="1458" t="s">
        <v>470</v>
      </c>
      <c r="E43" s="1810">
        <f>D41</f>
        <v>78976</v>
      </c>
      <c r="F43" s="1458" t="s">
        <v>470</v>
      </c>
      <c r="G43" s="1810">
        <f>F41</f>
        <v>913272</v>
      </c>
    </row>
    <row r="44" spans="1:7" ht="12" customHeight="1" x14ac:dyDescent="0.2">
      <c r="A44" s="817"/>
      <c r="B44" s="157"/>
      <c r="C44" s="831"/>
      <c r="D44" s="1458" t="s">
        <v>471</v>
      </c>
      <c r="E44" s="1810">
        <f>E41</f>
        <v>7781935.4699999997</v>
      </c>
      <c r="F44" s="1458" t="s">
        <v>471</v>
      </c>
      <c r="G44" s="1810">
        <f>G41</f>
        <v>6947639.4699999997</v>
      </c>
    </row>
    <row r="45" spans="1:7" ht="12" customHeight="1" x14ac:dyDescent="0.2">
      <c r="A45" s="817"/>
      <c r="B45" s="157"/>
      <c r="C45" s="157"/>
      <c r="D45" s="1459" t="s">
        <v>999</v>
      </c>
      <c r="E45" s="1811">
        <f>(E43/E44)</f>
        <v>1.0148632085739977E-2</v>
      </c>
      <c r="F45" s="1459" t="s">
        <v>999</v>
      </c>
      <c r="G45" s="1811">
        <f>(G43/G44)</f>
        <v>0.13145068968295212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675" t="s">
        <v>1363</v>
      </c>
      <c r="B1" s="2675"/>
      <c r="C1" s="2675"/>
      <c r="D1" s="2675"/>
      <c r="E1" s="2675"/>
      <c r="F1" s="2675"/>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676" t="s">
        <v>1529</v>
      </c>
      <c r="B5" s="2677"/>
      <c r="C5" s="2678"/>
      <c r="D5" s="2678"/>
      <c r="E5" s="2678"/>
      <c r="F5" s="2678"/>
      <c r="G5" s="1507"/>
      <c r="L5" s="1507"/>
      <c r="M5" s="1855"/>
      <c r="N5" s="1855"/>
      <c r="O5" s="1855"/>
    </row>
    <row r="6" spans="1:15" ht="12" customHeight="1" x14ac:dyDescent="0.25">
      <c r="A6" s="1480"/>
      <c r="B6" s="1481"/>
      <c r="C6" s="2679" t="str">
        <f>COVER!A17</f>
        <v xml:space="preserve">   Peoria Heights CUSD 325</v>
      </c>
      <c r="D6" s="2679"/>
      <c r="E6" s="2679"/>
      <c r="F6" s="1482"/>
      <c r="G6" s="1507"/>
      <c r="L6" s="1507"/>
      <c r="M6" s="1855"/>
      <c r="N6" s="1855"/>
      <c r="O6" s="1855"/>
    </row>
    <row r="7" spans="1:15" ht="11.25" customHeight="1" thickBot="1" x14ac:dyDescent="0.3">
      <c r="A7" s="1480"/>
      <c r="B7" s="1481"/>
      <c r="C7" s="2680">
        <f>COVER!A13</f>
        <v>48072325026</v>
      </c>
      <c r="D7" s="2680"/>
      <c r="E7" s="2680"/>
      <c r="F7" s="1482"/>
      <c r="G7" s="1507"/>
      <c r="L7" s="1507"/>
      <c r="M7" s="1855"/>
      <c r="N7" s="1855"/>
      <c r="O7" s="1855"/>
    </row>
    <row r="8" spans="1:15" ht="25.5" customHeight="1" thickBot="1" x14ac:dyDescent="0.25">
      <c r="A8" s="1519" t="s">
        <v>1870</v>
      </c>
      <c r="B8" s="1483"/>
      <c r="C8" s="1515" t="s">
        <v>1661</v>
      </c>
      <c r="D8" s="1514" t="s">
        <v>1662</v>
      </c>
      <c r="E8" s="1516" t="s">
        <v>1364</v>
      </c>
      <c r="F8" s="1514" t="s">
        <v>1663</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1660</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2056</v>
      </c>
      <c r="D13" s="1495" t="s">
        <v>2056</v>
      </c>
      <c r="E13" s="1498"/>
      <c r="F13" s="1497" t="s">
        <v>2057</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2056</v>
      </c>
      <c r="D15" s="1495" t="s">
        <v>2056</v>
      </c>
      <c r="E15" s="1498"/>
      <c r="F15" s="1497" t="s">
        <v>2058</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2056</v>
      </c>
      <c r="D16" s="1495" t="s">
        <v>2056</v>
      </c>
      <c r="E16" s="1498"/>
      <c r="F16" s="1497" t="s">
        <v>2059</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2056</v>
      </c>
      <c r="D26" s="1495" t="s">
        <v>2056</v>
      </c>
      <c r="E26" s="1498"/>
      <c r="F26" s="1497" t="s">
        <v>2060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2056</v>
      </c>
      <c r="D31" s="1495" t="s">
        <v>2056</v>
      </c>
      <c r="E31" s="1498"/>
      <c r="F31" s="1497" t="s">
        <v>2061</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681"/>
      <c r="D35" s="2681"/>
      <c r="E35" s="2681"/>
      <c r="F35" s="2682"/>
    </row>
    <row r="36" spans="1:15" ht="12" customHeight="1" x14ac:dyDescent="0.2">
      <c r="A36" s="2672"/>
      <c r="B36" s="2673"/>
      <c r="C36" s="2673"/>
      <c r="D36" s="2673"/>
      <c r="E36" s="2673"/>
      <c r="F36" s="2674"/>
    </row>
    <row r="37" spans="1:15" ht="12" customHeight="1" x14ac:dyDescent="0.2">
      <c r="A37" s="2672"/>
      <c r="B37" s="2673"/>
      <c r="C37" s="2673"/>
      <c r="D37" s="2673"/>
      <c r="E37" s="2673"/>
      <c r="F37" s="2674"/>
    </row>
    <row r="38" spans="1:15" ht="12" customHeight="1" x14ac:dyDescent="0.2">
      <c r="A38" s="2686"/>
      <c r="B38" s="2687"/>
      <c r="C38" s="2687"/>
      <c r="D38" s="2687"/>
      <c r="E38" s="2687"/>
      <c r="F38" s="2688"/>
    </row>
    <row r="39" spans="1:15" ht="4.5" hidden="1" customHeight="1" x14ac:dyDescent="0.2">
      <c r="A39" s="1502"/>
      <c r="B39" s="1502"/>
      <c r="C39" s="1502"/>
      <c r="D39" s="1502"/>
      <c r="E39" s="1502"/>
      <c r="F39" s="1502"/>
    </row>
    <row r="40" spans="1:15" s="1499" customFormat="1" ht="12" customHeight="1" x14ac:dyDescent="0.25">
      <c r="A40" s="1503" t="s">
        <v>1375</v>
      </c>
      <c r="B40" s="1504"/>
      <c r="C40" s="2689"/>
      <c r="D40" s="2689"/>
      <c r="E40" s="2689"/>
      <c r="F40" s="2690"/>
      <c r="H40" s="1508"/>
      <c r="I40" s="1508"/>
      <c r="J40" s="1508"/>
      <c r="K40" s="1508"/>
    </row>
    <row r="41" spans="1:15" s="1499" customFormat="1" ht="12" customHeight="1" x14ac:dyDescent="0.25">
      <c r="A41" s="2691"/>
      <c r="B41" s="2692"/>
      <c r="C41" s="2692"/>
      <c r="D41" s="2692"/>
      <c r="E41" s="2692"/>
      <c r="F41" s="2693"/>
      <c r="H41" s="1508"/>
      <c r="I41" s="1508"/>
      <c r="J41" s="1508"/>
      <c r="K41" s="1508"/>
    </row>
    <row r="42" spans="1:15" s="1499" customFormat="1" ht="12" customHeight="1" x14ac:dyDescent="0.25">
      <c r="A42" s="2691"/>
      <c r="B42" s="2692"/>
      <c r="C42" s="2692"/>
      <c r="D42" s="2692"/>
      <c r="E42" s="2692"/>
      <c r="F42" s="2693"/>
      <c r="H42" s="1508"/>
      <c r="I42" s="1508"/>
      <c r="J42" s="1508"/>
      <c r="K42" s="1508"/>
    </row>
    <row r="43" spans="1:15" s="1499" customFormat="1" ht="15" x14ac:dyDescent="0.25">
      <c r="A43" s="2683"/>
      <c r="B43" s="2684"/>
      <c r="C43" s="2684"/>
      <c r="D43" s="2684"/>
      <c r="E43" s="2684"/>
      <c r="F43" s="2685"/>
      <c r="H43" s="1508"/>
      <c r="I43" s="1508"/>
      <c r="J43" s="1508"/>
      <c r="K43" s="1508"/>
    </row>
    <row r="44" spans="1:15" s="1499" customFormat="1" ht="12" hidden="1" customHeight="1" x14ac:dyDescent="0.25">
      <c r="A44" s="2683"/>
      <c r="B44" s="2684"/>
      <c r="C44" s="2684"/>
      <c r="D44" s="2684"/>
      <c r="E44" s="2684"/>
      <c r="F44" s="268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3"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1998</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695" t="str">
        <f>COVER!A17</f>
        <v xml:space="preserve">   Peoria Heights CUSD 325</v>
      </c>
      <c r="K6" s="2695"/>
      <c r="L6" s="2696"/>
      <c r="M6" s="838"/>
      <c r="N6" s="1999"/>
    </row>
    <row r="7" spans="1:14" x14ac:dyDescent="0.2">
      <c r="A7" s="2697" t="s">
        <v>864</v>
      </c>
      <c r="B7" s="2698"/>
      <c r="C7" s="2698"/>
      <c r="D7" s="2698"/>
      <c r="E7" s="2699"/>
      <c r="F7" s="839"/>
      <c r="G7" s="838"/>
      <c r="H7" s="838"/>
      <c r="I7" s="1925" t="s">
        <v>369</v>
      </c>
      <c r="J7" s="2700">
        <f>COVER!A13</f>
        <v>48072325026</v>
      </c>
      <c r="K7" s="2700"/>
      <c r="L7" s="2700"/>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2014</v>
      </c>
      <c r="F9" s="1857"/>
      <c r="G9" s="1857"/>
      <c r="H9" s="1857"/>
      <c r="I9" s="1930" t="s">
        <v>2015</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701" t="s">
        <v>478</v>
      </c>
      <c r="B11" s="2702"/>
      <c r="C11" s="2703"/>
      <c r="D11" s="1938" t="s">
        <v>866</v>
      </c>
      <c r="E11" s="1938" t="s">
        <v>64</v>
      </c>
      <c r="F11" s="1938" t="s">
        <v>6</v>
      </c>
      <c r="G11" s="1939" t="s">
        <v>2016</v>
      </c>
      <c r="H11" s="1940" t="s">
        <v>155</v>
      </c>
      <c r="I11" s="1938" t="s">
        <v>64</v>
      </c>
      <c r="J11" s="1938" t="s">
        <v>6</v>
      </c>
      <c r="K11" s="1939" t="s">
        <v>1997</v>
      </c>
      <c r="L11" s="1940" t="s">
        <v>155</v>
      </c>
      <c r="M11" s="838"/>
      <c r="N11" s="1999"/>
    </row>
    <row r="12" spans="1:14" x14ac:dyDescent="0.2">
      <c r="A12" s="2004">
        <v>1</v>
      </c>
      <c r="B12" s="1941" t="s">
        <v>813</v>
      </c>
      <c r="C12" s="842"/>
      <c r="D12" s="1942">
        <v>2320</v>
      </c>
      <c r="E12" s="1945">
        <f>'Expenditures 15-22'!K50</f>
        <v>437657</v>
      </c>
      <c r="F12" s="1943"/>
      <c r="G12" s="1969">
        <f>G68</f>
        <v>0</v>
      </c>
      <c r="H12" s="1945">
        <f t="shared" ref="H12:H18" si="0">SUM(E12:G12)</f>
        <v>437657</v>
      </c>
      <c r="I12" s="1944">
        <v>266500</v>
      </c>
      <c r="J12" s="1943"/>
      <c r="K12" s="1944"/>
      <c r="L12" s="1945">
        <f t="shared" ref="L12:L18" si="1">SUM(I12:K12)</f>
        <v>266500</v>
      </c>
      <c r="M12" s="838"/>
      <c r="N12" s="1999"/>
    </row>
    <row r="13" spans="1:14" x14ac:dyDescent="0.2">
      <c r="A13" s="2004">
        <v>2</v>
      </c>
      <c r="B13" s="1941" t="s">
        <v>42</v>
      </c>
      <c r="C13" s="842"/>
      <c r="D13" s="1942">
        <v>2330</v>
      </c>
      <c r="E13" s="1945">
        <f>'Expenditures 15-22'!K51</f>
        <v>18216</v>
      </c>
      <c r="F13" s="1943"/>
      <c r="G13" s="1969">
        <f>H68</f>
        <v>0</v>
      </c>
      <c r="H13" s="1945">
        <f t="shared" si="0"/>
        <v>18216</v>
      </c>
      <c r="I13" s="1944">
        <v>6200</v>
      </c>
      <c r="J13" s="1943"/>
      <c r="K13" s="1944"/>
      <c r="L13" s="1945">
        <f t="shared" si="1"/>
        <v>6200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704" t="s">
        <v>7</v>
      </c>
      <c r="C18" s="2705"/>
      <c r="D18" s="2706"/>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455873</v>
      </c>
      <c r="F19" s="1951">
        <f t="shared" si="2"/>
        <v>0</v>
      </c>
      <c r="G19" s="1951">
        <f t="shared" ref="G19" si="3">SUM(G12:G17)-G18</f>
        <v>0</v>
      </c>
      <c r="H19" s="1951">
        <f t="shared" si="2"/>
        <v>455873</v>
      </c>
      <c r="I19" s="1951">
        <f t="shared" si="2"/>
        <v>272700</v>
      </c>
      <c r="J19" s="1951">
        <f t="shared" si="2"/>
        <v>0</v>
      </c>
      <c r="K19" s="1951">
        <f t="shared" si="2"/>
        <v>0</v>
      </c>
      <c r="L19" s="1951">
        <f t="shared" si="2"/>
        <v>272700</v>
      </c>
      <c r="M19" s="838"/>
      <c r="N19" s="1999"/>
    </row>
    <row r="20" spans="1:14" ht="13.5" thickTop="1" x14ac:dyDescent="0.2">
      <c r="A20" s="2004">
        <v>9</v>
      </c>
      <c r="B20" s="2707" t="s">
        <v>2017</v>
      </c>
      <c r="C20" s="2707"/>
      <c r="D20" s="2708"/>
      <c r="E20" s="1952"/>
      <c r="F20" s="1952"/>
      <c r="G20" s="1952"/>
      <c r="H20" s="1952"/>
      <c r="I20" s="1952"/>
      <c r="J20" s="1952"/>
      <c r="K20" s="1952"/>
      <c r="L20" s="1953">
        <f>IF(AND(H19&gt;0,L19&gt;0),(((L19-H19)/H19)),"Enter Budget Data")</f>
        <v>-0.40180708223562261</v>
      </c>
      <c r="M20" s="838"/>
      <c r="N20" s="1999"/>
    </row>
    <row r="21" spans="1:14" x14ac:dyDescent="0.2">
      <c r="A21" s="2006" t="s">
        <v>194</v>
      </c>
      <c r="B21" s="2007" t="s">
        <v>2042</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2018</v>
      </c>
      <c r="B24" s="2011"/>
      <c r="C24" s="2012"/>
      <c r="D24" s="2012"/>
      <c r="E24" s="2012"/>
      <c r="F24" s="2012"/>
      <c r="G24" s="2012"/>
      <c r="H24" s="2012"/>
      <c r="I24" s="2012"/>
      <c r="J24" s="2012"/>
      <c r="K24" s="2012"/>
      <c r="L24" s="838"/>
      <c r="M24" s="838"/>
      <c r="N24" s="1999"/>
    </row>
    <row r="25" spans="1:14" x14ac:dyDescent="0.2">
      <c r="A25" s="2010" t="s">
        <v>2019</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709"/>
      <c r="D27" s="2709"/>
      <c r="E27" s="843"/>
      <c r="F27" s="2710"/>
      <c r="G27" s="2710"/>
      <c r="H27" s="2710"/>
      <c r="I27" s="838"/>
      <c r="J27" s="838"/>
      <c r="K27" s="838"/>
      <c r="L27" s="838"/>
      <c r="M27" s="838"/>
      <c r="N27" s="1999"/>
    </row>
    <row r="28" spans="1:14" x14ac:dyDescent="0.2">
      <c r="A28" s="1998"/>
      <c r="B28" s="2008"/>
      <c r="C28" s="1958" t="s">
        <v>1026</v>
      </c>
      <c r="D28" s="844"/>
      <c r="E28" s="1959"/>
      <c r="F28" s="2711" t="s">
        <v>1492</v>
      </c>
      <c r="G28" s="2711"/>
      <c r="H28" s="2711"/>
      <c r="I28" s="838"/>
      <c r="J28" s="838"/>
      <c r="K28" s="838"/>
      <c r="L28" s="838"/>
      <c r="M28" s="838"/>
      <c r="N28" s="1999"/>
    </row>
    <row r="29" spans="1:14" x14ac:dyDescent="0.2">
      <c r="A29" s="1998"/>
      <c r="B29" s="2008"/>
      <c r="C29" s="2712"/>
      <c r="D29" s="2712"/>
      <c r="E29" s="845"/>
      <c r="F29" s="2712"/>
      <c r="G29" s="2712"/>
      <c r="H29" s="2712"/>
      <c r="I29" s="838"/>
      <c r="J29" s="838"/>
      <c r="K29" s="838"/>
      <c r="L29" s="838"/>
      <c r="M29" s="838"/>
      <c r="N29" s="1999"/>
    </row>
    <row r="30" spans="1:14" x14ac:dyDescent="0.2">
      <c r="A30" s="1998"/>
      <c r="B30" s="2008"/>
      <c r="C30" s="1961" t="s">
        <v>1543</v>
      </c>
      <c r="D30" s="838"/>
      <c r="E30" s="1960"/>
      <c r="F30" s="2694" t="s">
        <v>1493</v>
      </c>
      <c r="G30" s="2694"/>
      <c r="H30" s="2694"/>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715" t="s">
        <v>2020</v>
      </c>
      <c r="D34" s="2716"/>
      <c r="E34" s="2716"/>
      <c r="F34" s="2716"/>
      <c r="G34" s="2716"/>
      <c r="H34" s="2716"/>
      <c r="I34" s="2716"/>
      <c r="J34" s="2716"/>
      <c r="K34" s="2017"/>
      <c r="L34" s="838"/>
      <c r="M34" s="838"/>
      <c r="N34" s="1999"/>
    </row>
    <row r="35" spans="1:14" x14ac:dyDescent="0.2">
      <c r="A35" s="1998"/>
      <c r="B35" s="838"/>
      <c r="C35" s="2716"/>
      <c r="D35" s="2716"/>
      <c r="E35" s="2716"/>
      <c r="F35" s="2716"/>
      <c r="G35" s="2716"/>
      <c r="H35" s="2716"/>
      <c r="I35" s="2716"/>
      <c r="J35" s="2716"/>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715" t="s">
        <v>2021</v>
      </c>
      <c r="D37" s="2716"/>
      <c r="E37" s="2716"/>
      <c r="F37" s="2716"/>
      <c r="G37" s="2716"/>
      <c r="H37" s="2716"/>
      <c r="I37" s="2716"/>
      <c r="J37" s="2716"/>
      <c r="K37" s="2017"/>
      <c r="L37" s="2019"/>
      <c r="M37" s="838"/>
      <c r="N37" s="1999"/>
    </row>
    <row r="38" spans="1:14" x14ac:dyDescent="0.2">
      <c r="A38" s="1998"/>
      <c r="B38" s="838"/>
      <c r="C38" s="2716"/>
      <c r="D38" s="2716"/>
      <c r="E38" s="2716"/>
      <c r="F38" s="2716"/>
      <c r="G38" s="2716"/>
      <c r="H38" s="2716"/>
      <c r="I38" s="2716"/>
      <c r="J38" s="2716"/>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717" t="s">
        <v>2022</v>
      </c>
      <c r="D40" s="2718"/>
      <c r="E40" s="2718"/>
      <c r="F40" s="2718"/>
      <c r="G40" s="2718"/>
      <c r="H40" s="2718"/>
      <c r="I40" s="2718"/>
      <c r="J40" s="2718"/>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719" t="s">
        <v>2023</v>
      </c>
      <c r="B43" s="2720"/>
      <c r="C43" s="2720"/>
      <c r="D43" s="2720"/>
      <c r="E43" s="2720"/>
      <c r="F43" s="2720"/>
      <c r="G43" s="2720"/>
      <c r="H43" s="2720"/>
      <c r="I43" s="2720"/>
      <c r="J43" s="2720"/>
      <c r="K43" s="2720"/>
      <c r="L43" s="2720"/>
      <c r="M43" s="2720"/>
      <c r="N43" s="2721"/>
    </row>
    <row r="44" spans="1:14" x14ac:dyDescent="0.2">
      <c r="A44" s="1983"/>
      <c r="B44" s="1984"/>
      <c r="C44" s="1984"/>
      <c r="D44" s="1984"/>
      <c r="E44" s="1984"/>
      <c r="F44" s="1984"/>
      <c r="G44" s="1984"/>
      <c r="H44" s="1984"/>
      <c r="I44" s="1984"/>
      <c r="J44" s="1984"/>
      <c r="K44" s="1984"/>
      <c r="L44" s="1984"/>
      <c r="M44" s="1984"/>
      <c r="N44" s="1985"/>
    </row>
    <row r="45" spans="1:14" x14ac:dyDescent="0.2">
      <c r="A45" s="1983" t="s">
        <v>2024</v>
      </c>
      <c r="B45" s="1984"/>
      <c r="C45" s="1984"/>
      <c r="D45" s="1984"/>
      <c r="E45" s="1984"/>
      <c r="F45" s="1984"/>
      <c r="G45" s="1984"/>
      <c r="H45" s="1984"/>
      <c r="I45" s="1984"/>
      <c r="J45" s="1984"/>
      <c r="K45" s="1984"/>
      <c r="L45" s="1984"/>
      <c r="M45" s="1984"/>
      <c r="N45" s="1985"/>
    </row>
    <row r="46" spans="1:14" x14ac:dyDescent="0.2">
      <c r="A46" s="2722" t="s">
        <v>2025</v>
      </c>
      <c r="B46" s="2723"/>
      <c r="C46" s="2723"/>
      <c r="D46" s="2723"/>
      <c r="E46" s="2723"/>
      <c r="F46" s="2723"/>
      <c r="G46" s="2723"/>
      <c r="H46" s="2723"/>
      <c r="I46" s="2723"/>
      <c r="J46" s="2723"/>
      <c r="K46" s="2723"/>
      <c r="L46" s="2723"/>
      <c r="M46" s="2723"/>
      <c r="N46" s="2724"/>
    </row>
    <row r="47" spans="1:14" x14ac:dyDescent="0.2">
      <c r="A47" s="2722"/>
      <c r="B47" s="2723"/>
      <c r="C47" s="2723"/>
      <c r="D47" s="2723"/>
      <c r="E47" s="2723"/>
      <c r="F47" s="2723"/>
      <c r="G47" s="2723"/>
      <c r="H47" s="2723"/>
      <c r="I47" s="2723"/>
      <c r="J47" s="2723"/>
      <c r="K47" s="2723"/>
      <c r="L47" s="2723"/>
      <c r="M47" s="2723"/>
      <c r="N47" s="2724"/>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2041</v>
      </c>
      <c r="B49" s="2025"/>
      <c r="C49" s="2025"/>
      <c r="D49" s="2026"/>
      <c r="E49" s="2026"/>
      <c r="F49" s="2026"/>
      <c r="G49" s="2026"/>
      <c r="H49" s="2026"/>
      <c r="I49" s="2026"/>
      <c r="J49" s="2026"/>
      <c r="K49" s="2026"/>
      <c r="L49" s="2026"/>
      <c r="M49" s="2026"/>
      <c r="N49" s="2027"/>
    </row>
    <row r="50" spans="1:14" ht="15" x14ac:dyDescent="0.25">
      <c r="A50" s="2029" t="s">
        <v>2040</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695" t="str">
        <f>J6</f>
        <v xml:space="preserve">   Peoria Heights CUSD 325</v>
      </c>
      <c r="M52" s="2695"/>
      <c r="N52" s="2725"/>
    </row>
    <row r="53" spans="1:14" x14ac:dyDescent="0.2">
      <c r="A53" s="1983"/>
      <c r="B53" s="1984"/>
      <c r="C53" s="1984"/>
      <c r="D53" s="1984"/>
      <c r="E53" s="1984"/>
      <c r="F53" s="1984"/>
      <c r="G53" s="1984"/>
      <c r="H53" s="1984"/>
      <c r="I53" s="1984"/>
      <c r="J53" s="1984"/>
      <c r="K53" s="1925" t="s">
        <v>369</v>
      </c>
      <c r="L53" s="2700">
        <f>J7</f>
        <v>48072325026</v>
      </c>
      <c r="M53" s="2700"/>
      <c r="N53" s="2726"/>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727"/>
      <c r="B55" s="2728"/>
      <c r="C55" s="2728"/>
      <c r="D55" s="1971"/>
      <c r="E55" s="1971"/>
      <c r="F55" s="1971"/>
      <c r="G55" s="2729" t="s">
        <v>2026</v>
      </c>
      <c r="H55" s="2729"/>
      <c r="I55" s="2729"/>
      <c r="J55" s="2729"/>
      <c r="K55" s="2729"/>
      <c r="L55" s="2729"/>
      <c r="M55" s="2729"/>
      <c r="N55" s="2730"/>
    </row>
    <row r="56" spans="1:14" ht="63.75" x14ac:dyDescent="0.2">
      <c r="A56" s="2731" t="s">
        <v>2027</v>
      </c>
      <c r="B56" s="2732"/>
      <c r="C56" s="2733"/>
      <c r="D56" s="1965" t="s">
        <v>2028</v>
      </c>
      <c r="E56" s="1965" t="s">
        <v>2029</v>
      </c>
      <c r="F56" s="1972"/>
      <c r="G56" s="1965" t="s">
        <v>2030</v>
      </c>
      <c r="H56" s="1965" t="s">
        <v>2031</v>
      </c>
      <c r="I56" s="1965" t="s">
        <v>2032</v>
      </c>
      <c r="J56" s="1965" t="s">
        <v>2033</v>
      </c>
      <c r="K56" s="1965" t="s">
        <v>2034</v>
      </c>
      <c r="L56" s="1965" t="s">
        <v>2035</v>
      </c>
      <c r="M56" s="1965" t="s">
        <v>2036</v>
      </c>
      <c r="N56" s="1966" t="s">
        <v>2043</v>
      </c>
    </row>
    <row r="57" spans="1:14" ht="24.75" customHeight="1" x14ac:dyDescent="0.2">
      <c r="A57" s="2734" t="s">
        <v>296</v>
      </c>
      <c r="B57" s="2735"/>
      <c r="C57" s="2735"/>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713" t="s">
        <v>2037</v>
      </c>
      <c r="B58" s="2714"/>
      <c r="C58" s="2714"/>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736" t="s">
        <v>297</v>
      </c>
      <c r="B59" s="2737"/>
      <c r="C59" s="2737"/>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736" t="s">
        <v>236</v>
      </c>
      <c r="B60" s="2737"/>
      <c r="C60" s="2737"/>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736" t="s">
        <v>697</v>
      </c>
      <c r="B61" s="2737"/>
      <c r="C61" s="2737"/>
      <c r="D61" s="1968">
        <v>2365</v>
      </c>
      <c r="E61" s="1978">
        <f>'Expenditures 15-22'!K323</f>
        <v>0</v>
      </c>
      <c r="F61" s="1973"/>
      <c r="G61" s="2032"/>
      <c r="H61" s="2033"/>
      <c r="I61" s="2033"/>
      <c r="J61" s="2033"/>
      <c r="K61" s="2033"/>
      <c r="L61" s="2033"/>
      <c r="M61" s="2033"/>
      <c r="N61" s="1976">
        <f t="shared" si="4"/>
        <v>0</v>
      </c>
    </row>
    <row r="62" spans="1:14" ht="24" customHeight="1" x14ac:dyDescent="0.2">
      <c r="A62" s="2736" t="s">
        <v>237</v>
      </c>
      <c r="B62" s="2737"/>
      <c r="C62" s="2737"/>
      <c r="D62" s="1968">
        <v>2366</v>
      </c>
      <c r="E62" s="1978">
        <f>'Expenditures 15-22'!K324</f>
        <v>0</v>
      </c>
      <c r="F62" s="1973"/>
      <c r="G62" s="2032"/>
      <c r="H62" s="2033"/>
      <c r="I62" s="2033"/>
      <c r="J62" s="2033"/>
      <c r="K62" s="2033"/>
      <c r="L62" s="2033"/>
      <c r="M62" s="2033"/>
      <c r="N62" s="1976">
        <f t="shared" si="4"/>
        <v>0</v>
      </c>
    </row>
    <row r="63" spans="1:14" ht="24" customHeight="1" x14ac:dyDescent="0.2">
      <c r="A63" s="2713" t="s">
        <v>1022</v>
      </c>
      <c r="B63" s="2714"/>
      <c r="C63" s="2714"/>
      <c r="D63" s="1968">
        <v>2367</v>
      </c>
      <c r="E63" s="1978">
        <f>'Expenditures 15-22'!K325</f>
        <v>0</v>
      </c>
      <c r="F63" s="1973"/>
      <c r="G63" s="2032"/>
      <c r="H63" s="2033"/>
      <c r="I63" s="2033"/>
      <c r="J63" s="2033"/>
      <c r="K63" s="2033"/>
      <c r="L63" s="2033"/>
      <c r="M63" s="2033"/>
      <c r="N63" s="1976">
        <f t="shared" si="4"/>
        <v>0</v>
      </c>
    </row>
    <row r="64" spans="1:14" ht="24" customHeight="1" x14ac:dyDescent="0.2">
      <c r="A64" s="2736" t="s">
        <v>1023</v>
      </c>
      <c r="B64" s="2737"/>
      <c r="C64" s="2737"/>
      <c r="D64" s="1968">
        <v>2368</v>
      </c>
      <c r="E64" s="1978">
        <f>'Expenditures 15-22'!K326</f>
        <v>0</v>
      </c>
      <c r="F64" s="1973"/>
      <c r="G64" s="2032"/>
      <c r="H64" s="2033"/>
      <c r="I64" s="2033"/>
      <c r="J64" s="2033"/>
      <c r="K64" s="2033"/>
      <c r="L64" s="2033"/>
      <c r="M64" s="2033"/>
      <c r="N64" s="1976">
        <f t="shared" si="4"/>
        <v>0</v>
      </c>
    </row>
    <row r="65" spans="1:14" ht="24" customHeight="1" x14ac:dyDescent="0.2">
      <c r="A65" s="2736" t="s">
        <v>965</v>
      </c>
      <c r="B65" s="2737"/>
      <c r="C65" s="2737"/>
      <c r="D65" s="1968">
        <v>2369</v>
      </c>
      <c r="E65" s="1978">
        <f>'Expenditures 15-22'!K327</f>
        <v>0</v>
      </c>
      <c r="F65" s="1973"/>
      <c r="G65" s="2032"/>
      <c r="H65" s="2033"/>
      <c r="I65" s="2033"/>
      <c r="J65" s="2033"/>
      <c r="K65" s="2033"/>
      <c r="L65" s="2033"/>
      <c r="M65" s="2033"/>
      <c r="N65" s="1976">
        <f t="shared" si="4"/>
        <v>0</v>
      </c>
    </row>
    <row r="66" spans="1:14" ht="24" customHeight="1" x14ac:dyDescent="0.2">
      <c r="A66" s="2736" t="s">
        <v>469</v>
      </c>
      <c r="B66" s="2737"/>
      <c r="C66" s="2737"/>
      <c r="D66" s="1968">
        <v>2371</v>
      </c>
      <c r="E66" s="1978">
        <f>'Expenditures 15-22'!K328</f>
        <v>0</v>
      </c>
      <c r="F66" s="1973"/>
      <c r="G66" s="2032"/>
      <c r="H66" s="2033"/>
      <c r="I66" s="2033"/>
      <c r="J66" s="2033"/>
      <c r="K66" s="2033"/>
      <c r="L66" s="2033"/>
      <c r="M66" s="2033"/>
      <c r="N66" s="1976">
        <f t="shared" si="4"/>
        <v>0</v>
      </c>
    </row>
    <row r="67" spans="1:14" ht="24.75" customHeight="1" x14ac:dyDescent="0.2">
      <c r="A67" s="2738" t="s">
        <v>2038</v>
      </c>
      <c r="B67" s="2739"/>
      <c r="C67" s="2739"/>
      <c r="D67" s="1970">
        <v>2372</v>
      </c>
      <c r="E67" s="1979">
        <f>'Expenditures 15-22'!K329</f>
        <v>0</v>
      </c>
      <c r="F67" s="1973"/>
      <c r="G67" s="2034"/>
      <c r="H67" s="2035"/>
      <c r="I67" s="2035"/>
      <c r="J67" s="2035"/>
      <c r="K67" s="2035"/>
      <c r="L67" s="2035"/>
      <c r="M67" s="2035"/>
      <c r="N67" s="1976">
        <f t="shared" si="4"/>
        <v>0</v>
      </c>
    </row>
    <row r="68" spans="1:14" x14ac:dyDescent="0.2">
      <c r="A68" s="2740" t="s">
        <v>1151</v>
      </c>
      <c r="B68" s="2741"/>
      <c r="C68" s="2741"/>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2039</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2268</v>
      </c>
    </row>
    <row r="6" spans="1:2" x14ac:dyDescent="0.2">
      <c r="A6" s="847">
        <v>2</v>
      </c>
      <c r="B6" s="307" t="s">
        <v>2269</v>
      </c>
    </row>
    <row r="7" spans="1:2" x14ac:dyDescent="0.2">
      <c r="A7" s="847">
        <v>3</v>
      </c>
      <c r="B7" s="307" t="s">
        <v>2270</v>
      </c>
    </row>
    <row r="8" spans="1:2" x14ac:dyDescent="0.2">
      <c r="A8" s="847"/>
      <c r="B8" s="307" t="s">
        <v>2271</v>
      </c>
    </row>
    <row r="9" spans="1:2" x14ac:dyDescent="0.2">
      <c r="A9" s="848"/>
      <c r="B9" s="307" t="s">
        <v>2272</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Peoria Heights CUSD 325</v>
      </c>
    </row>
    <row r="65" spans="2:2" x14ac:dyDescent="0.2">
      <c r="B65" s="849">
        <f>COVER!A13</f>
        <v>48072325026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1592</v>
      </c>
    </row>
    <row r="22" spans="1:5" x14ac:dyDescent="0.2">
      <c r="A22" s="163"/>
      <c r="B22" s="157" t="s">
        <v>1823</v>
      </c>
      <c r="C22" s="157" t="s">
        <v>1159</v>
      </c>
      <c r="D22" s="162" t="s">
        <v>1825</v>
      </c>
      <c r="E22" s="1470" t="s">
        <v>1593</v>
      </c>
    </row>
    <row r="23" spans="1:5" x14ac:dyDescent="0.2">
      <c r="A23" s="163"/>
      <c r="B23" s="157" t="s">
        <v>1824</v>
      </c>
      <c r="D23" s="162" t="s">
        <v>632</v>
      </c>
      <c r="E23" s="1470" t="s">
        <v>953</v>
      </c>
    </row>
    <row r="24" spans="1:5" x14ac:dyDescent="0.2">
      <c r="A24" s="163" t="s">
        <v>1591</v>
      </c>
      <c r="C24" s="157" t="s">
        <v>1159</v>
      </c>
      <c r="D24" s="162" t="s">
        <v>1377</v>
      </c>
      <c r="E24" s="165" t="s">
        <v>954</v>
      </c>
    </row>
    <row r="25" spans="1:5" x14ac:dyDescent="0.2">
      <c r="A25" s="163" t="s">
        <v>1836</v>
      </c>
      <c r="C25" s="157" t="s">
        <v>1159</v>
      </c>
      <c r="D25" s="164" t="s">
        <v>21</v>
      </c>
      <c r="E25" s="1470" t="s">
        <v>2044</v>
      </c>
    </row>
    <row r="26" spans="1:5" x14ac:dyDescent="0.2">
      <c r="A26" s="163" t="s">
        <v>1837</v>
      </c>
      <c r="C26" s="157" t="s">
        <v>1159</v>
      </c>
      <c r="D26" s="164" t="s">
        <v>559</v>
      </c>
      <c r="E26" s="1470" t="s">
        <v>678</v>
      </c>
    </row>
    <row r="27" spans="1:5" x14ac:dyDescent="0.2">
      <c r="A27" s="163" t="s">
        <v>1838</v>
      </c>
      <c r="C27" s="157" t="s">
        <v>1159</v>
      </c>
      <c r="D27" s="164" t="s">
        <v>553</v>
      </c>
      <c r="E27" s="1470" t="s">
        <v>1350</v>
      </c>
    </row>
    <row r="28" spans="1:5" x14ac:dyDescent="0.2">
      <c r="A28" s="163" t="s">
        <v>1840</v>
      </c>
      <c r="D28" s="164" t="s">
        <v>679</v>
      </c>
      <c r="E28" s="1470" t="s">
        <v>1359</v>
      </c>
    </row>
    <row r="29" spans="1:5" x14ac:dyDescent="0.2">
      <c r="A29" s="163" t="s">
        <v>1841</v>
      </c>
      <c r="D29" s="164" t="s">
        <v>1378</v>
      </c>
      <c r="E29" s="1470"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428" t="s">
        <v>1056</v>
      </c>
      <c r="B35" s="2428"/>
      <c r="C35" s="2428"/>
      <c r="D35" s="2428"/>
      <c r="E35" s="242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425" t="s">
        <v>686</v>
      </c>
      <c r="B40" s="2425"/>
      <c r="C40" s="2425"/>
      <c r="D40" s="2425"/>
      <c r="E40" s="2425"/>
    </row>
    <row r="41" spans="1:5" x14ac:dyDescent="0.2">
      <c r="A41" s="2426" t="s">
        <v>1590</v>
      </c>
      <c r="B41" s="2426"/>
      <c r="C41" s="2426"/>
      <c r="D41" s="2426"/>
      <c r="E41" s="2426"/>
    </row>
    <row r="42" spans="1:5" ht="12.75" customHeight="1" x14ac:dyDescent="0.2">
      <c r="A42" s="2427" t="s">
        <v>1015</v>
      </c>
      <c r="B42" s="2427"/>
      <c r="C42" s="2427"/>
      <c r="D42" s="2427"/>
      <c r="E42" s="2427"/>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1969</v>
      </c>
    </row>
    <row r="17" spans="1:2" ht="6" customHeight="1" x14ac:dyDescent="0.2"/>
    <row r="18" spans="1:2" ht="24.75" customHeight="1" x14ac:dyDescent="0.2">
      <c r="A18" s="2742" t="s">
        <v>1664</v>
      </c>
      <c r="B18" s="2742"/>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autoPict="0" r:id="rId7">
            <anchor moveWithCells="1">
              <from>
                <xdr:col>1</xdr:col>
                <xdr:colOff>1266825</xdr:colOff>
                <xdr:row>1</xdr:row>
                <xdr:rowOff>66675</xdr:rowOff>
              </from>
              <to>
                <xdr:col>1</xdr:col>
                <xdr:colOff>2152650</xdr:colOff>
                <xdr:row>5</xdr:row>
                <xdr:rowOff>66675</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2590800</xdr:colOff>
                <xdr:row>1</xdr:row>
                <xdr:rowOff>47625</xdr:rowOff>
              </from>
              <to>
                <xdr:col>1</xdr:col>
                <xdr:colOff>3505200</xdr:colOff>
                <xdr:row>6</xdr:row>
                <xdr:rowOff>9525</xdr:rowOff>
              </to>
            </anchor>
          </objectPr>
        </oleObject>
      </mc:Choice>
      <mc:Fallback>
        <oleObject progId="Acrobat Document" dvAspect="DVASPECT_ICON" shapeId="5632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743" t="s">
        <v>1668</v>
      </c>
      <c r="B1" s="2744"/>
      <c r="C1" s="2744"/>
      <c r="D1" s="2744"/>
      <c r="E1" s="2744"/>
      <c r="F1" s="2745"/>
    </row>
    <row r="2" spans="1:8" ht="45" customHeight="1" x14ac:dyDescent="0.2">
      <c r="A2" s="275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754"/>
      <c r="C2" s="2754"/>
      <c r="D2" s="2754"/>
      <c r="E2" s="2754"/>
      <c r="F2" s="2755"/>
      <c r="G2" s="853"/>
      <c r="H2" s="853"/>
    </row>
    <row r="3" spans="1:8" ht="57" customHeight="1" x14ac:dyDescent="0.2">
      <c r="A3" s="2756" t="s">
        <v>1968</v>
      </c>
      <c r="B3" s="2757"/>
      <c r="C3" s="2757"/>
      <c r="D3" s="2757"/>
      <c r="E3" s="2757"/>
      <c r="F3" s="2758"/>
      <c r="G3" s="853"/>
      <c r="H3" s="853"/>
    </row>
    <row r="4" spans="1:8" ht="14.25" customHeight="1" x14ac:dyDescent="0.2">
      <c r="A4" s="276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763"/>
      <c r="C4" s="2763"/>
      <c r="D4" s="2763"/>
      <c r="E4" s="2763"/>
      <c r="F4" s="2764"/>
      <c r="G4" s="853"/>
      <c r="H4" s="853"/>
    </row>
    <row r="5" spans="1:8" ht="14.25" customHeight="1" x14ac:dyDescent="0.2">
      <c r="A5" s="276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766"/>
      <c r="C5" s="2766"/>
      <c r="D5" s="2766"/>
      <c r="E5" s="2766"/>
      <c r="F5" s="2767"/>
      <c r="G5" s="853"/>
      <c r="H5" s="853"/>
    </row>
    <row r="6" spans="1:8" s="854" customFormat="1" ht="41.25" customHeight="1" x14ac:dyDescent="0.2">
      <c r="A6" s="2759" t="s">
        <v>1669</v>
      </c>
      <c r="B6" s="2760"/>
      <c r="C6" s="2760"/>
      <c r="D6" s="2760"/>
      <c r="E6" s="2760"/>
      <c r="F6" s="2761"/>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9527336</v>
      </c>
      <c r="C8" s="1813">
        <f>'Acct Summary 7-8'!D8</f>
        <v>523542</v>
      </c>
      <c r="D8" s="1813">
        <f>'Acct Summary 7-8'!F8</f>
        <v>512061</v>
      </c>
      <c r="E8" s="1813">
        <f>'Acct Summary 7-8'!I8</f>
        <v>27142</v>
      </c>
      <c r="F8" s="1813">
        <f>SUM(B8:E8)</f>
        <v>10590081</v>
      </c>
    </row>
    <row r="9" spans="1:8" s="858" customFormat="1" ht="14.25" customHeight="1" thickBot="1" x14ac:dyDescent="0.25">
      <c r="A9" s="857" t="s">
        <v>1353</v>
      </c>
      <c r="B9" s="1814">
        <f>'Acct Summary 7-8'!C17</f>
        <v>9906171</v>
      </c>
      <c r="C9" s="1814">
        <f>'Acct Summary 7-8'!D17</f>
        <v>468735</v>
      </c>
      <c r="D9" s="1814">
        <f>'Acct Summary 7-8'!F17</f>
        <v>554033</v>
      </c>
      <c r="E9" s="1813"/>
      <c r="F9" s="1813">
        <f>SUM(B9:E9)</f>
        <v>10928939</v>
      </c>
    </row>
    <row r="10" spans="1:8" s="858" customFormat="1" ht="14.25" thickTop="1" thickBot="1" x14ac:dyDescent="0.25">
      <c r="A10" s="859" t="s">
        <v>1354</v>
      </c>
      <c r="B10" s="1815">
        <f>(B8-B9)</f>
        <v>-378835</v>
      </c>
      <c r="C10" s="1815">
        <f>(C8-C9)</f>
        <v>54807</v>
      </c>
      <c r="D10" s="1815">
        <f>(D8-D9)</f>
        <v>-41972</v>
      </c>
      <c r="E10" s="1814">
        <f>(E8-E9)</f>
        <v>27142</v>
      </c>
      <c r="F10" s="1816">
        <f>SUM(F8-F9)</f>
        <v>-338858</v>
      </c>
    </row>
    <row r="11" spans="1:8" s="858" customFormat="1" ht="14.25" thickTop="1" thickBot="1" x14ac:dyDescent="0.25">
      <c r="A11" s="860" t="s">
        <v>1899</v>
      </c>
      <c r="B11" s="1817">
        <f>'Acct Summary 7-8'!C81</f>
        <v>9390868</v>
      </c>
      <c r="C11" s="1817">
        <f>'Acct Summary 7-8'!D81</f>
        <v>654053</v>
      </c>
      <c r="D11" s="1817">
        <f>'Acct Summary 7-8'!F81</f>
        <v>661445</v>
      </c>
      <c r="E11" s="1817">
        <f>'Acct Summary 7-8'!I81</f>
        <v>88627</v>
      </c>
      <c r="F11" s="1818">
        <f>SUM(B11:E11)</f>
        <v>10794993</v>
      </c>
    </row>
    <row r="12" spans="1:8" ht="16.5" customHeight="1" thickTop="1" x14ac:dyDescent="0.2">
      <c r="A12" s="861"/>
      <c r="B12" s="862"/>
      <c r="C12" s="2747" t="str">
        <f>IF(AND(F10&lt;0,F11&gt;=0,ABS(F10*3)&gt;ABS(F11)),A16,IF(AND(F10&lt;0,F11&gt;0,ABS(F10*3)&lt;=ABS(F11)),A17,IF(AND(F10&lt;0,F11&lt;0),A16,IF(F11=0,A19,A18))))</f>
        <v>Unbalanced -  however, a deficit reduction plan is not required at this time.</v>
      </c>
      <c r="D12" s="2748"/>
      <c r="E12" s="2748"/>
      <c r="F12" s="2749"/>
    </row>
    <row r="13" spans="1:8" ht="19.5" customHeight="1" x14ac:dyDescent="0.2">
      <c r="A13" s="863"/>
      <c r="B13" s="864"/>
      <c r="C13" s="2747"/>
      <c r="D13" s="2748"/>
      <c r="E13" s="2748"/>
      <c r="F13" s="2749"/>
      <c r="H13" s="853"/>
    </row>
    <row r="14" spans="1:8" ht="19.5" customHeight="1" x14ac:dyDescent="0.2">
      <c r="A14" s="863"/>
      <c r="B14" s="864"/>
      <c r="C14" s="2747"/>
      <c r="D14" s="2748"/>
      <c r="E14" s="2748"/>
      <c r="F14" s="2749"/>
      <c r="H14" s="853"/>
    </row>
    <row r="15" spans="1:8" ht="17.25" customHeight="1" x14ac:dyDescent="0.2">
      <c r="A15" s="863"/>
      <c r="B15" s="864"/>
      <c r="C15" s="2750"/>
      <c r="D15" s="2751"/>
      <c r="E15" s="2751"/>
      <c r="F15" s="2752"/>
      <c r="H15" s="853"/>
    </row>
    <row r="16" spans="1:8" s="288" customFormat="1" ht="51.75" hidden="1" customHeight="1" x14ac:dyDescent="0.2">
      <c r="A16" s="2746" t="s">
        <v>1665</v>
      </c>
      <c r="B16" s="2746"/>
      <c r="C16" s="2746"/>
      <c r="D16" s="2746"/>
      <c r="E16" s="2746"/>
      <c r="F16" s="288" t="s">
        <v>1355</v>
      </c>
    </row>
    <row r="17" spans="1:6" hidden="1" x14ac:dyDescent="0.2">
      <c r="A17" s="294" t="s">
        <v>1666</v>
      </c>
      <c r="F17" s="865" t="s">
        <v>1356</v>
      </c>
    </row>
    <row r="18" spans="1:6" hidden="1" x14ac:dyDescent="0.2">
      <c r="A18" s="294" t="s">
        <v>1667</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768" t="s">
        <v>660</v>
      </c>
      <c r="B3" s="2769"/>
      <c r="C3" s="2769"/>
      <c r="D3" s="2770"/>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779" t="s">
        <v>1487</v>
      </c>
      <c r="D7" s="2780"/>
    </row>
    <row r="8" spans="1:4" s="542" customFormat="1" ht="12.75" x14ac:dyDescent="0.2">
      <c r="A8" s="917"/>
      <c r="B8" s="872"/>
      <c r="C8" s="875" t="s">
        <v>1486</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771" t="s">
        <v>1001</v>
      </c>
      <c r="B15" s="2772"/>
      <c r="C15" s="2772"/>
      <c r="D15" s="2773"/>
    </row>
    <row r="16" spans="1:4" s="542" customFormat="1" ht="24" customHeight="1" x14ac:dyDescent="0.2">
      <c r="A16" s="2774" t="s">
        <v>658</v>
      </c>
      <c r="B16" s="2775"/>
      <c r="C16" s="2775"/>
      <c r="D16" s="2776"/>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705</v>
      </c>
    </row>
    <row r="21" spans="1:10" x14ac:dyDescent="0.2">
      <c r="A21" s="877"/>
      <c r="B21" s="878">
        <v>1</v>
      </c>
      <c r="C21" s="2783" t="s">
        <v>311</v>
      </c>
      <c r="D21" s="2784"/>
    </row>
    <row r="22" spans="1:10" ht="12.75" x14ac:dyDescent="0.2">
      <c r="A22" s="918"/>
      <c r="B22" s="919">
        <v>2</v>
      </c>
      <c r="C22" s="2781" t="s">
        <v>1507</v>
      </c>
      <c r="D22" s="2782"/>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785" t="s">
        <v>533</v>
      </c>
      <c r="D43" s="2786"/>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777" t="s">
        <v>779</v>
      </c>
      <c r="D56" s="2778"/>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1014</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777" t="s">
        <v>1673</v>
      </c>
      <c r="D70" s="2778"/>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ht="22.5" x14ac:dyDescent="0.2">
      <c r="A82" s="877"/>
      <c r="B82" s="899">
        <v>15</v>
      </c>
      <c r="C82" s="909" t="s">
        <v>1880</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1963</v>
      </c>
      <c r="F1" s="1543" t="s">
        <v>1964</v>
      </c>
      <c r="G1" s="1900" t="s">
        <v>1974</v>
      </c>
    </row>
    <row r="2" spans="1:7" ht="15.75" x14ac:dyDescent="0.25">
      <c r="A2" t="s">
        <v>260</v>
      </c>
      <c r="B2" s="135">
        <f>COVER!A13</f>
        <v>48072325026</v>
      </c>
      <c r="E2" s="1542">
        <v>2020</v>
      </c>
      <c r="F2" s="1542">
        <v>1</v>
      </c>
      <c r="G2" s="1899">
        <v>101000300</v>
      </c>
    </row>
    <row r="3" spans="1:7" ht="15" x14ac:dyDescent="0.25">
      <c r="A3" t="s">
        <v>950</v>
      </c>
      <c r="B3" s="135" t="str">
        <f>COVER!A15</f>
        <v>Peoria</v>
      </c>
      <c r="E3" s="1830" t="s">
        <v>1967</v>
      </c>
      <c r="F3" s="1830" t="s">
        <v>1966</v>
      </c>
      <c r="G3" s="1899">
        <v>101000400</v>
      </c>
    </row>
    <row r="4" spans="1:7" ht="15" x14ac:dyDescent="0.25">
      <c r="A4" t="s">
        <v>1000</v>
      </c>
      <c r="B4" s="135" t="str">
        <f>COVER!A17</f>
        <v xml:space="preserve">   Peoria Heights CUSD 325</v>
      </c>
      <c r="E4" s="1828">
        <v>44119</v>
      </c>
      <c r="F4" s="1829">
        <v>44151</v>
      </c>
      <c r="G4" s="1899">
        <v>101000600</v>
      </c>
    </row>
    <row r="5" spans="1:7" ht="15" x14ac:dyDescent="0.25">
      <c r="A5" t="s">
        <v>699</v>
      </c>
      <c r="B5" s="135" t="str">
        <f>COVER!A38</f>
        <v>Dr. Eric Heath</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Yes</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483050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9390868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9147203</v>
      </c>
      <c r="D92" s="2" t="str">
        <f t="shared" si="0"/>
        <v>Error?</v>
      </c>
      <c r="G92" s="1899">
        <v>102640600</v>
      </c>
    </row>
    <row r="93" spans="1:7" ht="15" x14ac:dyDescent="0.25">
      <c r="A93" s="5">
        <v>32</v>
      </c>
      <c r="B93" s="1832">
        <f>'Assets-Liab 5-6'!C41</f>
        <v>9390868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654053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654053</v>
      </c>
      <c r="D123" s="2" t="str">
        <f t="shared" si="0"/>
        <v>Error?</v>
      </c>
      <c r="G123" s="1899">
        <v>203000400</v>
      </c>
    </row>
    <row r="124" spans="1:7" ht="15" x14ac:dyDescent="0.25">
      <c r="A124" s="5">
        <v>63</v>
      </c>
      <c r="B124" s="1832">
        <f>'Assets-Liab 5-6'!D41</f>
        <v>654053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360644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360644</v>
      </c>
      <c r="D140" s="2" t="str">
        <f t="shared" si="1"/>
        <v>Error?</v>
      </c>
    </row>
    <row r="141" spans="1:7" x14ac:dyDescent="0.2">
      <c r="A141" s="5">
        <v>80</v>
      </c>
      <c r="B141" s="1832">
        <f>'Assets-Liab 5-6'!E41</f>
        <v>360644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661445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661445</v>
      </c>
      <c r="D170" s="2" t="str">
        <f t="shared" si="1"/>
        <v>Error?</v>
      </c>
    </row>
    <row r="171" spans="1:4" x14ac:dyDescent="0.2">
      <c r="A171" s="5">
        <v>110</v>
      </c>
      <c r="B171" s="1832">
        <f>'Assets-Liab 5-6'!F41</f>
        <v>661445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780467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675959</v>
      </c>
      <c r="D189" s="2" t="str">
        <f t="shared" si="1"/>
        <v>Error?</v>
      </c>
    </row>
    <row r="190" spans="1:4" x14ac:dyDescent="0.2">
      <c r="A190" s="5">
        <v>129</v>
      </c>
      <c r="B190" s="1832">
        <f>'Assets-Liab 5-6'!G41</f>
        <v>780467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183972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183972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216942</v>
      </c>
      <c r="D273" s="2" t="str">
        <f t="shared" si="3"/>
        <v>Error?</v>
      </c>
    </row>
    <row r="274" spans="1:4" x14ac:dyDescent="0.2">
      <c r="A274" s="5">
        <v>213</v>
      </c>
      <c r="B274" s="1832">
        <f>'Assets-Liab 5-6'!M17</f>
        <v>13795423</v>
      </c>
      <c r="D274" s="2" t="str">
        <f t="shared" si="3"/>
        <v>Error?</v>
      </c>
    </row>
    <row r="275" spans="1:4" x14ac:dyDescent="0.2">
      <c r="A275" s="5">
        <v>214</v>
      </c>
      <c r="B275" s="1832">
        <f>'Assets-Liab 5-6'!M18</f>
        <v>1236427</v>
      </c>
      <c r="D275" s="2" t="str">
        <f t="shared" si="3"/>
        <v>Error?</v>
      </c>
    </row>
    <row r="276" spans="1:4" x14ac:dyDescent="0.2">
      <c r="A276" s="5">
        <v>215</v>
      </c>
      <c r="B276" s="1832">
        <f>'Assets-Liab 5-6'!M19</f>
        <v>1702008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16950800</v>
      </c>
      <c r="C279" s="2" t="s">
        <v>569</v>
      </c>
      <c r="D279" s="2" t="str">
        <f t="shared" si="3"/>
        <v>Error?</v>
      </c>
    </row>
    <row r="280" spans="1:4" x14ac:dyDescent="0.2">
      <c r="A280" s="5">
        <v>219</v>
      </c>
      <c r="B280" s="1832">
        <f>'Assets-Liab 5-6'!M40</f>
        <v>16950800</v>
      </c>
      <c r="D280" s="2" t="str">
        <f t="shared" si="3"/>
        <v>Error?</v>
      </c>
    </row>
    <row r="281" spans="1:4" x14ac:dyDescent="0.2">
      <c r="A281" s="5">
        <v>220</v>
      </c>
      <c r="B281" s="1832">
        <f>'Assets-Liab 5-6'!M41</f>
        <v>16950800</v>
      </c>
      <c r="C281" s="2" t="s">
        <v>569</v>
      </c>
      <c r="D281" s="2" t="str">
        <f t="shared" si="3"/>
        <v>Error?</v>
      </c>
    </row>
    <row r="282" spans="1:4" x14ac:dyDescent="0.2">
      <c r="A282" s="5">
        <v>221</v>
      </c>
      <c r="B282" s="1832">
        <f>'Assets-Liab 5-6'!N21</f>
        <v>360644</v>
      </c>
      <c r="D282" s="2" t="str">
        <f t="shared" si="3"/>
        <v>Error?</v>
      </c>
    </row>
    <row r="283" spans="1:4" x14ac:dyDescent="0.2">
      <c r="A283" s="5">
        <v>222</v>
      </c>
      <c r="B283" s="1832">
        <f>'Assets-Liab 5-6'!N22</f>
        <v>3804356</v>
      </c>
      <c r="D283" s="2" t="str">
        <f t="shared" si="3"/>
        <v>Error?</v>
      </c>
    </row>
    <row r="284" spans="1:4" x14ac:dyDescent="0.2">
      <c r="A284" s="5">
        <v>223</v>
      </c>
      <c r="B284" s="1832">
        <f>'Assets-Liab 5-6'!N23</f>
        <v>4165000</v>
      </c>
      <c r="C284" s="2" t="s">
        <v>569</v>
      </c>
      <c r="D284" s="2" t="str">
        <f t="shared" si="3"/>
        <v>Error?</v>
      </c>
    </row>
    <row r="285" spans="1:4" x14ac:dyDescent="0.2">
      <c r="A285" s="5">
        <v>224</v>
      </c>
      <c r="B285" s="1832">
        <f>'Assets-Liab 5-6'!N36</f>
        <v>4165000</v>
      </c>
      <c r="D285" s="2" t="str">
        <f t="shared" si="3"/>
        <v>Error?</v>
      </c>
    </row>
    <row r="286" spans="1:4" x14ac:dyDescent="0.2">
      <c r="A286" s="10">
        <v>225</v>
      </c>
      <c r="B286" s="1832"/>
      <c r="D286" s="2" t="str">
        <f t="shared" si="3"/>
        <v>OK</v>
      </c>
    </row>
    <row r="287" spans="1:4" x14ac:dyDescent="0.2">
      <c r="A287" s="5">
        <v>226</v>
      </c>
      <c r="B287" s="1832">
        <f>'Assets-Liab 5-6'!N37</f>
        <v>4165000</v>
      </c>
      <c r="C287" s="2" t="s">
        <v>569</v>
      </c>
      <c r="D287" s="2" t="str">
        <f t="shared" si="3"/>
        <v>Error?</v>
      </c>
    </row>
    <row r="288" spans="1:4" x14ac:dyDescent="0.2">
      <c r="A288" s="5">
        <v>227</v>
      </c>
      <c r="B288" s="1832">
        <f>'Assets-Liab 5-6'!N41</f>
        <v>4165000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2524638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111308</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3031258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120946</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120946</v>
      </c>
      <c r="C727" s="2" t="s">
        <v>569</v>
      </c>
      <c r="D727" s="2" t="str">
        <f t="shared" si="10"/>
        <v>Error?</v>
      </c>
    </row>
    <row r="728" spans="1:4" x14ac:dyDescent="0.2">
      <c r="A728" s="5">
        <v>667</v>
      </c>
      <c r="B728" s="1832">
        <f>'Expenditures 15-22'!C44</f>
        <v>49470</v>
      </c>
      <c r="D728" s="2" t="str">
        <f t="shared" si="10"/>
        <v>Error?</v>
      </c>
    </row>
    <row r="729" spans="1:4" x14ac:dyDescent="0.2">
      <c r="A729" s="5">
        <v>668</v>
      </c>
      <c r="B729" s="1832">
        <f>'Expenditures 15-22'!C45</f>
        <v>45963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95433</v>
      </c>
      <c r="C731" s="2" t="s">
        <v>569</v>
      </c>
      <c r="D731" s="2" t="str">
        <f t="shared" si="10"/>
        <v>Error?</v>
      </c>
    </row>
    <row r="732" spans="1:4" x14ac:dyDescent="0.2">
      <c r="A732" s="5">
        <v>671</v>
      </c>
      <c r="B732" s="1832">
        <f>'Expenditures 15-22'!C49</f>
        <v>10185</v>
      </c>
      <c r="D732" s="2" t="str">
        <f t="shared" si="10"/>
        <v>Error?</v>
      </c>
    </row>
    <row r="733" spans="1:4" x14ac:dyDescent="0.2">
      <c r="A733" s="5">
        <v>672</v>
      </c>
      <c r="B733" s="1832">
        <f>'Expenditures 15-22'!C50</f>
        <v>375320</v>
      </c>
      <c r="D733" s="2" t="str">
        <f t="shared" si="10"/>
        <v>Error?</v>
      </c>
    </row>
    <row r="734" spans="1:4" x14ac:dyDescent="0.2">
      <c r="A734" s="5">
        <v>673</v>
      </c>
      <c r="B734" s="1832">
        <f>'Expenditures 15-22'!C53</f>
        <v>389865</v>
      </c>
      <c r="C734" s="2" t="s">
        <v>569</v>
      </c>
      <c r="D734" s="2" t="str">
        <f t="shared" si="10"/>
        <v>Error?</v>
      </c>
    </row>
    <row r="735" spans="1:4" x14ac:dyDescent="0.2">
      <c r="A735" s="5">
        <v>674</v>
      </c>
      <c r="B735" s="1832">
        <f>'Expenditures 15-22'!C55</f>
        <v>426015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426015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55834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208405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264239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2180</v>
      </c>
      <c r="D751" s="2" t="str">
        <f t="shared" si="10"/>
        <v>Error?</v>
      </c>
    </row>
    <row r="752" spans="1:4" x14ac:dyDescent="0.2">
      <c r="A752" s="10">
        <v>691</v>
      </c>
      <c r="B752" s="1832"/>
      <c r="D752" s="2" t="str">
        <f t="shared" si="10"/>
        <v>OK</v>
      </c>
    </row>
    <row r="753" spans="1:4" x14ac:dyDescent="0.2">
      <c r="A753" s="5">
        <v>692</v>
      </c>
      <c r="B753" s="1832">
        <f>'Expenditures 15-22'!C72</f>
        <v>2180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1298678</v>
      </c>
      <c r="C755" s="2" t="s">
        <v>569</v>
      </c>
      <c r="D755" s="2" t="str">
        <f t="shared" si="10"/>
        <v>Error?</v>
      </c>
    </row>
    <row r="756" spans="1:4" x14ac:dyDescent="0.2">
      <c r="A756" s="5">
        <v>695</v>
      </c>
      <c r="B756" s="1832">
        <f>'Expenditures 15-22'!C75</f>
        <v>249898</v>
      </c>
      <c r="D756" s="2" t="str">
        <f t="shared" si="10"/>
        <v>Error?</v>
      </c>
    </row>
    <row r="757" spans="1:4" x14ac:dyDescent="0.2">
      <c r="A757" s="5">
        <v>696</v>
      </c>
      <c r="B757" s="1832">
        <f>'Expenditures 15-22'!C114</f>
        <v>4579834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448874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12615</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525998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17949</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17949</v>
      </c>
      <c r="C785" s="2" t="s">
        <v>569</v>
      </c>
      <c r="D785" s="2" t="str">
        <f t="shared" si="11"/>
        <v>Error?</v>
      </c>
    </row>
    <row r="786" spans="1:4" x14ac:dyDescent="0.2">
      <c r="A786" s="5">
        <v>725</v>
      </c>
      <c r="B786" s="1832">
        <f>'Expenditures 15-22'!D44</f>
        <v>5676</v>
      </c>
      <c r="D786" s="2" t="str">
        <f t="shared" si="11"/>
        <v>Error?</v>
      </c>
    </row>
    <row r="787" spans="1:4" x14ac:dyDescent="0.2">
      <c r="A787" s="5">
        <v>726</v>
      </c>
      <c r="B787" s="1832">
        <f>'Expenditures 15-22'!D45</f>
        <v>9565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15241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45270</v>
      </c>
      <c r="D791" s="2" t="str">
        <f t="shared" si="11"/>
        <v>Error?</v>
      </c>
    </row>
    <row r="792" spans="1:4" x14ac:dyDescent="0.2">
      <c r="A792" s="5">
        <v>731</v>
      </c>
      <c r="B792" s="1832">
        <f>'Expenditures 15-22'!D53</f>
        <v>46097</v>
      </c>
      <c r="C792" s="2" t="s">
        <v>569</v>
      </c>
      <c r="D792" s="2" t="str">
        <f t="shared" si="11"/>
        <v>Error?</v>
      </c>
    </row>
    <row r="793" spans="1:4" x14ac:dyDescent="0.2">
      <c r="A793" s="5">
        <v>732</v>
      </c>
      <c r="B793" s="1832">
        <f>'Expenditures 15-22'!D55</f>
        <v>71506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71506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6729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25291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32020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328</v>
      </c>
      <c r="D809" s="2" t="str">
        <f t="shared" si="11"/>
        <v>Error?</v>
      </c>
    </row>
    <row r="810" spans="1:4" x14ac:dyDescent="0.2">
      <c r="A810" s="10">
        <v>749</v>
      </c>
      <c r="B810" s="1832"/>
      <c r="D810" s="2" t="str">
        <f t="shared" si="11"/>
        <v>OK</v>
      </c>
    </row>
    <row r="811" spans="1:4" x14ac:dyDescent="0.2">
      <c r="A811" s="5">
        <v>750</v>
      </c>
      <c r="B811" s="1832">
        <f>'Expenditures 15-22'!D72</f>
        <v>328</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183141</v>
      </c>
      <c r="C813" s="2" t="s">
        <v>569</v>
      </c>
      <c r="D813" s="2" t="str">
        <f t="shared" si="11"/>
        <v>Error?</v>
      </c>
    </row>
    <row r="814" spans="1:4" x14ac:dyDescent="0.2">
      <c r="A814" s="5">
        <v>753</v>
      </c>
      <c r="B814" s="1832">
        <f>'Expenditures 15-22'!D75</f>
        <v>33679</v>
      </c>
      <c r="D814" s="2" t="str">
        <f t="shared" si="11"/>
        <v>Error?</v>
      </c>
    </row>
    <row r="815" spans="1:4" x14ac:dyDescent="0.2">
      <c r="A815" s="5">
        <v>754</v>
      </c>
      <c r="B815" s="1832">
        <f>'Expenditures 15-22'!D114</f>
        <v>742818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5546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5675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18736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42841</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42841</v>
      </c>
      <c r="C843" s="2" t="s">
        <v>569</v>
      </c>
      <c r="D843" s="2" t="str">
        <f t="shared" si="12"/>
        <v>Error?</v>
      </c>
    </row>
    <row r="844" spans="1:4" x14ac:dyDescent="0.2">
      <c r="A844" s="5">
        <v>783</v>
      </c>
      <c r="B844" s="1832">
        <f>'Expenditures 15-22'!E44</f>
        <v>52974</v>
      </c>
      <c r="D844" s="2" t="str">
        <f t="shared" si="12"/>
        <v>Error?</v>
      </c>
    </row>
    <row r="845" spans="1:4" x14ac:dyDescent="0.2">
      <c r="A845" s="5">
        <v>784</v>
      </c>
      <c r="B845" s="1832">
        <f>'Expenditures 15-22'!E45</f>
        <v>26450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79424</v>
      </c>
      <c r="C847" s="2" t="s">
        <v>569</v>
      </c>
      <c r="D847" s="2" t="str">
        <f t="shared" si="12"/>
        <v>Error?</v>
      </c>
    </row>
    <row r="848" spans="1:4" x14ac:dyDescent="0.2">
      <c r="A848" s="5">
        <v>787</v>
      </c>
      <c r="B848" s="1832">
        <f>'Expenditures 15-22'!E49</f>
        <v>147176</v>
      </c>
      <c r="D848" s="2" t="str">
        <f t="shared" si="12"/>
        <v>Error?</v>
      </c>
    </row>
    <row r="849" spans="1:4" x14ac:dyDescent="0.2">
      <c r="A849" s="5">
        <v>788</v>
      </c>
      <c r="B849" s="1832">
        <f>'Expenditures 15-22'!E50</f>
        <v>15880</v>
      </c>
      <c r="D849" s="2" t="str">
        <f t="shared" si="12"/>
        <v>Error?</v>
      </c>
    </row>
    <row r="850" spans="1:4" x14ac:dyDescent="0.2">
      <c r="A850" s="5">
        <v>789</v>
      </c>
      <c r="B850" s="1832">
        <f>'Expenditures 15-22'!E53</f>
        <v>173701</v>
      </c>
      <c r="C850" s="2" t="s">
        <v>569</v>
      </c>
      <c r="D850" s="2" t="str">
        <f t="shared" si="12"/>
        <v>Error?</v>
      </c>
    </row>
    <row r="851" spans="1:4" x14ac:dyDescent="0.2">
      <c r="A851" s="5">
        <v>790</v>
      </c>
      <c r="B851" s="1832">
        <f>'Expenditures 15-22'!E55</f>
        <v>14382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14382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41221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5737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46958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357306</v>
      </c>
      <c r="C871" s="2" t="s">
        <v>569</v>
      </c>
      <c r="D871" s="2" t="str">
        <f t="shared" si="12"/>
        <v>Error?</v>
      </c>
    </row>
    <row r="872" spans="1:4" x14ac:dyDescent="0.2">
      <c r="A872" s="5">
        <v>811</v>
      </c>
      <c r="B872" s="1832">
        <f>'Expenditures 15-22'!E75</f>
        <v>66818</v>
      </c>
      <c r="D872" s="2" t="str">
        <f t="shared" si="12"/>
        <v>Error?</v>
      </c>
    </row>
    <row r="873" spans="1:4" x14ac:dyDescent="0.2">
      <c r="A873" s="5">
        <v>812</v>
      </c>
      <c r="B873" s="1832">
        <f>'Expenditures 15-22'!E114</f>
        <v>1932389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99792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14869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167354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56835</v>
      </c>
      <c r="D902" s="2" t="str">
        <f t="shared" si="13"/>
        <v>Error?</v>
      </c>
    </row>
    <row r="903" spans="1:4" x14ac:dyDescent="0.2">
      <c r="A903" s="5">
        <v>842</v>
      </c>
      <c r="B903" s="1832">
        <f>'Expenditures 15-22'!F45</f>
        <v>34939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91774</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610</v>
      </c>
      <c r="D907" s="2" t="str">
        <f t="shared" si="13"/>
        <v>Error?</v>
      </c>
    </row>
    <row r="908" spans="1:4" x14ac:dyDescent="0.2">
      <c r="A908" s="5">
        <v>847</v>
      </c>
      <c r="B908" s="1832">
        <f>'Expenditures 15-22'!F53</f>
        <v>2094</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1491</v>
      </c>
      <c r="D913" s="2" t="str">
        <f t="shared" si="13"/>
        <v>Error?</v>
      </c>
    </row>
    <row r="914" spans="1:4" x14ac:dyDescent="0.2">
      <c r="A914" s="5">
        <v>853</v>
      </c>
      <c r="B914" s="1832">
        <f>'Expenditures 15-22'!F61</f>
        <v>260548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181895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443934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537802</v>
      </c>
      <c r="C929" s="2" t="s">
        <v>569</v>
      </c>
      <c r="D929" s="2" t="str">
        <f t="shared" si="13"/>
        <v>Error?</v>
      </c>
    </row>
    <row r="930" spans="1:4" x14ac:dyDescent="0.2">
      <c r="A930" s="5">
        <v>869</v>
      </c>
      <c r="B930" s="1832">
        <f>'Expenditures 15-22'!F75</f>
        <v>59535</v>
      </c>
      <c r="D930" s="2" t="str">
        <f t="shared" si="13"/>
        <v>Error?</v>
      </c>
    </row>
    <row r="931" spans="1:4" x14ac:dyDescent="0.2">
      <c r="A931" s="5">
        <v>870</v>
      </c>
      <c r="B931" s="1832">
        <f>'Expenditures 15-22'!F114</f>
        <v>764691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12206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12206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53027</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53027</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900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16079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16079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70006</v>
      </c>
      <c r="C987" s="2" t="s">
        <v>569</v>
      </c>
      <c r="D987" s="2" t="str">
        <f t="shared" si="14"/>
        <v>Error?</v>
      </c>
    </row>
    <row r="988" spans="1:4" x14ac:dyDescent="0.2">
      <c r="A988" s="5">
        <v>927</v>
      </c>
      <c r="B988" s="1832">
        <f>'Expenditures 15-22'!G75</f>
        <v>5191</v>
      </c>
      <c r="D988" s="2" t="str">
        <f t="shared" si="14"/>
        <v>Error?</v>
      </c>
    </row>
    <row r="989" spans="1:4" x14ac:dyDescent="0.2">
      <c r="A989" s="5">
        <v>928</v>
      </c>
      <c r="B989" s="1832">
        <f>'Expenditures 15-22'!G114</f>
        <v>87403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7996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88140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30431</v>
      </c>
      <c r="D1022" s="2" t="str">
        <f t="shared" si="14"/>
        <v>Error?</v>
      </c>
    </row>
    <row r="1023" spans="1:4" x14ac:dyDescent="0.2">
      <c r="A1023" s="5">
        <v>962</v>
      </c>
      <c r="B1023" s="1832">
        <f>'Expenditures 15-22'!H50</f>
        <v>577</v>
      </c>
      <c r="D1023" s="2" t="str">
        <f t="shared" ref="D1023:D1086" si="15">IF(ISBLANK(B1023),"OK",IF(A1023-B1023=0,"OK","Error?"))</f>
        <v>Error?</v>
      </c>
    </row>
    <row r="1024" spans="1:4" x14ac:dyDescent="0.2">
      <c r="A1024" s="5">
        <v>963</v>
      </c>
      <c r="B1024" s="1832">
        <f>'Expenditures 15-22'!H53</f>
        <v>31008</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31008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1679888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1799036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1993</v>
      </c>
      <c r="E1056" s="4" t="s">
        <v>1992</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3091056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123923</v>
      </c>
      <c r="C1105" s="2" t="s">
        <v>569</v>
      </c>
      <c r="D1105" s="2" t="str">
        <f t="shared" si="16"/>
        <v>Error?</v>
      </c>
    </row>
    <row r="1106" spans="1:4" x14ac:dyDescent="0.2">
      <c r="A1106" s="5">
        <v>1045</v>
      </c>
      <c r="B1106" s="1832">
        <f>'Expenditures 15-22'!K14</f>
        <v>28540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3843692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138895</v>
      </c>
      <c r="C1110" s="2" t="s">
        <v>569</v>
      </c>
      <c r="D1110" s="2" t="str">
        <f t="shared" si="16"/>
        <v>Error?</v>
      </c>
    </row>
    <row r="1111" spans="1:4" x14ac:dyDescent="0.2">
      <c r="A1111" s="5">
        <v>1050</v>
      </c>
      <c r="B1111" s="1832">
        <f>'Expenditures 15-22'!K38</f>
        <v>42841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181736</v>
      </c>
      <c r="C1115" s="2" t="s">
        <v>569</v>
      </c>
      <c r="D1115" s="2" t="str">
        <f t="shared" si="16"/>
        <v>Error?</v>
      </c>
    </row>
    <row r="1116" spans="1:4" x14ac:dyDescent="0.2">
      <c r="A1116" s="5">
        <v>1055</v>
      </c>
      <c r="B1116" s="1832">
        <f>'Expenditures 15-22'!K44</f>
        <v>164955</v>
      </c>
      <c r="C1116" s="2" t="s">
        <v>569</v>
      </c>
      <c r="D1116" s="2" t="str">
        <f t="shared" si="16"/>
        <v>Error?</v>
      </c>
    </row>
    <row r="1117" spans="1:4" x14ac:dyDescent="0.2">
      <c r="A1117" s="5">
        <v>1056</v>
      </c>
      <c r="B1117" s="1832">
        <f>'Expenditures 15-22'!K45</f>
        <v>169944</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334899</v>
      </c>
      <c r="C1119" s="2" t="s">
        <v>569</v>
      </c>
      <c r="D1119" s="2" t="str">
        <f t="shared" si="16"/>
        <v>Error?</v>
      </c>
    </row>
    <row r="1120" spans="1:4" x14ac:dyDescent="0.2">
      <c r="A1120" s="5">
        <v>1059</v>
      </c>
      <c r="B1120" s="1832">
        <f>'Expenditures 15-22'!K49</f>
        <v>187792</v>
      </c>
      <c r="C1120" s="2" t="s">
        <v>569</v>
      </c>
      <c r="D1120" s="2" t="str">
        <f t="shared" si="16"/>
        <v>Error?</v>
      </c>
    </row>
    <row r="1121" spans="1:4" x14ac:dyDescent="0.2">
      <c r="A1121" s="5">
        <v>1060</v>
      </c>
      <c r="B1121" s="1832">
        <f>'Expenditures 15-22'!K50</f>
        <v>437657</v>
      </c>
      <c r="C1121" s="2" t="s">
        <v>569</v>
      </c>
      <c r="D1121" s="2" t="str">
        <f t="shared" si="16"/>
        <v>Error?</v>
      </c>
    </row>
    <row r="1122" spans="1:4" x14ac:dyDescent="0.2">
      <c r="A1122" s="5">
        <v>1061</v>
      </c>
      <c r="B1122" s="1832">
        <f>'Expenditures 15-22'!K53</f>
        <v>643665</v>
      </c>
      <c r="C1122" s="2" t="s">
        <v>569</v>
      </c>
      <c r="D1122" s="2" t="str">
        <f t="shared" si="16"/>
        <v>Error?</v>
      </c>
    </row>
    <row r="1123" spans="1:4" x14ac:dyDescent="0.2">
      <c r="A1123" s="5">
        <v>1062</v>
      </c>
      <c r="B1123" s="1832">
        <f>'Expenditures 15-22'!K55</f>
        <v>511903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511903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64054</v>
      </c>
      <c r="C1127" s="2" t="s">
        <v>569</v>
      </c>
      <c r="D1127" s="2" t="str">
        <f t="shared" si="16"/>
        <v>Error?</v>
      </c>
    </row>
    <row r="1128" spans="1:4" x14ac:dyDescent="0.2">
      <c r="A1128" s="5">
        <v>1067</v>
      </c>
      <c r="B1128" s="1832">
        <f>'Expenditures 15-22'!K61</f>
        <v>301769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437407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803230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2508</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2508</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2477941</v>
      </c>
      <c r="C1143" s="2" t="s">
        <v>569</v>
      </c>
      <c r="D1143" s="2" t="str">
        <f t="shared" si="16"/>
        <v>Error?</v>
      </c>
    </row>
    <row r="1144" spans="1:4" x14ac:dyDescent="0.2">
      <c r="A1144" s="5">
        <v>1083</v>
      </c>
      <c r="B1144" s="1832">
        <f>'Expenditures 15-22'!K75</f>
        <v>415121</v>
      </c>
      <c r="C1144" s="2" t="s">
        <v>569</v>
      </c>
      <c r="D1144" s="2" t="str">
        <f t="shared" si="16"/>
        <v>Error?</v>
      </c>
    </row>
    <row r="1145" spans="1:4" x14ac:dyDescent="0.2">
      <c r="A1145" s="5">
        <v>1084</v>
      </c>
      <c r="B1145" s="1832">
        <f>'Expenditures 15-22'!K102</f>
        <v>3169417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9906171</v>
      </c>
      <c r="C1152" s="2" t="s">
        <v>569</v>
      </c>
      <c r="D1152" s="2" t="str">
        <f t="shared" si="17"/>
        <v>Error?</v>
      </c>
    </row>
    <row r="1153" spans="1:4" x14ac:dyDescent="0.2">
      <c r="A1153" s="5">
        <v>1092</v>
      </c>
      <c r="B1153" s="1832">
        <f>'Expenditures 15-22'!K115</f>
        <v>-378835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325560</v>
      </c>
      <c r="D1221" s="2" t="str">
        <f t="shared" si="18"/>
        <v>Error?</v>
      </c>
    </row>
    <row r="1222" spans="1:4" x14ac:dyDescent="0.2">
      <c r="A1222" s="10">
        <v>1161</v>
      </c>
      <c r="B1222" s="1832"/>
      <c r="D1222" s="2" t="str">
        <f t="shared" si="18"/>
        <v>OK</v>
      </c>
    </row>
    <row r="1223" spans="1:4" x14ac:dyDescent="0.2">
      <c r="A1223" s="5">
        <v>1162</v>
      </c>
      <c r="B1223" s="1832">
        <f>'Expenditures 15-22'!C127</f>
        <v>325560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325560</v>
      </c>
      <c r="C1225" s="2" t="s">
        <v>569</v>
      </c>
      <c r="D1225" s="2" t="str">
        <f t="shared" si="18"/>
        <v>Error?</v>
      </c>
    </row>
    <row r="1226" spans="1:4" x14ac:dyDescent="0.2">
      <c r="A1226" s="5">
        <v>1165</v>
      </c>
      <c r="B1226" s="1832">
        <f>'Expenditures 15-22'!C151</f>
        <v>325560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50124</v>
      </c>
      <c r="D1229" s="2" t="str">
        <f t="shared" si="18"/>
        <v>Error?</v>
      </c>
    </row>
    <row r="1230" spans="1:4" x14ac:dyDescent="0.2">
      <c r="A1230" s="10">
        <v>1169</v>
      </c>
      <c r="B1230" s="1832"/>
      <c r="D1230" s="2" t="str">
        <f t="shared" si="18"/>
        <v>OK</v>
      </c>
    </row>
    <row r="1231" spans="1:4" x14ac:dyDescent="0.2">
      <c r="A1231" s="5">
        <v>1170</v>
      </c>
      <c r="B1231" s="1832">
        <f>'Expenditures 15-22'!D127</f>
        <v>50124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50124</v>
      </c>
      <c r="C1233" s="2" t="s">
        <v>569</v>
      </c>
      <c r="D1233" s="2" t="str">
        <f t="shared" si="18"/>
        <v>Error?</v>
      </c>
    </row>
    <row r="1234" spans="1:4" x14ac:dyDescent="0.2">
      <c r="A1234" s="5">
        <v>1173</v>
      </c>
      <c r="B1234" s="1832">
        <f>'Expenditures 15-22'!D151</f>
        <v>50124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90038</v>
      </c>
      <c r="D1237" s="2" t="str">
        <f t="shared" si="18"/>
        <v>Error?</v>
      </c>
    </row>
    <row r="1238" spans="1:4" x14ac:dyDescent="0.2">
      <c r="A1238" s="10">
        <v>1177</v>
      </c>
      <c r="B1238" s="1832"/>
      <c r="D1238" s="2" t="str">
        <f t="shared" si="18"/>
        <v>OK</v>
      </c>
    </row>
    <row r="1239" spans="1:4" x14ac:dyDescent="0.2">
      <c r="A1239" s="5">
        <v>1178</v>
      </c>
      <c r="B1239" s="1832">
        <f>'Expenditures 15-22'!E127</f>
        <v>90038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90038</v>
      </c>
      <c r="C1241" s="2" t="s">
        <v>569</v>
      </c>
      <c r="D1241" s="2" t="str">
        <f t="shared" si="18"/>
        <v>Error?</v>
      </c>
    </row>
    <row r="1242" spans="1:4" x14ac:dyDescent="0.2">
      <c r="A1242" s="5">
        <v>1181</v>
      </c>
      <c r="B1242" s="1832">
        <f>'Expenditures 15-22'!E151</f>
        <v>90038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3013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3013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3013</v>
      </c>
      <c r="C1258" s="2" t="s">
        <v>569</v>
      </c>
      <c r="D1258" s="2" t="str">
        <f t="shared" si="18"/>
        <v>Error?</v>
      </c>
    </row>
    <row r="1259" spans="1:4" x14ac:dyDescent="0.2">
      <c r="A1259" s="5">
        <v>1198</v>
      </c>
      <c r="B1259" s="1832">
        <f>'Expenditures 15-22'!G151</f>
        <v>3013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468735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468735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468735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468735</v>
      </c>
      <c r="C1288" s="2" t="s">
        <v>569</v>
      </c>
      <c r="D1288" s="2" t="str">
        <f t="shared" si="19"/>
        <v>Error?</v>
      </c>
    </row>
    <row r="1289" spans="1:4" x14ac:dyDescent="0.2">
      <c r="A1289" s="5">
        <v>1228</v>
      </c>
      <c r="B1289" s="1832">
        <f>'Expenditures 15-22'!K152</f>
        <v>54807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500</v>
      </c>
      <c r="D1307" s="2" t="str">
        <f t="shared" si="19"/>
        <v>Error?</v>
      </c>
    </row>
    <row r="1308" spans="1:4" x14ac:dyDescent="0.2">
      <c r="A1308" s="5">
        <v>1247</v>
      </c>
      <c r="B1308" s="1832">
        <f>'Expenditures 15-22'!E172</f>
        <v>500</v>
      </c>
      <c r="C1308" s="2" t="s">
        <v>569</v>
      </c>
      <c r="D1308" s="2" t="str">
        <f t="shared" si="19"/>
        <v>Error?</v>
      </c>
    </row>
    <row r="1309" spans="1:4" x14ac:dyDescent="0.2">
      <c r="A1309" s="5">
        <v>1248</v>
      </c>
      <c r="B1309" s="1832">
        <f>'Expenditures 15-22'!E174</f>
        <v>500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184001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675000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859001</v>
      </c>
      <c r="C1317" s="2" t="s">
        <v>569</v>
      </c>
      <c r="D1317" s="2" t="str">
        <f t="shared" si="19"/>
        <v>Error?</v>
      </c>
    </row>
    <row r="1318" spans="1:4" x14ac:dyDescent="0.2">
      <c r="A1318" s="5">
        <v>1257</v>
      </c>
      <c r="B1318" s="1832">
        <f>'Expenditures 15-22'!H174</f>
        <v>859001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184001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675000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859501</v>
      </c>
      <c r="C1331" s="2" t="s">
        <v>569</v>
      </c>
      <c r="D1331" s="2" t="str">
        <f t="shared" si="19"/>
        <v>Error?</v>
      </c>
    </row>
    <row r="1332" spans="1:4" x14ac:dyDescent="0.2">
      <c r="A1332" s="5">
        <v>1271</v>
      </c>
      <c r="B1332" s="1832">
        <f>'Expenditures 15-22'!K174</f>
        <v>859501</v>
      </c>
      <c r="C1332" s="2" t="s">
        <v>569</v>
      </c>
      <c r="D1332" s="2" t="str">
        <f t="shared" si="19"/>
        <v>Error?</v>
      </c>
    </row>
    <row r="1333" spans="1:4" x14ac:dyDescent="0.2">
      <c r="A1333" s="5">
        <v>1272</v>
      </c>
      <c r="B1333" s="1832">
        <f>'Expenditures 15-22'!K175</f>
        <v>11781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304409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304409</v>
      </c>
      <c r="C1339" s="2" t="s">
        <v>569</v>
      </c>
      <c r="D1339" s="2" t="str">
        <f t="shared" si="19"/>
        <v>Error?</v>
      </c>
    </row>
    <row r="1340" spans="1:4" x14ac:dyDescent="0.2">
      <c r="A1340" s="5">
        <v>1279</v>
      </c>
      <c r="B1340" s="1832">
        <f>'Expenditures 15-22'!C210</f>
        <v>304409</v>
      </c>
      <c r="C1340" s="2" t="s">
        <v>569</v>
      </c>
      <c r="D1340" s="2" t="str">
        <f t="shared" si="19"/>
        <v>Error?</v>
      </c>
    </row>
    <row r="1341" spans="1:4" x14ac:dyDescent="0.2">
      <c r="A1341" s="5">
        <v>1280</v>
      </c>
      <c r="B1341" s="1832">
        <f>'Expenditures 15-22'!D182</f>
        <v>50421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50421</v>
      </c>
      <c r="C1345" s="2" t="s">
        <v>569</v>
      </c>
      <c r="D1345" s="2" t="str">
        <f t="shared" si="20"/>
        <v>Error?</v>
      </c>
    </row>
    <row r="1346" spans="1:4" x14ac:dyDescent="0.2">
      <c r="A1346" s="5">
        <v>1285</v>
      </c>
      <c r="B1346" s="1832">
        <f>'Expenditures 15-22'!D210</f>
        <v>50421</v>
      </c>
      <c r="C1346" s="2" t="s">
        <v>569</v>
      </c>
      <c r="D1346" s="2" t="str">
        <f t="shared" si="20"/>
        <v>Error?</v>
      </c>
    </row>
    <row r="1347" spans="1:4" x14ac:dyDescent="0.2">
      <c r="A1347" s="5">
        <v>1286</v>
      </c>
      <c r="B1347" s="1832">
        <f>'Expenditures 15-22'!E182</f>
        <v>118142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118142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118142</v>
      </c>
      <c r="C1353" s="2" t="s">
        <v>569</v>
      </c>
      <c r="D1353" s="2" t="str">
        <f t="shared" si="20"/>
        <v>Error?</v>
      </c>
    </row>
    <row r="1354" spans="1:4" x14ac:dyDescent="0.2">
      <c r="A1354" s="5">
        <v>1293</v>
      </c>
      <c r="B1354" s="1832">
        <f>'Expenditures 15-22'!F182</f>
        <v>30157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30157</v>
      </c>
      <c r="C1358" s="2" t="s">
        <v>569</v>
      </c>
      <c r="D1358" s="2" t="str">
        <f t="shared" si="20"/>
        <v>Error?</v>
      </c>
    </row>
    <row r="1359" spans="1:4" x14ac:dyDescent="0.2">
      <c r="A1359" s="5">
        <v>1298</v>
      </c>
      <c r="B1359" s="1832">
        <f>'Expenditures 15-22'!F210</f>
        <v>30157</v>
      </c>
      <c r="C1359" s="2" t="s">
        <v>569</v>
      </c>
      <c r="D1359" s="2" t="str">
        <f t="shared" si="20"/>
        <v>Error?</v>
      </c>
    </row>
    <row r="1360" spans="1:4" x14ac:dyDescent="0.2">
      <c r="A1360" s="5">
        <v>1299</v>
      </c>
      <c r="B1360" s="1832">
        <f>'Expenditures 15-22'!G182</f>
        <v>50904</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50904</v>
      </c>
      <c r="C1364" s="2" t="s">
        <v>569</v>
      </c>
      <c r="D1364" s="2" t="str">
        <f t="shared" si="20"/>
        <v>Error?</v>
      </c>
    </row>
    <row r="1365" spans="1:4" x14ac:dyDescent="0.2">
      <c r="A1365" s="5">
        <v>1304</v>
      </c>
      <c r="B1365" s="1832">
        <f>'Expenditures 15-22'!G210</f>
        <v>50904</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554033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554033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554033</v>
      </c>
      <c r="C1388" s="2" t="s">
        <v>569</v>
      </c>
      <c r="D1388" s="2" t="str">
        <f t="shared" si="20"/>
        <v>Error?</v>
      </c>
    </row>
    <row r="1389" spans="1:4" x14ac:dyDescent="0.2">
      <c r="A1389" s="5">
        <v>1328</v>
      </c>
      <c r="B1389" s="1832">
        <f>'Expenditures 15-22'!K211</f>
        <v>-41972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1614</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99941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1754</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1754</v>
      </c>
      <c r="C1417" s="2" t="s">
        <v>569</v>
      </c>
      <c r="D1417" s="2" t="str">
        <f t="shared" si="21"/>
        <v>Error?</v>
      </c>
    </row>
    <row r="1418" spans="1:4" x14ac:dyDescent="0.2">
      <c r="A1418" s="5">
        <v>1357</v>
      </c>
      <c r="B1418" s="1832">
        <f>'Expenditures 15-22'!D240</f>
        <v>10592</v>
      </c>
      <c r="D1418" s="2" t="str">
        <f t="shared" si="21"/>
        <v>Error?</v>
      </c>
    </row>
    <row r="1419" spans="1:4" x14ac:dyDescent="0.2">
      <c r="A1419" s="5">
        <v>1358</v>
      </c>
      <c r="B1419" s="1832">
        <f>'Expenditures 15-22'!D241</f>
        <v>9821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20413</v>
      </c>
      <c r="C1421" s="2" t="s">
        <v>569</v>
      </c>
      <c r="D1421" s="2" t="str">
        <f t="shared" si="21"/>
        <v>Error?</v>
      </c>
    </row>
    <row r="1422" spans="1:4" x14ac:dyDescent="0.2">
      <c r="A1422" s="5">
        <v>1361</v>
      </c>
      <c r="B1422" s="1832">
        <f>'Expenditures 15-22'!D245</f>
        <v>779</v>
      </c>
      <c r="D1422" s="2" t="str">
        <f t="shared" si="21"/>
        <v>Error?</v>
      </c>
    </row>
    <row r="1423" spans="1:4" x14ac:dyDescent="0.2">
      <c r="A1423" s="5">
        <v>1362</v>
      </c>
      <c r="B1423" s="1832">
        <f>'Expenditures 15-22'!D246</f>
        <v>29009</v>
      </c>
      <c r="D1423" s="2" t="str">
        <f t="shared" si="21"/>
        <v>Error?</v>
      </c>
    </row>
    <row r="1424" spans="1:4" x14ac:dyDescent="0.2">
      <c r="A1424" s="5">
        <v>1363</v>
      </c>
      <c r="B1424" s="1832">
        <f>'Expenditures 15-22'!D257</f>
        <v>29851</v>
      </c>
      <c r="C1424" s="2" t="s">
        <v>569</v>
      </c>
      <c r="D1424" s="2" t="str">
        <f t="shared" si="21"/>
        <v>Error?</v>
      </c>
    </row>
    <row r="1425" spans="1:4" x14ac:dyDescent="0.2">
      <c r="A1425" s="5">
        <v>1364</v>
      </c>
      <c r="B1425" s="1832">
        <f>'Expenditures 15-22'!D259</f>
        <v>31774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31774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12382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66805</v>
      </c>
      <c r="D1431" s="2" t="str">
        <f t="shared" si="21"/>
        <v>Error?</v>
      </c>
    </row>
    <row r="1432" spans="1:4" x14ac:dyDescent="0.2">
      <c r="A1432" s="5">
        <v>1371</v>
      </c>
      <c r="B1432" s="1832">
        <f>'Expenditures 15-22'!D267</f>
        <v>55944</v>
      </c>
      <c r="D1432" s="2" t="str">
        <f t="shared" si="21"/>
        <v>Error?</v>
      </c>
    </row>
    <row r="1433" spans="1:4" x14ac:dyDescent="0.2">
      <c r="A1433" s="5">
        <v>1372</v>
      </c>
      <c r="B1433" s="1832">
        <f>'Expenditures 15-22'!D268</f>
        <v>39881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175012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32</v>
      </c>
      <c r="D1442" s="2" t="str">
        <f t="shared" si="21"/>
        <v>Error?</v>
      </c>
    </row>
    <row r="1443" spans="1:4" x14ac:dyDescent="0.2">
      <c r="A1443" s="10">
        <v>1382</v>
      </c>
      <c r="B1443" s="1832"/>
      <c r="D1443" s="2" t="str">
        <f t="shared" si="21"/>
        <v>OK</v>
      </c>
    </row>
    <row r="1444" spans="1:4" x14ac:dyDescent="0.2">
      <c r="A1444" s="5">
        <v>1383</v>
      </c>
      <c r="B1444" s="1832">
        <f>'Expenditures 15-22'!D277</f>
        <v>32</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258836</v>
      </c>
      <c r="C1446" s="2" t="s">
        <v>569</v>
      </c>
      <c r="D1446" s="2" t="str">
        <f t="shared" si="21"/>
        <v>Error?</v>
      </c>
    </row>
    <row r="1447" spans="1:4" x14ac:dyDescent="0.2">
      <c r="A1447" s="5">
        <v>1386</v>
      </c>
      <c r="B1447" s="1832">
        <f>'Expenditures 15-22'!D280</f>
        <v>53505</v>
      </c>
      <c r="D1447" s="2" t="str">
        <f t="shared" si="21"/>
        <v>Error?</v>
      </c>
    </row>
    <row r="1448" spans="1:4" x14ac:dyDescent="0.2">
      <c r="A1448" s="5">
        <v>1387</v>
      </c>
      <c r="B1448" s="1832">
        <f>'Expenditures 15-22'!D295</f>
        <v>412282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1614</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99941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1754</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1754</v>
      </c>
      <c r="C1481" s="2" t="s">
        <v>569</v>
      </c>
      <c r="D1481" s="2" t="str">
        <f t="shared" si="22"/>
        <v>Error?</v>
      </c>
    </row>
    <row r="1482" spans="1:4" x14ac:dyDescent="0.2">
      <c r="A1482" s="5">
        <v>1421</v>
      </c>
      <c r="B1482" s="1832">
        <f>'Expenditures 15-22'!K240</f>
        <v>10592</v>
      </c>
      <c r="C1482" s="2" t="s">
        <v>569</v>
      </c>
      <c r="D1482" s="2" t="str">
        <f t="shared" si="22"/>
        <v>Error?</v>
      </c>
    </row>
    <row r="1483" spans="1:4" x14ac:dyDescent="0.2">
      <c r="A1483" s="5">
        <v>1422</v>
      </c>
      <c r="B1483" s="1832">
        <f>'Expenditures 15-22'!K241</f>
        <v>9821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20413</v>
      </c>
      <c r="C1485" s="2" t="s">
        <v>569</v>
      </c>
      <c r="D1485" s="2" t="str">
        <f t="shared" si="22"/>
        <v>Error?</v>
      </c>
    </row>
    <row r="1486" spans="1:4" x14ac:dyDescent="0.2">
      <c r="A1486" s="5">
        <v>1425</v>
      </c>
      <c r="B1486" s="1832">
        <f>'Expenditures 15-22'!K245</f>
        <v>779</v>
      </c>
      <c r="C1486" s="2" t="s">
        <v>569</v>
      </c>
      <c r="D1486" s="2" t="str">
        <f t="shared" si="22"/>
        <v>Error?</v>
      </c>
    </row>
    <row r="1487" spans="1:4" x14ac:dyDescent="0.2">
      <c r="A1487" s="5">
        <v>1426</v>
      </c>
      <c r="B1487" s="1832">
        <f>'Expenditures 15-22'!K246</f>
        <v>29009</v>
      </c>
      <c r="C1487" s="2" t="s">
        <v>569</v>
      </c>
      <c r="D1487" s="2" t="str">
        <f t="shared" si="22"/>
        <v>Error?</v>
      </c>
    </row>
    <row r="1488" spans="1:4" x14ac:dyDescent="0.2">
      <c r="A1488" s="5">
        <v>1427</v>
      </c>
      <c r="B1488" s="1832">
        <f>'Expenditures 15-22'!K257</f>
        <v>29851</v>
      </c>
      <c r="C1488" s="2" t="s">
        <v>569</v>
      </c>
      <c r="D1488" s="2" t="str">
        <f t="shared" si="22"/>
        <v>Error?</v>
      </c>
    </row>
    <row r="1489" spans="1:4" x14ac:dyDescent="0.2">
      <c r="A1489" s="5">
        <v>1428</v>
      </c>
      <c r="B1489" s="1832">
        <f>'Expenditures 15-22'!K259</f>
        <v>31774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31774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12382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66805</v>
      </c>
      <c r="C1495" s="2" t="s">
        <v>569</v>
      </c>
      <c r="D1495" s="2" t="str">
        <f t="shared" si="22"/>
        <v>Error?</v>
      </c>
    </row>
    <row r="1496" spans="1:4" x14ac:dyDescent="0.2">
      <c r="A1496" s="5">
        <v>1435</v>
      </c>
      <c r="B1496" s="1832">
        <f>'Expenditures 15-22'!K267</f>
        <v>55944</v>
      </c>
      <c r="C1496" s="2" t="s">
        <v>569</v>
      </c>
      <c r="D1496" s="2" t="str">
        <f t="shared" si="22"/>
        <v>Error?</v>
      </c>
    </row>
    <row r="1497" spans="1:4" x14ac:dyDescent="0.2">
      <c r="A1497" s="5">
        <v>1436</v>
      </c>
      <c r="B1497" s="1832">
        <f>'Expenditures 15-22'!K268</f>
        <v>39881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175012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32</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32</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258836</v>
      </c>
      <c r="C1510" s="2" t="s">
        <v>569</v>
      </c>
      <c r="D1510" s="2" t="str">
        <f t="shared" si="22"/>
        <v>Error?</v>
      </c>
    </row>
    <row r="1511" spans="1:4" x14ac:dyDescent="0.2">
      <c r="A1511" s="5">
        <v>1450</v>
      </c>
      <c r="B1511" s="1832">
        <f>'Expenditures 15-22'!K280</f>
        <v>53505</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412282</v>
      </c>
      <c r="C1517" s="2" t="s">
        <v>569</v>
      </c>
      <c r="D1517" s="2" t="str">
        <f t="shared" si="22"/>
        <v>Error?</v>
      </c>
    </row>
    <row r="1518" spans="1:4" x14ac:dyDescent="0.2">
      <c r="A1518" s="5">
        <v>1457</v>
      </c>
      <c r="B1518" s="1832">
        <f>'Expenditures 15-22'!K296</f>
        <v>-29789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150712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150712</v>
      </c>
      <c r="C1547" s="2" t="s">
        <v>569</v>
      </c>
      <c r="D1547" s="2" t="str">
        <f t="shared" si="23"/>
        <v>Error?</v>
      </c>
    </row>
    <row r="1548" spans="1:4" x14ac:dyDescent="0.2">
      <c r="A1548" s="5">
        <v>1487</v>
      </c>
      <c r="B1548" s="1832">
        <f>'Expenditures 15-22'!G312</f>
        <v>150712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150712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150712</v>
      </c>
      <c r="C1559" s="2" t="s">
        <v>569</v>
      </c>
      <c r="D1559" s="2" t="str">
        <f t="shared" si="23"/>
        <v>Error?</v>
      </c>
    </row>
    <row r="1560" spans="1:4" x14ac:dyDescent="0.2">
      <c r="A1560" s="5">
        <v>1499</v>
      </c>
      <c r="B1560" s="1832">
        <f>'Expenditures 15-22'!K312</f>
        <v>150712</v>
      </c>
      <c r="C1560" s="2" t="s">
        <v>569</v>
      </c>
      <c r="D1560" s="2" t="str">
        <f t="shared" si="23"/>
        <v>Error?</v>
      </c>
    </row>
    <row r="1561" spans="1:4" x14ac:dyDescent="0.2">
      <c r="A1561" s="5">
        <v>1500</v>
      </c>
      <c r="B1561" s="1832">
        <f>'Expenditures 15-22'!K313</f>
        <v>83266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5769703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9390868</v>
      </c>
      <c r="C1630" s="2" t="s">
        <v>569</v>
      </c>
      <c r="D1630" s="2" t="str">
        <f t="shared" si="24"/>
        <v>Error?</v>
      </c>
    </row>
    <row r="1631" spans="1:4" x14ac:dyDescent="0.2">
      <c r="A1631" s="5">
        <v>1570</v>
      </c>
      <c r="B1631" s="1832">
        <f>'Acct Summary 7-8'!D79</f>
        <v>514246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654053</v>
      </c>
      <c r="C1644" s="2" t="s">
        <v>569</v>
      </c>
      <c r="D1644" s="2" t="str">
        <f t="shared" si="24"/>
        <v>Error?</v>
      </c>
    </row>
    <row r="1645" spans="1:4" x14ac:dyDescent="0.2">
      <c r="A1645" s="5">
        <v>1584</v>
      </c>
      <c r="B1645" s="1832">
        <f>'Acct Summary 7-8'!E79</f>
        <v>333863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360644</v>
      </c>
      <c r="C1658" s="2" t="s">
        <v>569</v>
      </c>
      <c r="D1658" s="2" t="str">
        <f t="shared" si="24"/>
        <v>Error?</v>
      </c>
    </row>
    <row r="1659" spans="1:4" x14ac:dyDescent="0.2">
      <c r="A1659" s="5">
        <v>1598</v>
      </c>
      <c r="B1659" s="1832">
        <f>'Acct Summary 7-8'!F79</f>
        <v>703417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661445</v>
      </c>
      <c r="C1672" s="2" t="s">
        <v>569</v>
      </c>
      <c r="D1672" s="2" t="str">
        <f t="shared" si="25"/>
        <v>Error?</v>
      </c>
    </row>
    <row r="1673" spans="1:4" x14ac:dyDescent="0.2">
      <c r="A1673" s="5">
        <v>1612</v>
      </c>
      <c r="B1673" s="1832">
        <f>'Acct Summary 7-8'!G79</f>
        <v>810256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780467</v>
      </c>
      <c r="C1686" s="2" t="s">
        <v>569</v>
      </c>
      <c r="D1686" s="2" t="str">
        <f t="shared" si="25"/>
        <v>Error?</v>
      </c>
    </row>
    <row r="1687" spans="1:4" x14ac:dyDescent="0.2">
      <c r="A1687" s="5">
        <v>1626</v>
      </c>
      <c r="B1687" s="1832">
        <f>'Acct Summary 7-8'!H79</f>
        <v>100706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183972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4238796</v>
      </c>
      <c r="C1744" s="2" t="s">
        <v>569</v>
      </c>
      <c r="D1744" s="2" t="str">
        <f t="shared" si="26"/>
        <v>Error?</v>
      </c>
    </row>
    <row r="1745" spans="1:5" x14ac:dyDescent="0.2">
      <c r="A1745" s="5">
        <v>1684</v>
      </c>
      <c r="B1745" s="1832">
        <f>'Tax Sched 23'!B5</f>
        <v>397387</v>
      </c>
      <c r="C1745" s="2" t="s">
        <v>569</v>
      </c>
      <c r="D1745" s="2" t="str">
        <f t="shared" si="26"/>
        <v>Error?</v>
      </c>
    </row>
    <row r="1746" spans="1:5" x14ac:dyDescent="0.2">
      <c r="A1746" s="5">
        <v>1685</v>
      </c>
      <c r="B1746" s="1832">
        <f>'Tax Sched 23'!B6</f>
        <v>867825</v>
      </c>
      <c r="C1746" s="2" t="s">
        <v>569</v>
      </c>
      <c r="D1746" s="2" t="str">
        <f t="shared" si="26"/>
        <v>Error?</v>
      </c>
    </row>
    <row r="1747" spans="1:5" x14ac:dyDescent="0.2">
      <c r="A1747" s="5">
        <v>1686</v>
      </c>
      <c r="B1747" s="1832">
        <f>'Tax Sched 23'!B7</f>
        <v>211940</v>
      </c>
      <c r="C1747" s="2" t="s">
        <v>569</v>
      </c>
      <c r="D1747" s="2" t="str">
        <f t="shared" si="26"/>
        <v>Error?</v>
      </c>
    </row>
    <row r="1748" spans="1:5" x14ac:dyDescent="0.2">
      <c r="A1748" s="5">
        <v>1687</v>
      </c>
      <c r="B1748" s="1832">
        <f>'Tax Sched 23'!B8</f>
        <v>119016</v>
      </c>
      <c r="C1748" s="2" t="s">
        <v>569</v>
      </c>
      <c r="D1748" s="2" t="str">
        <f t="shared" si="26"/>
        <v>Error?</v>
      </c>
    </row>
    <row r="1749" spans="1:5" x14ac:dyDescent="0.2">
      <c r="A1749" s="5">
        <v>1688</v>
      </c>
      <c r="B1749" s="1832">
        <f>'Tax Sched 23'!B10</f>
        <v>19631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52556</v>
      </c>
      <c r="C1752" s="2" t="s">
        <v>569</v>
      </c>
      <c r="D1752" s="2" t="str">
        <f t="shared" si="26"/>
        <v>Error?</v>
      </c>
    </row>
    <row r="1753" spans="1:5" x14ac:dyDescent="0.2">
      <c r="A1753" s="5">
        <v>1692</v>
      </c>
      <c r="B1753" s="1832">
        <f>'Tax Sched 23'!B12</f>
        <v>51260</v>
      </c>
      <c r="C1753" s="2" t="s">
        <v>569</v>
      </c>
      <c r="D1753" s="2" t="str">
        <f t="shared" si="26"/>
        <v>Error?</v>
      </c>
    </row>
    <row r="1754" spans="1:5" x14ac:dyDescent="0.2">
      <c r="A1754" s="5">
        <v>1693</v>
      </c>
      <c r="B1754" s="1832">
        <f>'Tax Sched 23'!B14</f>
        <v>42183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6106622</v>
      </c>
      <c r="C1759" s="2" t="s">
        <v>569</v>
      </c>
      <c r="D1759" s="2" t="str">
        <f t="shared" si="26"/>
        <v>Error?</v>
      </c>
    </row>
    <row r="1760" spans="1:5" x14ac:dyDescent="0.2">
      <c r="A1760" s="5">
        <v>1699</v>
      </c>
      <c r="B1760" s="1832">
        <f>'Tax Sched 23'!D4</f>
        <v>2530293</v>
      </c>
      <c r="C1760" s="2" t="s">
        <v>569</v>
      </c>
      <c r="D1760" s="2" t="str">
        <f t="shared" si="26"/>
        <v>Error?</v>
      </c>
    </row>
    <row r="1761" spans="1:7" x14ac:dyDescent="0.2">
      <c r="A1761" s="5">
        <v>1700</v>
      </c>
      <c r="B1761" s="1832">
        <f>'Tax Sched 23'!D5</f>
        <v>237215</v>
      </c>
      <c r="C1761" s="2" t="s">
        <v>569</v>
      </c>
      <c r="D1761" s="2" t="str">
        <f t="shared" si="26"/>
        <v>Error?</v>
      </c>
    </row>
    <row r="1762" spans="1:7" s="8" customFormat="1" x14ac:dyDescent="0.2">
      <c r="A1762" s="5">
        <v>1701</v>
      </c>
      <c r="B1762" s="1832">
        <f>'Tax Sched 23'!D6</f>
        <v>524429</v>
      </c>
      <c r="C1762" s="2" t="s">
        <v>569</v>
      </c>
      <c r="D1762" s="2" t="str">
        <f t="shared" si="26"/>
        <v>Error?</v>
      </c>
      <c r="E1762" s="9"/>
      <c r="G1762"/>
    </row>
    <row r="1763" spans="1:7" x14ac:dyDescent="0.2">
      <c r="A1763" s="5">
        <v>1702</v>
      </c>
      <c r="B1763" s="1832">
        <f>'Tax Sched 23'!D7</f>
        <v>126515</v>
      </c>
      <c r="C1763" s="2" t="s">
        <v>569</v>
      </c>
      <c r="D1763" s="2" t="str">
        <f t="shared" si="26"/>
        <v>Error?</v>
      </c>
    </row>
    <row r="1764" spans="1:7" x14ac:dyDescent="0.2">
      <c r="A1764" s="5">
        <v>1703</v>
      </c>
      <c r="B1764" s="1832">
        <f>'Tax Sched 23'!D8</f>
        <v>71908</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32925</v>
      </c>
      <c r="C1768" s="2" t="s">
        <v>569</v>
      </c>
      <c r="D1768" s="2" t="str">
        <f t="shared" si="26"/>
        <v>Error?</v>
      </c>
    </row>
    <row r="1769" spans="1:7" x14ac:dyDescent="0.2">
      <c r="A1769" s="5">
        <v>1708</v>
      </c>
      <c r="B1769" s="1832">
        <f>'Tax Sched 23'!D12</f>
        <v>31629</v>
      </c>
      <c r="C1769" s="2" t="s">
        <v>569</v>
      </c>
      <c r="D1769" s="2" t="str">
        <f t="shared" si="26"/>
        <v>Error?</v>
      </c>
    </row>
    <row r="1770" spans="1:7" x14ac:dyDescent="0.2">
      <c r="A1770" s="5">
        <v>1709</v>
      </c>
      <c r="B1770" s="1832">
        <f>'Tax Sched 23'!D14</f>
        <v>25303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3643063</v>
      </c>
      <c r="C1775" s="2" t="s">
        <v>569</v>
      </c>
      <c r="D1775" s="2" t="str">
        <f t="shared" si="26"/>
        <v>Error?</v>
      </c>
    </row>
    <row r="1776" spans="1:7" x14ac:dyDescent="0.2">
      <c r="A1776" s="5">
        <v>1715</v>
      </c>
      <c r="B1776" s="1832">
        <f>'Tax Sched 23'!C4</f>
        <v>1708503</v>
      </c>
      <c r="D1776" s="2" t="str">
        <f t="shared" si="26"/>
        <v>Error?</v>
      </c>
    </row>
    <row r="1777" spans="1:4" x14ac:dyDescent="0.2">
      <c r="A1777" s="5">
        <v>1716</v>
      </c>
      <c r="B1777" s="1832">
        <f>'Tax Sched 23'!C5</f>
        <v>160172</v>
      </c>
      <c r="D1777" s="2" t="str">
        <f t="shared" si="26"/>
        <v>Error?</v>
      </c>
    </row>
    <row r="1778" spans="1:4" x14ac:dyDescent="0.2">
      <c r="A1778" s="5">
        <v>1717</v>
      </c>
      <c r="B1778" s="1832">
        <f>'Tax Sched 23'!C6</f>
        <v>343396</v>
      </c>
      <c r="D1778" s="2" t="str">
        <f t="shared" si="26"/>
        <v>Error?</v>
      </c>
    </row>
    <row r="1779" spans="1:4" x14ac:dyDescent="0.2">
      <c r="A1779" s="5">
        <v>1718</v>
      </c>
      <c r="B1779" s="1832">
        <f>'Tax Sched 23'!C7</f>
        <v>85425</v>
      </c>
      <c r="D1779" s="2" t="str">
        <f t="shared" si="26"/>
        <v>Error?</v>
      </c>
    </row>
    <row r="1780" spans="1:4" x14ac:dyDescent="0.2">
      <c r="A1780" s="5">
        <v>1719</v>
      </c>
      <c r="B1780" s="1832">
        <f>'Tax Sched 23'!C8</f>
        <v>47108</v>
      </c>
      <c r="D1780" s="2" t="str">
        <f t="shared" si="26"/>
        <v>Error?</v>
      </c>
    </row>
    <row r="1781" spans="1:4" x14ac:dyDescent="0.2">
      <c r="A1781" s="5">
        <v>1720</v>
      </c>
      <c r="B1781" s="1832">
        <f>'Tax Sched 23'!C10</f>
        <v>19631</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19631</v>
      </c>
      <c r="D1784" s="2" t="str">
        <f t="shared" si="26"/>
        <v>Error?</v>
      </c>
    </row>
    <row r="1785" spans="1:4" x14ac:dyDescent="0.2">
      <c r="A1785" s="5">
        <v>1724</v>
      </c>
      <c r="B1785" s="1832">
        <f>'Tax Sched 23'!C12</f>
        <v>19631</v>
      </c>
      <c r="D1785" s="2" t="str">
        <f t="shared" si="26"/>
        <v>Error?</v>
      </c>
    </row>
    <row r="1786" spans="1:4" x14ac:dyDescent="0.2">
      <c r="A1786" s="5">
        <v>1725</v>
      </c>
      <c r="B1786" s="1832">
        <f>'Tax Sched 23'!C14</f>
        <v>16880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2463559</v>
      </c>
      <c r="C1791" s="2" t="s">
        <v>569</v>
      </c>
      <c r="D1791" s="2" t="str">
        <f t="shared" ref="D1791:D1854" si="27">IF(ISBLANK(B1791),"OK",IF(A1791-B1791=0,"OK","Error?"))</f>
        <v>Error?</v>
      </c>
    </row>
    <row r="1792" spans="1:4" x14ac:dyDescent="0.2">
      <c r="A1792" s="5">
        <v>1731</v>
      </c>
      <c r="B1792" s="1832">
        <f>'Tax Sched 23'!F4</f>
        <v>2643927</v>
      </c>
      <c r="C1792" s="2" t="s">
        <v>569</v>
      </c>
      <c r="D1792" s="2" t="str">
        <f t="shared" si="27"/>
        <v>Error?</v>
      </c>
    </row>
    <row r="1793" spans="1:4" x14ac:dyDescent="0.2">
      <c r="A1793" s="5">
        <v>1732</v>
      </c>
      <c r="B1793" s="1832">
        <f>'Tax Sched 23'!F5</f>
        <v>247868</v>
      </c>
      <c r="C1793" s="2" t="s">
        <v>569</v>
      </c>
      <c r="D1793" s="2" t="str">
        <f t="shared" si="27"/>
        <v>Error?</v>
      </c>
    </row>
    <row r="1794" spans="1:4" x14ac:dyDescent="0.2">
      <c r="A1794" s="5">
        <v>1733</v>
      </c>
      <c r="B1794" s="1832">
        <f>'Tax Sched 23'!F6</f>
        <v>531410</v>
      </c>
      <c r="C1794" s="2" t="s">
        <v>569</v>
      </c>
      <c r="D1794" s="2" t="str">
        <f t="shared" si="27"/>
        <v>Error?</v>
      </c>
    </row>
    <row r="1795" spans="1:4" x14ac:dyDescent="0.2">
      <c r="A1795" s="5">
        <v>1734</v>
      </c>
      <c r="B1795" s="1832">
        <f>'Tax Sched 23'!F7</f>
        <v>132197</v>
      </c>
      <c r="C1795" s="2" t="s">
        <v>569</v>
      </c>
      <c r="D1795" s="2" t="str">
        <f t="shared" si="27"/>
        <v>Error?</v>
      </c>
    </row>
    <row r="1796" spans="1:4" x14ac:dyDescent="0.2">
      <c r="A1796" s="5">
        <v>1735</v>
      </c>
      <c r="B1796" s="1832">
        <f>'Tax Sched 23'!F8</f>
        <v>72899</v>
      </c>
      <c r="C1796" s="2" t="s">
        <v>569</v>
      </c>
      <c r="D1796" s="2" t="str">
        <f t="shared" si="27"/>
        <v>Error?</v>
      </c>
    </row>
    <row r="1797" spans="1:4" x14ac:dyDescent="0.2">
      <c r="A1797" s="5">
        <v>1736</v>
      </c>
      <c r="B1797" s="1832">
        <f>'Tax Sched 23'!F10</f>
        <v>30378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30378</v>
      </c>
      <c r="C1800" s="2" t="s">
        <v>569</v>
      </c>
      <c r="D1800" s="2" t="str">
        <f t="shared" si="27"/>
        <v>Error?</v>
      </c>
    </row>
    <row r="1801" spans="1:4" x14ac:dyDescent="0.2">
      <c r="A1801" s="5">
        <v>1740</v>
      </c>
      <c r="B1801" s="1832">
        <f>'Tax Sched 23'!F12</f>
        <v>30378</v>
      </c>
      <c r="C1801" s="2" t="s">
        <v>569</v>
      </c>
      <c r="D1801" s="2" t="str">
        <f t="shared" si="27"/>
        <v>Error?</v>
      </c>
    </row>
    <row r="1802" spans="1:4" x14ac:dyDescent="0.2">
      <c r="A1802" s="5">
        <v>1741</v>
      </c>
      <c r="B1802" s="1832">
        <f>'Tax Sched 23'!F14</f>
        <v>26122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3812383</v>
      </c>
      <c r="C1807" s="2" t="s">
        <v>569</v>
      </c>
      <c r="D1807" s="2" t="str">
        <f t="shared" si="27"/>
        <v>Error?</v>
      </c>
    </row>
    <row r="1808" spans="1:4" x14ac:dyDescent="0.2">
      <c r="A1808" s="5">
        <v>1747</v>
      </c>
      <c r="B1808" s="1832">
        <f>'Tax Sched 23'!E4</f>
        <v>4352430</v>
      </c>
      <c r="D1808" s="2" t="str">
        <f t="shared" si="27"/>
        <v>Error?</v>
      </c>
    </row>
    <row r="1809" spans="1:4" x14ac:dyDescent="0.2">
      <c r="A1809" s="5">
        <v>1748</v>
      </c>
      <c r="B1809" s="1832">
        <f>'Tax Sched 23'!E5</f>
        <v>408040</v>
      </c>
      <c r="D1809" s="2" t="str">
        <f t="shared" si="27"/>
        <v>Error?</v>
      </c>
    </row>
    <row r="1810" spans="1:4" x14ac:dyDescent="0.2">
      <c r="A1810" s="5">
        <v>1749</v>
      </c>
      <c r="B1810" s="1832">
        <f>'Tax Sched 23'!E6</f>
        <v>874806</v>
      </c>
      <c r="D1810" s="2" t="str">
        <f t="shared" si="27"/>
        <v>Error?</v>
      </c>
    </row>
    <row r="1811" spans="1:4" x14ac:dyDescent="0.2">
      <c r="A1811" s="5">
        <v>1750</v>
      </c>
      <c r="B1811" s="1832">
        <f>'Tax Sched 23'!E7</f>
        <v>217622</v>
      </c>
      <c r="D1811" s="2" t="str">
        <f t="shared" si="27"/>
        <v>Error?</v>
      </c>
    </row>
    <row r="1812" spans="1:4" x14ac:dyDescent="0.2">
      <c r="A1812" s="5">
        <v>1751</v>
      </c>
      <c r="B1812" s="1832">
        <f>'Tax Sched 23'!E8</f>
        <v>120007</v>
      </c>
      <c r="D1812" s="2" t="str">
        <f t="shared" si="27"/>
        <v>Error?</v>
      </c>
    </row>
    <row r="1813" spans="1:4" x14ac:dyDescent="0.2">
      <c r="A1813" s="5">
        <v>1752</v>
      </c>
      <c r="B1813" s="1832">
        <f>'Tax Sched 23'!E10</f>
        <v>50009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50009</v>
      </c>
      <c r="D1816" s="2" t="str">
        <f t="shared" si="27"/>
        <v>Error?</v>
      </c>
    </row>
    <row r="1817" spans="1:4" x14ac:dyDescent="0.2">
      <c r="A1817" s="5">
        <v>1756</v>
      </c>
      <c r="B1817" s="1832">
        <f>'Tax Sched 23'!E12</f>
        <v>50009</v>
      </c>
      <c r="D1817" s="2" t="str">
        <f t="shared" si="27"/>
        <v>Error?</v>
      </c>
    </row>
    <row r="1818" spans="1:4" x14ac:dyDescent="0.2">
      <c r="A1818" s="5">
        <v>1757</v>
      </c>
      <c r="B1818" s="1832">
        <f>'Tax Sched 23'!E14</f>
        <v>43002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6275942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4840000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42183</v>
      </c>
      <c r="D1972" s="2" t="str">
        <f t="shared" si="29"/>
        <v>Error?</v>
      </c>
    </row>
    <row r="1973" spans="1:5" x14ac:dyDescent="0.2">
      <c r="A1973" s="5">
        <v>1912</v>
      </c>
      <c r="B1973" s="1832">
        <f>'Rest Tax Levies-Tort Im 25'!H6</f>
        <v>58</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42241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42241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216942</v>
      </c>
      <c r="D2008" s="2" t="str">
        <f t="shared" si="30"/>
        <v>Error?</v>
      </c>
    </row>
    <row r="2009" spans="1:4" x14ac:dyDescent="0.2">
      <c r="A2009" s="5">
        <v>1948</v>
      </c>
      <c r="B2009" s="1832">
        <f>'Cap Outlay Deprec 26'!C8</f>
        <v>13728529</v>
      </c>
      <c r="D2009" s="2" t="str">
        <f t="shared" si="30"/>
        <v>Error?</v>
      </c>
    </row>
    <row r="2010" spans="1:4" x14ac:dyDescent="0.2">
      <c r="A2010" s="5">
        <v>1949</v>
      </c>
      <c r="B2010" s="1832">
        <f>'Cap Outlay Deprec 26'!C10</f>
        <v>1150675</v>
      </c>
      <c r="D2010" s="2" t="str">
        <f t="shared" si="30"/>
        <v>Error?</v>
      </c>
    </row>
    <row r="2011" spans="1:4" x14ac:dyDescent="0.2">
      <c r="A2011" s="5">
        <v>1950</v>
      </c>
      <c r="B2011" s="1832">
        <f>'Cap Outlay Deprec 26'!C12</f>
        <v>658916</v>
      </c>
      <c r="D2011" s="2" t="str">
        <f t="shared" si="30"/>
        <v>Error?</v>
      </c>
    </row>
    <row r="2012" spans="1:4" x14ac:dyDescent="0.2">
      <c r="A2012" s="5">
        <v>1951</v>
      </c>
      <c r="B2012" s="1832">
        <f>'Cap Outlay Deprec 26'!C13</f>
        <v>923211</v>
      </c>
      <c r="D2012" s="2" t="str">
        <f t="shared" si="30"/>
        <v>Error?</v>
      </c>
    </row>
    <row r="2013" spans="1:4" x14ac:dyDescent="0.2">
      <c r="A2013" s="5">
        <v>1952</v>
      </c>
      <c r="B2013" s="1832">
        <f>'Cap Outlay Deprec 26'!C16</f>
        <v>16700330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66894</v>
      </c>
      <c r="D2015" s="2" t="str">
        <f t="shared" si="30"/>
        <v>Error?</v>
      </c>
    </row>
    <row r="2016" spans="1:4" x14ac:dyDescent="0.2">
      <c r="A2016" s="5">
        <v>1955</v>
      </c>
      <c r="B2016" s="1832">
        <f>'Cap Outlay Deprec 26'!D10</f>
        <v>85752</v>
      </c>
      <c r="D2016" s="2" t="str">
        <f t="shared" si="30"/>
        <v>Error?</v>
      </c>
    </row>
    <row r="2017" spans="1:4" x14ac:dyDescent="0.2">
      <c r="A2017" s="5">
        <v>1956</v>
      </c>
      <c r="B2017" s="1832">
        <f>'Cap Outlay Deprec 26'!D12</f>
        <v>88482</v>
      </c>
      <c r="D2017" s="2" t="str">
        <f t="shared" si="30"/>
        <v>Error?</v>
      </c>
    </row>
    <row r="2018" spans="1:4" x14ac:dyDescent="0.2">
      <c r="A2018" s="5">
        <v>1957</v>
      </c>
      <c r="B2018" s="1832">
        <f>'Cap Outlay Deprec 26'!D13</f>
        <v>50904</v>
      </c>
      <c r="D2018" s="2" t="str">
        <f t="shared" si="30"/>
        <v>Error?</v>
      </c>
    </row>
    <row r="2019" spans="1:4" x14ac:dyDescent="0.2">
      <c r="A2019" s="5">
        <v>1958</v>
      </c>
      <c r="B2019" s="1832">
        <f>'Cap Outlay Deprec 26'!D16</f>
        <v>292032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24855</v>
      </c>
      <c r="D2023" s="2" t="str">
        <f t="shared" si="30"/>
        <v>Error?</v>
      </c>
    </row>
    <row r="2024" spans="1:4" x14ac:dyDescent="0.2">
      <c r="A2024" s="5">
        <v>1963</v>
      </c>
      <c r="B2024" s="1832">
        <f>'Cap Outlay Deprec 26'!E13</f>
        <v>16707</v>
      </c>
      <c r="D2024" s="2" t="str">
        <f t="shared" si="30"/>
        <v>Error?</v>
      </c>
    </row>
    <row r="2025" spans="1:4" x14ac:dyDescent="0.2">
      <c r="A2025" s="5">
        <v>1964</v>
      </c>
      <c r="B2025" s="1832">
        <f>'Cap Outlay Deprec 26'!E16</f>
        <v>41562</v>
      </c>
      <c r="C2025" s="2" t="s">
        <v>569</v>
      </c>
      <c r="D2025" s="2" t="str">
        <f t="shared" si="30"/>
        <v>Error?</v>
      </c>
    </row>
    <row r="2026" spans="1:4" x14ac:dyDescent="0.2">
      <c r="A2026" s="5">
        <v>1965</v>
      </c>
      <c r="B2026" s="1832">
        <f>'Cap Outlay Deprec 26'!F5</f>
        <v>216942</v>
      </c>
      <c r="C2026" s="2" t="s">
        <v>569</v>
      </c>
      <c r="D2026" s="2" t="str">
        <f t="shared" si="30"/>
        <v>Error?</v>
      </c>
    </row>
    <row r="2027" spans="1:4" x14ac:dyDescent="0.2">
      <c r="A2027" s="5">
        <v>1966</v>
      </c>
      <c r="B2027" s="1832">
        <f>'Cap Outlay Deprec 26'!F8</f>
        <v>13795423</v>
      </c>
      <c r="C2027" s="2" t="s">
        <v>569</v>
      </c>
      <c r="D2027" s="2" t="str">
        <f t="shared" si="30"/>
        <v>Error?</v>
      </c>
    </row>
    <row r="2028" spans="1:4" x14ac:dyDescent="0.2">
      <c r="A2028" s="5">
        <v>1967</v>
      </c>
      <c r="B2028" s="1832">
        <f>'Cap Outlay Deprec 26'!F10</f>
        <v>1236427</v>
      </c>
      <c r="C2028" s="2" t="s">
        <v>569</v>
      </c>
      <c r="D2028" s="2" t="str">
        <f t="shared" si="30"/>
        <v>Error?</v>
      </c>
    </row>
    <row r="2029" spans="1:4" x14ac:dyDescent="0.2">
      <c r="A2029" s="5">
        <v>1968</v>
      </c>
      <c r="B2029" s="1832">
        <f>'Cap Outlay Deprec 26'!F12</f>
        <v>722543</v>
      </c>
      <c r="C2029" s="2" t="s">
        <v>569</v>
      </c>
      <c r="D2029" s="2" t="str">
        <f t="shared" si="30"/>
        <v>Error?</v>
      </c>
    </row>
    <row r="2030" spans="1:4" x14ac:dyDescent="0.2">
      <c r="A2030" s="5">
        <v>1969</v>
      </c>
      <c r="B2030" s="1832">
        <f>'Cap Outlay Deprec 26'!F13</f>
        <v>957408</v>
      </c>
      <c r="C2030" s="2" t="s">
        <v>569</v>
      </c>
      <c r="D2030" s="2" t="str">
        <f t="shared" si="30"/>
        <v>Error?</v>
      </c>
    </row>
    <row r="2031" spans="1:4" x14ac:dyDescent="0.2">
      <c r="A2031" s="5">
        <v>1970</v>
      </c>
      <c r="B2031" s="1832">
        <f>'Cap Outlay Deprec 26'!F16</f>
        <v>16950800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5587544</v>
      </c>
      <c r="D2033" s="2" t="str">
        <f t="shared" si="30"/>
        <v>Error?</v>
      </c>
    </row>
    <row r="2034" spans="1:4" x14ac:dyDescent="0.2">
      <c r="A2034" s="5">
        <v>1973</v>
      </c>
      <c r="B2034" s="1832">
        <f>'Cap Outlay Deprec 26'!H10</f>
        <v>370796</v>
      </c>
      <c r="D2034" s="2" t="str">
        <f t="shared" si="30"/>
        <v>Error?</v>
      </c>
    </row>
    <row r="2035" spans="1:4" x14ac:dyDescent="0.2">
      <c r="A2035" s="5">
        <v>1974</v>
      </c>
      <c r="B2035" s="1832">
        <f>'Cap Outlay Deprec 26'!H12</f>
        <v>331384</v>
      </c>
      <c r="D2035" s="2" t="str">
        <f t="shared" si="30"/>
        <v>Error?</v>
      </c>
    </row>
    <row r="2036" spans="1:4" x14ac:dyDescent="0.2">
      <c r="A2036" s="5">
        <v>1975</v>
      </c>
      <c r="B2036" s="1832">
        <f>'Cap Outlay Deprec 26'!H13</f>
        <v>804927</v>
      </c>
      <c r="D2036" s="2" t="str">
        <f t="shared" si="30"/>
        <v>Error?</v>
      </c>
    </row>
    <row r="2037" spans="1:4" x14ac:dyDescent="0.2">
      <c r="A2037" s="5">
        <v>1976</v>
      </c>
      <c r="B2037" s="1832">
        <f>'Cap Outlay Deprec 26'!H16</f>
        <v>7102003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274715</v>
      </c>
      <c r="D2039" s="2" t="str">
        <f t="shared" si="30"/>
        <v>Error?</v>
      </c>
    </row>
    <row r="2040" spans="1:4" x14ac:dyDescent="0.2">
      <c r="A2040" s="5">
        <v>1979</v>
      </c>
      <c r="B2040" s="1832">
        <f>'Cap Outlay Deprec 26'!I10</f>
        <v>55919</v>
      </c>
      <c r="D2040" s="2" t="str">
        <f t="shared" si="30"/>
        <v>Error?</v>
      </c>
    </row>
    <row r="2041" spans="1:4" x14ac:dyDescent="0.2">
      <c r="A2041" s="5">
        <v>1980</v>
      </c>
      <c r="B2041" s="1832">
        <f>'Cap Outlay Deprec 26'!I12</f>
        <v>72251</v>
      </c>
      <c r="D2041" s="2" t="str">
        <f t="shared" si="30"/>
        <v>Error?</v>
      </c>
    </row>
    <row r="2042" spans="1:4" x14ac:dyDescent="0.2">
      <c r="A2042" s="5">
        <v>1981</v>
      </c>
      <c r="B2042" s="1832">
        <f>'Cap Outlay Deprec 26'!I13</f>
        <v>57577</v>
      </c>
      <c r="D2042" s="2" t="str">
        <f t="shared" si="30"/>
        <v>Error?</v>
      </c>
    </row>
    <row r="2043" spans="1:4" x14ac:dyDescent="0.2">
      <c r="A2043" s="5">
        <v>1982</v>
      </c>
      <c r="B2043" s="1832">
        <f>'Cap Outlay Deprec 26'!I16</f>
        <v>467814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24855</v>
      </c>
      <c r="D2047" s="2" t="str">
        <f t="shared" ref="D2047:D2110" si="31">IF(ISBLANK(B2047),"OK",IF(A2047-B2047=0,"OK","Error?"))</f>
        <v>Error?</v>
      </c>
    </row>
    <row r="2048" spans="1:4" x14ac:dyDescent="0.2">
      <c r="A2048" s="5">
        <v>1987</v>
      </c>
      <c r="B2048" s="1832">
        <f>'Cap Outlay Deprec 26'!J13</f>
        <v>68669</v>
      </c>
      <c r="D2048" s="2" t="str">
        <f t="shared" si="31"/>
        <v>Error?</v>
      </c>
    </row>
    <row r="2049" spans="1:4" x14ac:dyDescent="0.2">
      <c r="A2049" s="5">
        <v>1988</v>
      </c>
      <c r="B2049" s="1832">
        <f>'Cap Outlay Deprec 26'!J16</f>
        <v>93524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5862259</v>
      </c>
      <c r="C2051" s="2" t="s">
        <v>569</v>
      </c>
      <c r="D2051" s="2" t="str">
        <f t="shared" si="31"/>
        <v>Error?</v>
      </c>
    </row>
    <row r="2052" spans="1:4" x14ac:dyDescent="0.2">
      <c r="A2052" s="5">
        <v>1991</v>
      </c>
      <c r="B2052" s="1832">
        <f>'Cap Outlay Deprec 26'!K10</f>
        <v>426715</v>
      </c>
      <c r="C2052" s="2" t="s">
        <v>569</v>
      </c>
      <c r="D2052" s="2" t="str">
        <f t="shared" si="31"/>
        <v>Error?</v>
      </c>
    </row>
    <row r="2053" spans="1:4" x14ac:dyDescent="0.2">
      <c r="A2053" s="5">
        <v>1992</v>
      </c>
      <c r="B2053" s="1832">
        <f>'Cap Outlay Deprec 26'!K12</f>
        <v>378780</v>
      </c>
      <c r="C2053" s="2" t="s">
        <v>569</v>
      </c>
      <c r="D2053" s="2" t="str">
        <f t="shared" si="31"/>
        <v>Error?</v>
      </c>
    </row>
    <row r="2054" spans="1:4" x14ac:dyDescent="0.2">
      <c r="A2054" s="5">
        <v>1993</v>
      </c>
      <c r="B2054" s="1832">
        <f>'Cap Outlay Deprec 26'!K13</f>
        <v>793835</v>
      </c>
      <c r="C2054" s="2" t="s">
        <v>569</v>
      </c>
      <c r="D2054" s="2" t="str">
        <f t="shared" si="31"/>
        <v>Error?</v>
      </c>
    </row>
    <row r="2055" spans="1:4" x14ac:dyDescent="0.2">
      <c r="A2055" s="5">
        <v>1994</v>
      </c>
      <c r="B2055" s="1832">
        <f>'Cap Outlay Deprec 26'!K16</f>
        <v>7476293</v>
      </c>
      <c r="C2055" s="2" t="s">
        <v>569</v>
      </c>
      <c r="D2055" s="2" t="str">
        <f t="shared" si="31"/>
        <v>Error?</v>
      </c>
    </row>
    <row r="2056" spans="1:4" x14ac:dyDescent="0.2">
      <c r="A2056" s="5">
        <v>1995</v>
      </c>
      <c r="B2056" s="1832">
        <f>'Cap Outlay Deprec 26'!L5</f>
        <v>216942</v>
      </c>
      <c r="C2056" s="2" t="s">
        <v>569</v>
      </c>
      <c r="D2056" s="2" t="str">
        <f t="shared" si="31"/>
        <v>Error?</v>
      </c>
    </row>
    <row r="2057" spans="1:4" x14ac:dyDescent="0.2">
      <c r="A2057" s="5">
        <v>1996</v>
      </c>
      <c r="B2057" s="1832">
        <f>'Cap Outlay Deprec 26'!L8</f>
        <v>7933164</v>
      </c>
      <c r="C2057" s="2" t="s">
        <v>569</v>
      </c>
      <c r="D2057" s="2" t="str">
        <f t="shared" si="31"/>
        <v>Error?</v>
      </c>
    </row>
    <row r="2058" spans="1:4" x14ac:dyDescent="0.2">
      <c r="A2058" s="5">
        <v>1997</v>
      </c>
      <c r="B2058" s="1832">
        <f>'Cap Outlay Deprec 26'!L10</f>
        <v>809712</v>
      </c>
      <c r="C2058" s="2" t="s">
        <v>569</v>
      </c>
      <c r="D2058" s="2" t="str">
        <f t="shared" si="31"/>
        <v>Error?</v>
      </c>
    </row>
    <row r="2059" spans="1:4" x14ac:dyDescent="0.2">
      <c r="A2059" s="5">
        <v>1998</v>
      </c>
      <c r="B2059" s="1832">
        <f>'Cap Outlay Deprec 26'!L12</f>
        <v>343763</v>
      </c>
      <c r="C2059" s="2" t="s">
        <v>569</v>
      </c>
      <c r="D2059" s="2" t="str">
        <f t="shared" si="31"/>
        <v>Error?</v>
      </c>
    </row>
    <row r="2060" spans="1:4" x14ac:dyDescent="0.2">
      <c r="A2060" s="5">
        <v>1999</v>
      </c>
      <c r="B2060" s="1832">
        <f>'Cap Outlay Deprec 26'!L13</f>
        <v>163573</v>
      </c>
      <c r="C2060" s="2" t="s">
        <v>569</v>
      </c>
      <c r="D2060" s="2" t="str">
        <f t="shared" si="31"/>
        <v>Error?</v>
      </c>
    </row>
    <row r="2061" spans="1:4" x14ac:dyDescent="0.2">
      <c r="A2061" s="5">
        <v>2000</v>
      </c>
      <c r="B2061" s="1832">
        <f>'Cap Outlay Deprec 26'!L16</f>
        <v>9474507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1489529</v>
      </c>
      <c r="C2088" s="2" t="s">
        <v>569</v>
      </c>
      <c r="D2088" s="2" t="str">
        <f t="shared" si="31"/>
        <v>Error?</v>
      </c>
    </row>
    <row r="2089" spans="1:4" x14ac:dyDescent="0.2">
      <c r="A2089" s="5">
        <v>2028</v>
      </c>
      <c r="B2089" s="1832">
        <f>'Expenditures 15-22'!K92</f>
        <v>1679888</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4100000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243665</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104508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183972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5035059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3652301</v>
      </c>
      <c r="C2553" s="2" t="s">
        <v>569</v>
      </c>
      <c r="D2553" s="2" t="str">
        <f t="shared" si="38"/>
        <v>Error?</v>
      </c>
    </row>
    <row r="2554" spans="1:4" x14ac:dyDescent="0.2">
      <c r="A2554" s="5">
        <v>2493</v>
      </c>
      <c r="B2554" s="1832">
        <f>'Acct Summary 7-8'!C7</f>
        <v>839976</v>
      </c>
      <c r="C2554" s="2" t="s">
        <v>569</v>
      </c>
      <c r="D2554" s="2" t="str">
        <f t="shared" si="38"/>
        <v>Error?</v>
      </c>
    </row>
    <row r="2555" spans="1:4" x14ac:dyDescent="0.2">
      <c r="A2555" s="5">
        <v>2494</v>
      </c>
      <c r="B2555" s="1832">
        <f>'Acct Summary 7-8'!C8</f>
        <v>9527336</v>
      </c>
      <c r="C2555" s="2" t="s">
        <v>569</v>
      </c>
      <c r="D2555" s="2" t="str">
        <f t="shared" si="38"/>
        <v>Error?</v>
      </c>
    </row>
    <row r="2556" spans="1:4" x14ac:dyDescent="0.2">
      <c r="A2556" s="5">
        <v>2495</v>
      </c>
      <c r="B2556" s="1832">
        <f>'Acct Summary 7-8'!C12</f>
        <v>3843692</v>
      </c>
      <c r="C2556" s="2" t="s">
        <v>569</v>
      </c>
      <c r="D2556" s="2" t="str">
        <f t="shared" si="38"/>
        <v>Error?</v>
      </c>
    </row>
    <row r="2557" spans="1:4" x14ac:dyDescent="0.2">
      <c r="A2557" s="5">
        <v>2496</v>
      </c>
      <c r="B2557" s="1832">
        <f>'Acct Summary 7-8'!C13</f>
        <v>2477941</v>
      </c>
      <c r="C2557" s="2" t="s">
        <v>569</v>
      </c>
      <c r="D2557" s="2" t="str">
        <f t="shared" si="38"/>
        <v>Error?</v>
      </c>
    </row>
    <row r="2558" spans="1:4" x14ac:dyDescent="0.2">
      <c r="A2558" s="5">
        <v>2497</v>
      </c>
      <c r="B2558" s="1832">
        <f>'Acct Summary 7-8'!C14</f>
        <v>415121</v>
      </c>
      <c r="C2558" s="2" t="s">
        <v>569</v>
      </c>
      <c r="D2558" s="2" t="str">
        <f t="shared" si="38"/>
        <v>Error?</v>
      </c>
    </row>
    <row r="2559" spans="1:4" x14ac:dyDescent="0.2">
      <c r="A2559" s="5">
        <v>2498</v>
      </c>
      <c r="B2559" s="1832">
        <f>'Acct Summary 7-8'!C15</f>
        <v>3169417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9906171</v>
      </c>
      <c r="C2561" s="2" t="s">
        <v>569</v>
      </c>
      <c r="D2561" s="2" t="str">
        <f t="shared" si="39"/>
        <v>Error?</v>
      </c>
    </row>
    <row r="2562" spans="1:4" x14ac:dyDescent="0.2">
      <c r="A2562" s="5">
        <v>2501</v>
      </c>
      <c r="B2562" s="1832">
        <f>'Acct Summary 7-8'!C20</f>
        <v>-378835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523542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523542</v>
      </c>
      <c r="C2568" s="2" t="s">
        <v>569</v>
      </c>
      <c r="D2568" s="2" t="str">
        <f t="shared" si="39"/>
        <v>Error?</v>
      </c>
    </row>
    <row r="2569" spans="1:4" x14ac:dyDescent="0.2">
      <c r="A2569" s="5">
        <v>2508</v>
      </c>
      <c r="B2569" s="1832">
        <f>'Acct Summary 7-8'!D13</f>
        <v>468735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468735</v>
      </c>
      <c r="C2573" s="2" t="s">
        <v>569</v>
      </c>
      <c r="D2573" s="2" t="str">
        <f t="shared" si="39"/>
        <v>Error?</v>
      </c>
    </row>
    <row r="2574" spans="1:4" x14ac:dyDescent="0.2">
      <c r="A2574" s="5">
        <v>2513</v>
      </c>
      <c r="B2574" s="1832">
        <f>'Acct Summary 7-8'!D20</f>
        <v>54807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293408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218653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512061</v>
      </c>
      <c r="C2595" s="2" t="s">
        <v>569</v>
      </c>
      <c r="D2595" s="2" t="str">
        <f t="shared" si="39"/>
        <v>Error?</v>
      </c>
    </row>
    <row r="2596" spans="1:4" x14ac:dyDescent="0.2">
      <c r="A2596" s="5">
        <v>2535</v>
      </c>
      <c r="B2596" s="1832">
        <f>'Acct Summary 7-8'!F13</f>
        <v>554033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554033</v>
      </c>
      <c r="C2600" s="2" t="s">
        <v>569</v>
      </c>
      <c r="D2600" s="2" t="str">
        <f t="shared" si="39"/>
        <v>Error?</v>
      </c>
    </row>
    <row r="2601" spans="1:4" x14ac:dyDescent="0.2">
      <c r="A2601" s="5">
        <v>2540</v>
      </c>
      <c r="B2601" s="1832">
        <f>'Acct Summary 7-8'!F20</f>
        <v>-41972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294066</v>
      </c>
      <c r="C2603" s="2" t="s">
        <v>569</v>
      </c>
      <c r="D2603" s="2" t="str">
        <f t="shared" si="39"/>
        <v>Error?</v>
      </c>
    </row>
    <row r="2604" spans="1:4" x14ac:dyDescent="0.2">
      <c r="A2604" s="5">
        <v>2543</v>
      </c>
      <c r="B2604" s="1832">
        <f>'Acct Summary 7-8'!G6</f>
        <v>88427</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382493</v>
      </c>
      <c r="C2606" s="2" t="s">
        <v>569</v>
      </c>
      <c r="D2606" s="2" t="str">
        <f t="shared" si="39"/>
        <v>Error?</v>
      </c>
    </row>
    <row r="2607" spans="1:4" x14ac:dyDescent="0.2">
      <c r="A2607" s="5">
        <v>2546</v>
      </c>
      <c r="B2607" s="1832">
        <f>'Acct Summary 7-8'!G12</f>
        <v>99941</v>
      </c>
      <c r="C2607" s="2" t="s">
        <v>569</v>
      </c>
      <c r="D2607" s="2" t="str">
        <f t="shared" si="39"/>
        <v>Error?</v>
      </c>
    </row>
    <row r="2608" spans="1:4" x14ac:dyDescent="0.2">
      <c r="A2608" s="5">
        <v>2547</v>
      </c>
      <c r="B2608" s="1832">
        <f>'Acct Summary 7-8'!G13</f>
        <v>258836</v>
      </c>
      <c r="C2608" s="2" t="s">
        <v>569</v>
      </c>
      <c r="D2608" s="2" t="str">
        <f t="shared" si="39"/>
        <v>Error?</v>
      </c>
    </row>
    <row r="2609" spans="1:4" x14ac:dyDescent="0.2">
      <c r="A2609" s="5">
        <v>2548</v>
      </c>
      <c r="B2609" s="1832">
        <f>'Acct Summary 7-8'!G14</f>
        <v>53505</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412282</v>
      </c>
      <c r="C2612" s="2" t="s">
        <v>569</v>
      </c>
      <c r="D2612" s="2" t="str">
        <f t="shared" si="39"/>
        <v>Error?</v>
      </c>
    </row>
    <row r="2613" spans="1:4" x14ac:dyDescent="0.2">
      <c r="A2613" s="5">
        <v>2552</v>
      </c>
      <c r="B2613" s="1832">
        <f>'Acct Summary 7-8'!G20</f>
        <v>-29789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871282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871282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859501</v>
      </c>
      <c r="C2634" s="2" t="s">
        <v>569</v>
      </c>
      <c r="D2634" s="2" t="str">
        <f t="shared" si="40"/>
        <v>Error?</v>
      </c>
    </row>
    <row r="2635" spans="1:4" x14ac:dyDescent="0.2">
      <c r="A2635" s="5">
        <v>2574</v>
      </c>
      <c r="B2635" s="1832">
        <f>'Acct Summary 7-8'!E17</f>
        <v>859501</v>
      </c>
      <c r="C2635" s="2" t="s">
        <v>569</v>
      </c>
      <c r="D2635" s="2" t="str">
        <f t="shared" si="40"/>
        <v>Error?</v>
      </c>
    </row>
    <row r="2636" spans="1:4" x14ac:dyDescent="0.2">
      <c r="A2636" s="5">
        <v>2575</v>
      </c>
      <c r="B2636" s="1832">
        <f>'Acct Summary 7-8'!E20</f>
        <v>11781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233978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233978</v>
      </c>
      <c r="C2658" s="2" t="s">
        <v>569</v>
      </c>
      <c r="D2658" s="2" t="str">
        <f t="shared" si="40"/>
        <v>Error?</v>
      </c>
    </row>
    <row r="2659" spans="1:4" x14ac:dyDescent="0.2">
      <c r="A2659" s="5">
        <v>2598</v>
      </c>
      <c r="B2659" s="1832">
        <f>'Acct Summary 7-8'!H13</f>
        <v>150712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150712</v>
      </c>
      <c r="C2661" s="2" t="s">
        <v>569</v>
      </c>
      <c r="D2661" s="2" t="str">
        <f t="shared" si="40"/>
        <v>Error?</v>
      </c>
    </row>
    <row r="2662" spans="1:4" x14ac:dyDescent="0.2">
      <c r="A2662" s="5">
        <v>2601</v>
      </c>
      <c r="B2662" s="1832">
        <f>'Acct Summary 7-8'!H20</f>
        <v>83266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4360</v>
      </c>
      <c r="D2718" s="2" t="str">
        <f t="shared" si="41"/>
        <v>Error?</v>
      </c>
    </row>
    <row r="2719" spans="1:4" x14ac:dyDescent="0.2">
      <c r="A2719" s="5">
        <v>2658</v>
      </c>
      <c r="B2719" s="1832">
        <f>'Expenditures 15-22'!D51</f>
        <v>827</v>
      </c>
      <c r="D2719" s="2" t="str">
        <f t="shared" si="41"/>
        <v>Error?</v>
      </c>
    </row>
    <row r="2720" spans="1:4" x14ac:dyDescent="0.2">
      <c r="A2720" s="5">
        <v>2659</v>
      </c>
      <c r="B2720" s="1832">
        <f>'Expenditures 15-22'!E51</f>
        <v>10645</v>
      </c>
      <c r="D2720" s="2" t="str">
        <f t="shared" si="41"/>
        <v>Error?</v>
      </c>
    </row>
    <row r="2721" spans="1:4" x14ac:dyDescent="0.2">
      <c r="A2721" s="5">
        <v>2660</v>
      </c>
      <c r="B2721" s="1832">
        <f>'Expenditures 15-22'!F51</f>
        <v>1484</v>
      </c>
      <c r="D2721" s="2" t="str">
        <f t="shared" si="41"/>
        <v>Error?</v>
      </c>
    </row>
    <row r="2722" spans="1:4" x14ac:dyDescent="0.2">
      <c r="A2722" s="5">
        <v>2661</v>
      </c>
      <c r="B2722" s="1832">
        <f>'Expenditures 15-22'!G51</f>
        <v>900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18216</v>
      </c>
      <c r="C2724" s="2" t="s">
        <v>569</v>
      </c>
      <c r="D2724" s="2" t="str">
        <f t="shared" si="41"/>
        <v>Error?</v>
      </c>
    </row>
    <row r="2725" spans="1:4" x14ac:dyDescent="0.2">
      <c r="A2725" s="5">
        <v>2664</v>
      </c>
      <c r="B2725" s="1832">
        <f>'Expenditures 15-22'!D247</f>
        <v>63</v>
      </c>
      <c r="D2725" s="2" t="str">
        <f t="shared" si="41"/>
        <v>Error?</v>
      </c>
    </row>
    <row r="2726" spans="1:4" x14ac:dyDescent="0.2">
      <c r="A2726" s="5">
        <v>2665</v>
      </c>
      <c r="B2726" s="1832">
        <f>'Expenditures 15-22'!K247</f>
        <v>63</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1489529</v>
      </c>
      <c r="C2789" s="2" t="s">
        <v>569</v>
      </c>
      <c r="D2789" s="2" t="str">
        <f t="shared" si="42"/>
        <v>Error?</v>
      </c>
    </row>
    <row r="2790" spans="1:4" x14ac:dyDescent="0.2">
      <c r="A2790" s="5">
        <v>2729</v>
      </c>
      <c r="B2790" s="1832">
        <f>'Expenditures 15-22'!E102</f>
        <v>1489529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88627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84320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88627</v>
      </c>
      <c r="D2912" s="2" t="str">
        <f t="shared" si="44"/>
        <v>Error?</v>
      </c>
    </row>
    <row r="2913" spans="1:4" x14ac:dyDescent="0.2">
      <c r="A2913" s="5">
        <v>2852</v>
      </c>
      <c r="B2913" s="1832">
        <f>'Assets-Liab 5-6'!I41</f>
        <v>88627</v>
      </c>
      <c r="C2913" s="2" t="s">
        <v>569</v>
      </c>
      <c r="D2913" s="2" t="str">
        <f t="shared" si="44"/>
        <v>Error?</v>
      </c>
    </row>
    <row r="2914" spans="1:4" x14ac:dyDescent="0.2">
      <c r="A2914" s="5">
        <v>2853</v>
      </c>
      <c r="B2914" s="1832">
        <f>'Assets-Liab 5-6'!L33</f>
        <v>84320</v>
      </c>
      <c r="D2914" s="2" t="str">
        <f t="shared" si="44"/>
        <v>Error?</v>
      </c>
    </row>
    <row r="2915" spans="1:4" x14ac:dyDescent="0.2">
      <c r="A2915" s="10">
        <v>2854</v>
      </c>
      <c r="B2915" s="1832"/>
      <c r="D2915" s="2" t="str">
        <f t="shared" si="44"/>
        <v>OK</v>
      </c>
    </row>
    <row r="2916" spans="1:4" x14ac:dyDescent="0.2">
      <c r="A2916" s="5">
        <v>2855</v>
      </c>
      <c r="B2916" s="1832">
        <f>'Assets-Liab 5-6'!L34</f>
        <v>84320</v>
      </c>
      <c r="C2916" s="2" t="s">
        <v>569</v>
      </c>
      <c r="D2916" s="2" t="str">
        <f t="shared" si="44"/>
        <v>Error?</v>
      </c>
    </row>
    <row r="2917" spans="1:4" x14ac:dyDescent="0.2">
      <c r="A2917" s="5">
        <v>2856</v>
      </c>
      <c r="B2917" s="1832">
        <f>'Assets-Liab 5-6'!L41</f>
        <v>84320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1489529</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1489529</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121728</v>
      </c>
      <c r="D3055" s="2" t="str">
        <f t="shared" si="46"/>
        <v>Error?</v>
      </c>
    </row>
    <row r="3056" spans="1:4" x14ac:dyDescent="0.2">
      <c r="A3056" s="5">
        <v>2995</v>
      </c>
      <c r="B3056" s="1832">
        <f>'Expenditures 15-22'!D10</f>
        <v>16400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138128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1765</v>
      </c>
      <c r="D3064" s="2" t="str">
        <f t="shared" si="46"/>
        <v>Error?</v>
      </c>
    </row>
    <row r="3065" spans="1:4" x14ac:dyDescent="0.2">
      <c r="A3065" s="5">
        <v>3004</v>
      </c>
      <c r="B3065" s="1832">
        <f>'Expenditures 15-22'!K219</f>
        <v>1765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27142</v>
      </c>
      <c r="C3225" s="2" t="s">
        <v>569</v>
      </c>
      <c r="D3225" s="2" t="str">
        <f t="shared" si="49"/>
        <v>Error?</v>
      </c>
    </row>
    <row r="3226" spans="1:4" x14ac:dyDescent="0.2">
      <c r="A3226" s="5">
        <v>3165</v>
      </c>
      <c r="B3226" s="1832">
        <f>'Acct Summary 7-8'!I8</f>
        <v>27142</v>
      </c>
      <c r="C3226" s="2" t="s">
        <v>569</v>
      </c>
      <c r="D3226" s="2" t="str">
        <f t="shared" si="49"/>
        <v>Error?</v>
      </c>
    </row>
    <row r="3227" spans="1:4" x14ac:dyDescent="0.2">
      <c r="A3227" s="5">
        <v>3166</v>
      </c>
      <c r="B3227" s="1832">
        <f>'Acct Summary 7-8'!I20</f>
        <v>27142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4000000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4000000</v>
      </c>
      <c r="C3232" s="2" t="s">
        <v>569</v>
      </c>
      <c r="D3232" s="2" t="str">
        <f t="shared" si="49"/>
        <v>Error?</v>
      </c>
    </row>
    <row r="3233" spans="1:4" x14ac:dyDescent="0.2">
      <c r="A3233" s="5">
        <v>3172</v>
      </c>
      <c r="B3233" s="1832">
        <f>'Acct Summary 7-8'!C78</f>
        <v>3621165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85000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85000</v>
      </c>
      <c r="C3238" s="2" t="s">
        <v>569</v>
      </c>
      <c r="D3238" s="2" t="str">
        <f t="shared" si="49"/>
        <v>Error?</v>
      </c>
    </row>
    <row r="3239" spans="1:4" x14ac:dyDescent="0.2">
      <c r="A3239" s="5">
        <v>3178</v>
      </c>
      <c r="B3239" s="1832">
        <f>'Acct Summary 7-8'!D78</f>
        <v>139807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-41972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-29789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15000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15000</v>
      </c>
      <c r="C3277" s="2" t="s">
        <v>569</v>
      </c>
      <c r="D3277" s="2" t="str">
        <f t="shared" si="50"/>
        <v>Error?</v>
      </c>
    </row>
    <row r="3278" spans="1:4" x14ac:dyDescent="0.2">
      <c r="A3278" s="5">
        <v>3217</v>
      </c>
      <c r="B3278" s="1832">
        <f>'Acct Summary 7-8'!E78</f>
        <v>26781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83266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4100000</v>
      </c>
      <c r="C3318" s="2" t="s">
        <v>569</v>
      </c>
      <c r="D3318" s="2" t="str">
        <f t="shared" si="50"/>
        <v>Error?</v>
      </c>
    </row>
    <row r="3319" spans="1:4" x14ac:dyDescent="0.2">
      <c r="A3319" s="5">
        <v>3258</v>
      </c>
      <c r="B3319" s="1832">
        <f>'Acct Summary 7-8'!I77</f>
        <v>-4100000</v>
      </c>
      <c r="C3319" s="2" t="s">
        <v>569</v>
      </c>
      <c r="D3319" s="2" t="str">
        <f t="shared" si="50"/>
        <v>Error?</v>
      </c>
    </row>
    <row r="3320" spans="1:4" x14ac:dyDescent="0.2">
      <c r="A3320" s="5">
        <v>3259</v>
      </c>
      <c r="B3320" s="1832">
        <f>'Acct Summary 7-8'!I78</f>
        <v>-4072858</v>
      </c>
      <c r="C3320" s="2" t="s">
        <v>569</v>
      </c>
      <c r="D3320" s="2" t="str">
        <f t="shared" si="50"/>
        <v>Error?</v>
      </c>
    </row>
    <row r="3321" spans="1:4" x14ac:dyDescent="0.2">
      <c r="A3321" s="5">
        <v>3260</v>
      </c>
      <c r="B3321" s="1832">
        <f>'Acct Summary 7-8'!I79</f>
        <v>4161485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88627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120154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8379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128533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62327</v>
      </c>
      <c r="D3387" s="2" t="str">
        <f t="shared" si="51"/>
        <v>Error?</v>
      </c>
    </row>
    <row r="3388" spans="1:4" x14ac:dyDescent="0.2">
      <c r="A3388" s="5">
        <v>3327</v>
      </c>
      <c r="B3388" s="1832">
        <f>'Expenditures 15-22'!D217</f>
        <v>24424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62327</v>
      </c>
      <c r="C3390" s="2" t="s">
        <v>569</v>
      </c>
      <c r="D3390" s="2" t="str">
        <f t="shared" si="51"/>
        <v>Error?</v>
      </c>
    </row>
    <row r="3391" spans="1:4" x14ac:dyDescent="0.2">
      <c r="A3391" s="5">
        <v>3330</v>
      </c>
      <c r="B3391" s="1832">
        <f>'Expenditures 15-22'!K217</f>
        <v>24424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8907818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654053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360644</v>
      </c>
      <c r="D3417" s="2" t="str">
        <f t="shared" si="52"/>
        <v>Error?</v>
      </c>
    </row>
    <row r="3418" spans="1:4" x14ac:dyDescent="0.2">
      <c r="A3418" s="10">
        <v>3357</v>
      </c>
      <c r="B3418" s="1832"/>
      <c r="D3418" s="2" t="str">
        <f t="shared" si="52"/>
        <v>OK</v>
      </c>
    </row>
    <row r="3419" spans="1:4" x14ac:dyDescent="0.2">
      <c r="A3419" s="5">
        <v>3358</v>
      </c>
      <c r="B3419" s="1832">
        <f>'Assets-Liab 5-6'!F4</f>
        <v>661445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780467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183972</v>
      </c>
      <c r="D3425" s="2" t="str">
        <f t="shared" si="52"/>
        <v>Error?</v>
      </c>
    </row>
    <row r="3426" spans="1:4" x14ac:dyDescent="0.2">
      <c r="A3426" s="10">
        <v>3365</v>
      </c>
      <c r="B3426" s="1832"/>
      <c r="D3426" s="2" t="str">
        <f t="shared" si="52"/>
        <v>OK</v>
      </c>
    </row>
    <row r="3427" spans="1:4" x14ac:dyDescent="0.2">
      <c r="A3427" s="5">
        <v>3366</v>
      </c>
      <c r="B3427" s="1832">
        <f>'Assets-Liab 5-6'!I4</f>
        <v>88627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84320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106028</v>
      </c>
      <c r="C3446" s="2" t="s">
        <v>569</v>
      </c>
      <c r="D3446" s="2" t="str">
        <f t="shared" si="52"/>
        <v>Error?</v>
      </c>
    </row>
    <row r="3447" spans="1:4" x14ac:dyDescent="0.2">
      <c r="A3447" s="5">
        <v>3386</v>
      </c>
      <c r="B3447" s="1832">
        <f>'Tax Sched 23'!D16</f>
        <v>62846</v>
      </c>
      <c r="C3447" s="2" t="s">
        <v>569</v>
      </c>
      <c r="D3447" s="2" t="str">
        <f t="shared" si="52"/>
        <v>Error?</v>
      </c>
    </row>
    <row r="3448" spans="1:4" x14ac:dyDescent="0.2">
      <c r="A3448" s="5">
        <v>3387</v>
      </c>
      <c r="B3448" s="1832">
        <f>'Tax Sched 23'!C16</f>
        <v>43182</v>
      </c>
      <c r="D3448" s="2" t="str">
        <f t="shared" si="52"/>
        <v>Error?</v>
      </c>
    </row>
    <row r="3449" spans="1:4" x14ac:dyDescent="0.2">
      <c r="A3449" s="5">
        <v>3388</v>
      </c>
      <c r="B3449" s="1832">
        <f>'Tax Sched 23'!F16</f>
        <v>66826</v>
      </c>
      <c r="C3449" s="2" t="s">
        <v>569</v>
      </c>
      <c r="D3449" s="2" t="str">
        <f t="shared" si="52"/>
        <v>Error?</v>
      </c>
    </row>
    <row r="3450" spans="1:4" x14ac:dyDescent="0.2">
      <c r="A3450" s="5">
        <v>3389</v>
      </c>
      <c r="B3450" s="1832">
        <f>'Tax Sched 23'!E16</f>
        <v>110008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190045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190045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190045</v>
      </c>
      <c r="D3567" s="2" t="str">
        <f t="shared" si="54"/>
        <v>Error?</v>
      </c>
    </row>
    <row r="3568" spans="1:4" x14ac:dyDescent="0.2">
      <c r="A3568" s="5">
        <v>3507</v>
      </c>
      <c r="B3568" s="1832">
        <f>'Assets-Liab 5-6'!K41</f>
        <v>190045</v>
      </c>
      <c r="C3568" s="2" t="s">
        <v>569</v>
      </c>
      <c r="D3568" s="2" t="str">
        <f t="shared" si="54"/>
        <v>Error?</v>
      </c>
    </row>
    <row r="3569" spans="1:4" x14ac:dyDescent="0.2">
      <c r="A3569" s="5">
        <v>3508</v>
      </c>
      <c r="B3569" s="1832">
        <f>'Acct Summary 7-8'!K4</f>
        <v>53125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53125</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53125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53125</v>
      </c>
      <c r="C3588" s="2" t="s">
        <v>569</v>
      </c>
      <c r="D3588" s="2" t="str">
        <f t="shared" si="55"/>
        <v>Error?</v>
      </c>
    </row>
    <row r="3589" spans="1:4" x14ac:dyDescent="0.2">
      <c r="A3589" s="5">
        <v>3528</v>
      </c>
      <c r="B3589" s="1832">
        <f>'Acct Summary 7-8'!K79</f>
        <v>136920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190045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53125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169572.53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2398007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11925343</v>
      </c>
      <c r="C4122" s="2" t="s">
        <v>569</v>
      </c>
      <c r="D4122" s="2" t="str">
        <f t="shared" si="63"/>
        <v>Error?</v>
      </c>
    </row>
    <row r="4123" spans="1:4" x14ac:dyDescent="0.2">
      <c r="A4123" s="5">
        <v>4062</v>
      </c>
      <c r="B4123" s="1832">
        <f>'Acct Summary 7-8'!D10</f>
        <v>523542</v>
      </c>
      <c r="C4123" s="2" t="s">
        <v>569</v>
      </c>
      <c r="D4123" s="2" t="str">
        <f t="shared" si="63"/>
        <v>Error?</v>
      </c>
    </row>
    <row r="4124" spans="1:4" x14ac:dyDescent="0.2">
      <c r="A4124" s="5">
        <v>4063</v>
      </c>
      <c r="B4124" s="1832">
        <f>'Acct Summary 7-8'!E10</f>
        <v>871282</v>
      </c>
      <c r="C4124" s="2" t="s">
        <v>569</v>
      </c>
      <c r="D4124" s="2" t="str">
        <f t="shared" si="63"/>
        <v>Error?</v>
      </c>
    </row>
    <row r="4125" spans="1:4" x14ac:dyDescent="0.2">
      <c r="A4125" s="5">
        <v>4064</v>
      </c>
      <c r="B4125" s="1832">
        <f>'Acct Summary 7-8'!F10</f>
        <v>512061</v>
      </c>
      <c r="C4125" s="2" t="s">
        <v>569</v>
      </c>
      <c r="D4125" s="2" t="str">
        <f t="shared" si="63"/>
        <v>Error?</v>
      </c>
    </row>
    <row r="4126" spans="1:4" x14ac:dyDescent="0.2">
      <c r="A4126" s="5">
        <v>4065</v>
      </c>
      <c r="B4126" s="1832">
        <f>'Acct Summary 7-8'!G10</f>
        <v>382493</v>
      </c>
      <c r="C4126" s="2" t="s">
        <v>569</v>
      </c>
      <c r="D4126" s="2" t="str">
        <f t="shared" si="63"/>
        <v>Error?</v>
      </c>
    </row>
    <row r="4127" spans="1:4" x14ac:dyDescent="0.2">
      <c r="A4127" s="5">
        <v>4066</v>
      </c>
      <c r="B4127" s="1832">
        <f>'Acct Summary 7-8'!H10</f>
        <v>233978</v>
      </c>
      <c r="C4127" s="2" t="s">
        <v>569</v>
      </c>
      <c r="D4127" s="2" t="str">
        <f t="shared" si="63"/>
        <v>Error?</v>
      </c>
    </row>
    <row r="4128" spans="1:4" x14ac:dyDescent="0.2">
      <c r="A4128" s="5">
        <v>4067</v>
      </c>
      <c r="B4128" s="1832">
        <f>'Acct Summary 7-8'!I10</f>
        <v>27142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53125</v>
      </c>
      <c r="C4130" s="2" t="s">
        <v>569</v>
      </c>
      <c r="D4130" s="2" t="str">
        <f t="shared" si="63"/>
        <v>Error?</v>
      </c>
    </row>
    <row r="4131" spans="1:4" x14ac:dyDescent="0.2">
      <c r="A4131" s="5">
        <v>4070</v>
      </c>
      <c r="B4131" s="1832">
        <f>'Acct Summary 7-8'!C18</f>
        <v>2398007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12304178</v>
      </c>
      <c r="C4136" s="2" t="s">
        <v>569</v>
      </c>
      <c r="D4136" s="2" t="str">
        <f t="shared" si="63"/>
        <v>Error?</v>
      </c>
    </row>
    <row r="4137" spans="1:4" x14ac:dyDescent="0.2">
      <c r="A4137" s="5">
        <v>4076</v>
      </c>
      <c r="B4137" s="1832">
        <f>'Acct Summary 7-8'!D19</f>
        <v>468735</v>
      </c>
      <c r="C4137" s="2" t="s">
        <v>569</v>
      </c>
      <c r="D4137" s="2" t="str">
        <f t="shared" si="63"/>
        <v>Error?</v>
      </c>
    </row>
    <row r="4138" spans="1:4" x14ac:dyDescent="0.2">
      <c r="A4138" s="5">
        <v>4077</v>
      </c>
      <c r="B4138" s="1832">
        <f>'Acct Summary 7-8'!E19</f>
        <v>859501</v>
      </c>
      <c r="C4138" s="2" t="s">
        <v>569</v>
      </c>
      <c r="D4138" s="2" t="str">
        <f t="shared" si="63"/>
        <v>Error?</v>
      </c>
    </row>
    <row r="4139" spans="1:4" x14ac:dyDescent="0.2">
      <c r="A4139" s="5">
        <v>4078</v>
      </c>
      <c r="B4139" s="1832">
        <f>'Acct Summary 7-8'!F19</f>
        <v>554033</v>
      </c>
      <c r="C4139" s="2" t="s">
        <v>569</v>
      </c>
      <c r="D4139" s="2" t="str">
        <f t="shared" si="63"/>
        <v>Error?</v>
      </c>
    </row>
    <row r="4140" spans="1:4" x14ac:dyDescent="0.2">
      <c r="A4140" s="5">
        <v>4079</v>
      </c>
      <c r="B4140" s="1832">
        <f>'Acct Summary 7-8'!G19</f>
        <v>412282</v>
      </c>
      <c r="C4140" s="2" t="s">
        <v>569</v>
      </c>
      <c r="D4140" s="2" t="str">
        <f t="shared" si="63"/>
        <v>Error?</v>
      </c>
    </row>
    <row r="4141" spans="1:4" x14ac:dyDescent="0.2">
      <c r="A4141" s="5">
        <v>4080</v>
      </c>
      <c r="B4141" s="1832">
        <f>'Acct Summary 7-8'!H19</f>
        <v>150712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4165000</v>
      </c>
      <c r="C4171" s="2" t="s">
        <v>569</v>
      </c>
      <c r="D4171" s="2" t="str">
        <f t="shared" si="64"/>
        <v>Error?</v>
      </c>
    </row>
    <row r="4172" spans="1:4" x14ac:dyDescent="0.2">
      <c r="A4172" s="5">
        <v>4111</v>
      </c>
      <c r="B4172" s="1832">
        <f>'Short-Term Long-Term Debt 24'!J49</f>
        <v>3804356</v>
      </c>
      <c r="C4172" s="2" t="s">
        <v>569</v>
      </c>
      <c r="D4172" s="2" t="str">
        <f t="shared" si="64"/>
        <v>Error?</v>
      </c>
    </row>
    <row r="4173" spans="1:4" x14ac:dyDescent="0.2">
      <c r="A4173" s="5">
        <v>4112</v>
      </c>
      <c r="B4173" s="1832">
        <f>'Short-Term Long-Term Debt 24'!H49</f>
        <v>675000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4000</v>
      </c>
      <c r="C4265" s="2" t="s">
        <v>569</v>
      </c>
      <c r="D4265" s="2" t="str">
        <f t="shared" si="65"/>
        <v>Error?</v>
      </c>
      <c r="E4265" s="125"/>
    </row>
    <row r="4266" spans="1:5" x14ac:dyDescent="0.2">
      <c r="A4266" s="12">
        <v>4205</v>
      </c>
      <c r="B4266" s="1832">
        <f>('FP Info 3'!F10)*100000</f>
        <v>375</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4575</v>
      </c>
      <c r="C4268" s="2" t="s">
        <v>569</v>
      </c>
      <c r="D4268" s="2" t="str">
        <f t="shared" si="65"/>
        <v>Error?</v>
      </c>
    </row>
    <row r="4269" spans="1:5" x14ac:dyDescent="0.2">
      <c r="A4269" s="12">
        <v>4208</v>
      </c>
      <c r="B4269" s="1832">
        <f>'FP Info 3'!J16</f>
        <v>10794993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6054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9533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45.96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108810760</v>
      </c>
      <c r="D4995" s="2" t="str">
        <f t="shared" si="77"/>
        <v>Error?</v>
      </c>
    </row>
    <row r="4996" spans="1:4" x14ac:dyDescent="0.2">
      <c r="A4996" s="12">
        <v>4935</v>
      </c>
      <c r="B4996" s="1832">
        <f>'FP Info 3'!H31</f>
        <v>15015884.880000001</v>
      </c>
      <c r="D4996" s="2" t="str">
        <f t="shared" si="77"/>
        <v>Error?</v>
      </c>
    </row>
    <row r="4997" spans="1:4" x14ac:dyDescent="0.2">
      <c r="A4997" s="12">
        <v>4936</v>
      </c>
      <c r="B4997" s="1832">
        <f>'FP Info 3'!H37</f>
        <v>4165000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4238796</v>
      </c>
      <c r="D5061" s="2" t="str">
        <f t="shared" si="78"/>
        <v>Error?</v>
      </c>
    </row>
    <row r="5062" spans="1:4" x14ac:dyDescent="0.2">
      <c r="A5062" s="10">
        <v>5001</v>
      </c>
      <c r="B5062" s="1832"/>
      <c r="D5062" s="2" t="str">
        <f t="shared" si="78"/>
        <v>OK</v>
      </c>
    </row>
    <row r="5063" spans="1:4" x14ac:dyDescent="0.2">
      <c r="A5063" s="5">
        <v>5002</v>
      </c>
      <c r="B5063" s="1832">
        <f>'Revenues 9-14'!C7</f>
        <v>42183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4280979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515494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515494</v>
      </c>
      <c r="C5071" s="2" t="s">
        <v>569</v>
      </c>
      <c r="D5071" s="2" t="str">
        <f t="shared" si="78"/>
        <v>Error?</v>
      </c>
    </row>
    <row r="5072" spans="1:4" x14ac:dyDescent="0.2">
      <c r="A5072" s="5">
        <v>5011</v>
      </c>
      <c r="B5072" s="1832">
        <f>'Revenues 9-14'!C20</f>
        <v>3420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3420</v>
      </c>
      <c r="C5087" s="2" t="s">
        <v>569</v>
      </c>
      <c r="D5087" s="2" t="str">
        <f t="shared" si="78"/>
        <v>Error?</v>
      </c>
    </row>
    <row r="5088" spans="1:4" x14ac:dyDescent="0.2">
      <c r="A5088" s="5">
        <v>5027</v>
      </c>
      <c r="B5088" s="1832">
        <f>'Revenues 9-14'!C65</f>
        <v>156547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156547</v>
      </c>
      <c r="C5090" s="2" t="s">
        <v>569</v>
      </c>
      <c r="D5090" s="2" t="str">
        <f t="shared" si="78"/>
        <v>Error?</v>
      </c>
    </row>
    <row r="5091" spans="1:4" x14ac:dyDescent="0.2">
      <c r="A5091" s="5">
        <v>5030</v>
      </c>
      <c r="B5091" s="1832">
        <f>'Revenues 9-14'!C70</f>
        <v>218</v>
      </c>
      <c r="D5091" s="2" t="str">
        <f t="shared" si="78"/>
        <v>Error?</v>
      </c>
    </row>
    <row r="5092" spans="1:4" x14ac:dyDescent="0.2">
      <c r="A5092" s="5">
        <v>5031</v>
      </c>
      <c r="B5092" s="1832">
        <f>'Revenues 9-14'!C71</f>
        <v>1843</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4179</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6240</v>
      </c>
      <c r="C5096" s="2" t="s">
        <v>569</v>
      </c>
      <c r="D5096" s="2" t="str">
        <f t="shared" si="78"/>
        <v>Error?</v>
      </c>
    </row>
    <row r="5097" spans="1:4" x14ac:dyDescent="0.2">
      <c r="A5097" s="5">
        <v>5036</v>
      </c>
      <c r="B5097" s="1832">
        <f>'Revenues 9-14'!C77</f>
        <v>13520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13520</v>
      </c>
      <c r="C5102" s="2" t="s">
        <v>569</v>
      </c>
      <c r="D5102" s="2" t="str">
        <f t="shared" si="78"/>
        <v>Error?</v>
      </c>
    </row>
    <row r="5103" spans="1:4" x14ac:dyDescent="0.2">
      <c r="A5103" s="5">
        <v>5042</v>
      </c>
      <c r="B5103" s="1832">
        <f>'Revenues 9-14'!C84</f>
        <v>13170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13170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14415</v>
      </c>
      <c r="D5119" s="2" t="str">
        <f t="shared" ref="D5119:D5182" si="79">IF(ISBLANK(B5119),"OK",IF(A5119-B5119=0,"OK","Error?"))</f>
        <v>Error?</v>
      </c>
    </row>
    <row r="5120" spans="1:4" x14ac:dyDescent="0.2">
      <c r="A5120" s="5">
        <v>5059</v>
      </c>
      <c r="B5120" s="1832">
        <f>'Revenues 9-14'!C108</f>
        <v>45689</v>
      </c>
      <c r="C5120" s="2" t="s">
        <v>569</v>
      </c>
      <c r="D5120" s="2" t="str">
        <f t="shared" si="79"/>
        <v>Error?</v>
      </c>
    </row>
    <row r="5121" spans="1:4" x14ac:dyDescent="0.2">
      <c r="A5121" s="5">
        <v>5060</v>
      </c>
      <c r="B5121" s="1832">
        <f>'Revenues 9-14'!C109</f>
        <v>5035059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1324001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1324001</v>
      </c>
      <c r="C5132" s="2" t="s">
        <v>569</v>
      </c>
      <c r="D5132" s="2" t="str">
        <f t="shared" si="79"/>
        <v>Error?</v>
      </c>
    </row>
    <row r="5133" spans="1:4" x14ac:dyDescent="0.2">
      <c r="A5133" s="5">
        <v>5072</v>
      </c>
      <c r="B5133" s="1832">
        <f>'Revenues 9-14'!C125</f>
        <v>35054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25832</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60886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4363</v>
      </c>
      <c r="D5167" s="2" t="str">
        <f t="shared" si="79"/>
        <v>Error?</v>
      </c>
    </row>
    <row r="5168" spans="1:4" x14ac:dyDescent="0.2">
      <c r="A5168" s="5">
        <v>5107</v>
      </c>
      <c r="B5168" s="1832">
        <f>'Revenues 9-14'!C148</f>
        <v>6931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2256120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2328300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3652301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200666</v>
      </c>
      <c r="D5239" s="2" t="str">
        <f t="shared" si="80"/>
        <v>Error?</v>
      </c>
    </row>
    <row r="5240" spans="1:4" x14ac:dyDescent="0.2">
      <c r="A5240" s="5">
        <v>5179</v>
      </c>
      <c r="B5240" s="1832">
        <f>'Revenues 9-14'!C192</f>
        <v>1088</v>
      </c>
      <c r="D5240" s="2" t="str">
        <f t="shared" si="80"/>
        <v>Error?</v>
      </c>
    </row>
    <row r="5241" spans="1:4" x14ac:dyDescent="0.2">
      <c r="A5241" s="5">
        <v>5180</v>
      </c>
      <c r="B5241" s="1832">
        <f>'Revenues 9-14'!C193</f>
        <v>74096</v>
      </c>
      <c r="D5241" s="2" t="str">
        <f t="shared" si="80"/>
        <v>Error?</v>
      </c>
    </row>
    <row r="5242" spans="1:4" x14ac:dyDescent="0.2">
      <c r="A5242" s="5">
        <v>5181</v>
      </c>
      <c r="B5242" s="1832">
        <f>'Revenues 9-14'!C194</f>
        <v>50666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326516</v>
      </c>
      <c r="C5246" s="2" t="s">
        <v>569</v>
      </c>
      <c r="D5246" s="2" t="str">
        <f t="shared" si="80"/>
        <v>Error?</v>
      </c>
    </row>
    <row r="5247" spans="1:4" x14ac:dyDescent="0.2">
      <c r="A5247" s="5">
        <v>5186</v>
      </c>
      <c r="B5247" s="1832">
        <f>'Revenues 9-14'!C200</f>
        <v>264363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264363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229557</v>
      </c>
      <c r="D5278" s="2" t="str">
        <f t="shared" si="81"/>
        <v>Error?</v>
      </c>
    </row>
    <row r="5279" spans="1:4" x14ac:dyDescent="0.2">
      <c r="A5279" s="5">
        <v>5218</v>
      </c>
      <c r="B5279" s="1832">
        <f>'Revenues 9-14'!C214</f>
        <v>3953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233510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839976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839976</v>
      </c>
      <c r="C5326" s="2" t="s">
        <v>569</v>
      </c>
      <c r="D5326" s="2" t="str">
        <f t="shared" si="82"/>
        <v>Error?</v>
      </c>
    </row>
    <row r="5327" spans="1:5" x14ac:dyDescent="0.2">
      <c r="A5327" s="5">
        <v>5266</v>
      </c>
      <c r="B5327" s="1832">
        <f>'Revenues 9-14'!C268</f>
        <v>9527336</v>
      </c>
      <c r="C5327" s="2" t="s">
        <v>569</v>
      </c>
      <c r="D5327" s="2" t="str">
        <f t="shared" si="82"/>
        <v>Error?</v>
      </c>
    </row>
    <row r="5328" spans="1:5" x14ac:dyDescent="0.2">
      <c r="A5328" s="5">
        <v>5267</v>
      </c>
      <c r="B5328" s="1832">
        <f>'Revenues 9-14'!D5</f>
        <v>397387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397387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120000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120000</v>
      </c>
      <c r="C5339" s="2" t="s">
        <v>569</v>
      </c>
      <c r="D5339" s="2" t="str">
        <f t="shared" si="82"/>
        <v>Error?</v>
      </c>
    </row>
    <row r="5340" spans="1:4" x14ac:dyDescent="0.2">
      <c r="A5340" s="5">
        <v>5279</v>
      </c>
      <c r="B5340" s="1832">
        <f>'Revenues 9-14'!D65</f>
        <v>6155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6155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523542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523542</v>
      </c>
      <c r="C5508" s="2" t="s">
        <v>569</v>
      </c>
      <c r="D5508" s="2" t="str">
        <f t="shared" si="85"/>
        <v>Error?</v>
      </c>
    </row>
    <row r="5509" spans="1:4" x14ac:dyDescent="0.2">
      <c r="A5509" s="5">
        <v>5448</v>
      </c>
      <c r="B5509" s="1832">
        <f>'Revenues 9-14'!E5</f>
        <v>867825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867825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3457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3457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871282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871282</v>
      </c>
      <c r="C5552" s="2" t="s">
        <v>569</v>
      </c>
      <c r="D5552" s="2" t="str">
        <f t="shared" si="85"/>
        <v>Error?</v>
      </c>
    </row>
    <row r="5553" spans="1:4" x14ac:dyDescent="0.2">
      <c r="A5553" s="5">
        <v>5492</v>
      </c>
      <c r="B5553" s="1832">
        <f>'Revenues 9-14'!F5</f>
        <v>211940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211940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75000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75000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6468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6468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293408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2829</v>
      </c>
      <c r="D5615" s="2" t="str">
        <f t="shared" si="86"/>
        <v>Error?</v>
      </c>
    </row>
    <row r="5616" spans="1:4" x14ac:dyDescent="0.2">
      <c r="A5616" s="10">
        <v>5555</v>
      </c>
      <c r="B5616" s="1832"/>
      <c r="D5616" s="2" t="str">
        <f t="shared" si="86"/>
        <v>OK</v>
      </c>
    </row>
    <row r="5617" spans="1:5" x14ac:dyDescent="0.2">
      <c r="A5617" s="5">
        <v>5556</v>
      </c>
      <c r="B5617" s="1832">
        <f>'Revenues 9-14'!F153</f>
        <v>215824</v>
      </c>
      <c r="D5617" s="2" t="str">
        <f t="shared" si="86"/>
        <v>Error?</v>
      </c>
    </row>
    <row r="5618" spans="1:5" x14ac:dyDescent="0.2">
      <c r="A5618" s="5">
        <v>5557</v>
      </c>
      <c r="B5618" s="1832">
        <f>'Revenues 9-14'!F155</f>
        <v>218653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218653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218653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512061</v>
      </c>
      <c r="C5720" s="2" t="s">
        <v>569</v>
      </c>
      <c r="D5720" s="2" t="str">
        <f t="shared" si="88"/>
        <v>Error?</v>
      </c>
    </row>
    <row r="5721" spans="1:4" x14ac:dyDescent="0.2">
      <c r="A5721" s="5">
        <v>5660</v>
      </c>
      <c r="B5721" s="1832">
        <f>'Revenues 9-14'!G5</f>
        <v>119016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106028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225044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61500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61500</v>
      </c>
      <c r="C5730" s="2" t="s">
        <v>569</v>
      </c>
      <c r="D5730" s="2" t="str">
        <f t="shared" si="88"/>
        <v>Error?</v>
      </c>
    </row>
    <row r="5731" spans="1:4" x14ac:dyDescent="0.2">
      <c r="A5731" s="5">
        <v>5670</v>
      </c>
      <c r="B5731" s="1832">
        <f>'Revenues 9-14'!G65</f>
        <v>7522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7522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88427</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88427</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88427</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382493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1575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1575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232403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233978</v>
      </c>
      <c r="C5915" s="2" t="s">
        <v>569</v>
      </c>
      <c r="D5915" s="2" t="str">
        <f t="shared" si="91"/>
        <v>Error?</v>
      </c>
    </row>
    <row r="5916" spans="1:4" x14ac:dyDescent="0.2">
      <c r="A5916" s="5">
        <v>5855</v>
      </c>
      <c r="B5916" s="1832">
        <f>'Revenues 9-14'!I5</f>
        <v>19631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19631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7511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7511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27142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51260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51260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1865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1865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53125</v>
      </c>
      <c r="C6023" s="2" t="s">
        <v>569</v>
      </c>
      <c r="D6023" s="2" t="str">
        <f t="shared" si="93"/>
        <v>Error?</v>
      </c>
    </row>
    <row r="6024" spans="1:5" x14ac:dyDescent="0.2">
      <c r="A6024" s="5">
        <v>5963</v>
      </c>
      <c r="B6024" s="1832">
        <f>'Revenues 9-14'!G109</f>
        <v>294066</v>
      </c>
      <c r="C6024" s="2" t="s">
        <v>569</v>
      </c>
      <c r="D6024" s="2" t="str">
        <f t="shared" si="93"/>
        <v>Error?</v>
      </c>
    </row>
    <row r="6025" spans="1:5" x14ac:dyDescent="0.2">
      <c r="A6025" s="5">
        <v>5964</v>
      </c>
      <c r="B6025" s="1832">
        <f>'Revenues 9-14'!H109</f>
        <v>233978</v>
      </c>
      <c r="C6025" s="2" t="s">
        <v>569</v>
      </c>
      <c r="D6025" s="2" t="str">
        <f t="shared" si="93"/>
        <v>Error?</v>
      </c>
    </row>
    <row r="6026" spans="1:5" x14ac:dyDescent="0.2">
      <c r="A6026" s="5">
        <v>5965</v>
      </c>
      <c r="B6026" s="1832">
        <f>'Revenues 9-14'!I109</f>
        <v>27142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53125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26596.3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663.5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147190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147190</v>
      </c>
      <c r="D6215" s="2" t="str">
        <f t="shared" si="96"/>
        <v>Error?</v>
      </c>
      <c r="E6215" s="2" t="s">
        <v>189</v>
      </c>
    </row>
    <row r="6216" spans="1:5" x14ac:dyDescent="0.2">
      <c r="A6216">
        <v>6155</v>
      </c>
      <c r="B6216" s="1832">
        <f>'Assets-Liab 5-6'!J41</f>
        <v>147190</v>
      </c>
      <c r="D6216" s="2" t="str">
        <f t="shared" si="96"/>
        <v>Error?</v>
      </c>
      <c r="E6216" s="2" t="s">
        <v>189</v>
      </c>
    </row>
    <row r="6217" spans="1:5" x14ac:dyDescent="0.2">
      <c r="A6217">
        <v>6156</v>
      </c>
      <c r="B6217" s="1832">
        <f>'Assets-Liab 5-6'!J4</f>
        <v>147190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56320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56320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56320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50000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50000</v>
      </c>
      <c r="D6229" s="2" t="str">
        <f t="shared" si="96"/>
        <v>Error?</v>
      </c>
      <c r="E6229" s="2" t="s">
        <v>189</v>
      </c>
    </row>
    <row r="6230" spans="1:5" x14ac:dyDescent="0.2">
      <c r="A6230">
        <v>6169</v>
      </c>
      <c r="B6230" s="1832">
        <f>'Acct Summary 7-8'!J20</f>
        <v>6320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6320</v>
      </c>
      <c r="D6263" s="2" t="str">
        <f t="shared" si="96"/>
        <v>Error?</v>
      </c>
      <c r="E6263" s="2" t="s">
        <v>189</v>
      </c>
    </row>
    <row r="6264" spans="1:5" x14ac:dyDescent="0.2">
      <c r="A6264">
        <v>6203</v>
      </c>
      <c r="B6264" s="1832">
        <f>'Acct Summary 7-8'!J79</f>
        <v>140870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147190</v>
      </c>
      <c r="D6266" s="2" t="str">
        <f t="shared" si="96"/>
        <v>Error?</v>
      </c>
      <c r="E6266" s="2" t="s">
        <v>189</v>
      </c>
    </row>
    <row r="6267" spans="1:5" x14ac:dyDescent="0.2">
      <c r="A6267">
        <v>6206</v>
      </c>
      <c r="B6267" s="1832">
        <f>'Acct Summary 7-8'!C82</f>
        <v>3621165</v>
      </c>
      <c r="D6267" s="2" t="str">
        <f t="shared" si="96"/>
        <v>Error?</v>
      </c>
      <c r="E6267" s="2" t="s">
        <v>189</v>
      </c>
    </row>
    <row r="6268" spans="1:5" x14ac:dyDescent="0.2">
      <c r="A6268">
        <v>6207</v>
      </c>
      <c r="B6268" s="1832">
        <f>'Acct Summary 7-8'!D82</f>
        <v>139807</v>
      </c>
      <c r="D6268" s="2" t="str">
        <f t="shared" si="96"/>
        <v>Error?</v>
      </c>
      <c r="E6268" s="2" t="s">
        <v>189</v>
      </c>
    </row>
    <row r="6269" spans="1:5" x14ac:dyDescent="0.2">
      <c r="A6269">
        <v>6208</v>
      </c>
      <c r="B6269" s="1832">
        <f>'Acct Summary 7-8'!E82</f>
        <v>26781</v>
      </c>
      <c r="D6269" s="2" t="str">
        <f t="shared" si="96"/>
        <v>Error?</v>
      </c>
      <c r="E6269" s="2" t="s">
        <v>189</v>
      </c>
    </row>
    <row r="6270" spans="1:5" x14ac:dyDescent="0.2">
      <c r="A6270">
        <v>6209</v>
      </c>
      <c r="B6270" s="1832">
        <f>'Acct Summary 7-8'!F82</f>
        <v>-41972</v>
      </c>
      <c r="D6270" s="2" t="str">
        <f t="shared" si="96"/>
        <v>Error?</v>
      </c>
      <c r="E6270" s="2" t="s">
        <v>189</v>
      </c>
    </row>
    <row r="6271" spans="1:5" x14ac:dyDescent="0.2">
      <c r="A6271">
        <v>6210</v>
      </c>
      <c r="B6271" s="1832">
        <f>'Acct Summary 7-8'!G82</f>
        <v>-29789</v>
      </c>
      <c r="D6271" s="2" t="str">
        <f t="shared" ref="D6271:D6334" si="97">IF(ISBLANK(B6271),"OK",IF(A6271-B6271=0,"OK","Error?"))</f>
        <v>Error?</v>
      </c>
      <c r="E6271" s="2" t="s">
        <v>189</v>
      </c>
    </row>
    <row r="6272" spans="1:5" x14ac:dyDescent="0.2">
      <c r="A6272">
        <v>6211</v>
      </c>
      <c r="B6272" s="1832">
        <f>'Acct Summary 7-8'!H82</f>
        <v>83266</v>
      </c>
      <c r="D6272" s="2" t="str">
        <f t="shared" si="97"/>
        <v>Error?</v>
      </c>
      <c r="E6272" s="2" t="s">
        <v>189</v>
      </c>
    </row>
    <row r="6273" spans="1:5" x14ac:dyDescent="0.2">
      <c r="A6273">
        <v>6212</v>
      </c>
      <c r="B6273" s="1832">
        <f>'Acct Summary 7-8'!I82</f>
        <v>-4072858</v>
      </c>
      <c r="D6273" s="2" t="str">
        <f t="shared" si="97"/>
        <v>Error?</v>
      </c>
      <c r="E6273" s="2" t="s">
        <v>189</v>
      </c>
    </row>
    <row r="6274" spans="1:5" x14ac:dyDescent="0.2">
      <c r="A6274">
        <v>6213</v>
      </c>
      <c r="B6274" s="1832">
        <f>'Acct Summary 7-8'!J82</f>
        <v>6320</v>
      </c>
      <c r="D6274" s="2" t="str">
        <f t="shared" si="97"/>
        <v>Error?</v>
      </c>
      <c r="E6274" s="2" t="s">
        <v>189</v>
      </c>
    </row>
    <row r="6275" spans="1:5" x14ac:dyDescent="0.2">
      <c r="A6275">
        <v>6214</v>
      </c>
      <c r="B6275" s="1832">
        <f>'Acct Summary 7-8'!K82</f>
        <v>53125</v>
      </c>
      <c r="D6275" s="2" t="str">
        <f t="shared" si="97"/>
        <v>Error?</v>
      </c>
      <c r="E6275" s="2" t="s">
        <v>189</v>
      </c>
    </row>
    <row r="6276" spans="1:5" x14ac:dyDescent="0.2">
      <c r="A6276">
        <v>6215</v>
      </c>
      <c r="B6276" s="1832">
        <f>'Acct Summary 7-8'!C83</f>
        <v>0.38560493023648079</v>
      </c>
      <c r="D6276" s="2" t="str">
        <f t="shared" si="97"/>
        <v>Error?</v>
      </c>
      <c r="E6276" s="2" t="s">
        <v>189</v>
      </c>
    </row>
    <row r="6277" spans="1:5" x14ac:dyDescent="0.2">
      <c r="A6277">
        <v>6216</v>
      </c>
      <c r="B6277" s="1832">
        <f>'Acct Summary 7-8'!D83</f>
        <v>0.21375484861318578</v>
      </c>
      <c r="D6277" s="2" t="str">
        <f t="shared" si="97"/>
        <v>Error?</v>
      </c>
      <c r="E6277" s="2" t="s">
        <v>189</v>
      </c>
    </row>
    <row r="6278" spans="1:5" x14ac:dyDescent="0.2">
      <c r="A6278">
        <v>6217</v>
      </c>
      <c r="B6278" s="1832">
        <f>'Acct Summary 7-8'!E83</f>
        <v>7.4258825878151302E-2</v>
      </c>
      <c r="D6278" s="2" t="str">
        <f t="shared" si="97"/>
        <v>Error?</v>
      </c>
      <c r="E6278" s="2" t="s">
        <v>189</v>
      </c>
    </row>
    <row r="6279" spans="1:5" x14ac:dyDescent="0.2">
      <c r="A6279">
        <v>6218</v>
      </c>
      <c r="B6279" s="1832">
        <f>'Acct Summary 7-8'!F83</f>
        <v>-6.3455011376607279E-2</v>
      </c>
      <c r="D6279" s="2" t="str">
        <f t="shared" si="97"/>
        <v>Error?</v>
      </c>
      <c r="E6279" s="2" t="s">
        <v>189</v>
      </c>
    </row>
    <row r="6280" spans="1:5" x14ac:dyDescent="0.2">
      <c r="A6280">
        <v>6219</v>
      </c>
      <c r="B6280" s="1832">
        <f>'Acct Summary 7-8'!G83</f>
        <v>-3.8168173670379404E-2</v>
      </c>
      <c r="D6280" s="2" t="str">
        <f t="shared" si="97"/>
        <v>Error?</v>
      </c>
      <c r="E6280" s="2" t="s">
        <v>189</v>
      </c>
    </row>
    <row r="6281" spans="1:5" x14ac:dyDescent="0.2">
      <c r="A6281">
        <v>6220</v>
      </c>
      <c r="B6281" s="1832">
        <f>'Acct Summary 7-8'!H83</f>
        <v>0.45260148283434437</v>
      </c>
      <c r="D6281" s="2" t="str">
        <f t="shared" si="97"/>
        <v>Error?</v>
      </c>
      <c r="E6281" s="2" t="s">
        <v>189</v>
      </c>
    </row>
    <row r="6282" spans="1:5" x14ac:dyDescent="0.2">
      <c r="A6282">
        <v>6221</v>
      </c>
      <c r="B6282" s="1832">
        <f>'Acct Summary 7-8'!I83</f>
        <v>-45.955047558870319</v>
      </c>
      <c r="D6282" s="2" t="str">
        <f t="shared" si="97"/>
        <v>Error?</v>
      </c>
      <c r="E6282" s="2" t="s">
        <v>189</v>
      </c>
    </row>
    <row r="6283" spans="1:5" x14ac:dyDescent="0.2">
      <c r="A6283">
        <v>6222</v>
      </c>
      <c r="B6283" s="1832">
        <f>'Acct Summary 7-8'!J83</f>
        <v>4.2937699571981791E-2</v>
      </c>
      <c r="D6283" s="2" t="str">
        <f t="shared" si="97"/>
        <v>Error?</v>
      </c>
      <c r="E6283" s="2" t="s">
        <v>189</v>
      </c>
    </row>
    <row r="6284" spans="1:5" x14ac:dyDescent="0.2">
      <c r="A6284">
        <v>6223</v>
      </c>
      <c r="B6284" s="1832">
        <f>'Acct Summary 7-8'!K83</f>
        <v>0.27953905653924072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52556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52556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3764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3764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31274</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56320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132035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227904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25464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80144</v>
      </c>
      <c r="D6880" s="2" t="str">
        <f t="shared" si="106"/>
        <v>Error?</v>
      </c>
    </row>
    <row r="6881" spans="1:4" x14ac:dyDescent="0.2">
      <c r="A6881">
        <v>6820</v>
      </c>
      <c r="B6881" s="1832">
        <f>'Expenditures 15-22'!K22</f>
        <v>80144</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1679888</v>
      </c>
      <c r="D6983" s="2" t="str">
        <f t="shared" si="108"/>
        <v>Error?</v>
      </c>
    </row>
    <row r="6984" spans="1:4" x14ac:dyDescent="0.2">
      <c r="A6984">
        <v>6923</v>
      </c>
      <c r="B6984" s="1832">
        <f>'Expenditures 15-22'!K86</f>
        <v>1679888</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1679888</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56320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9501</v>
      </c>
      <c r="D7073" s="2" t="str">
        <f t="shared" si="109"/>
        <v>Error?</v>
      </c>
    </row>
    <row r="7074" spans="1:4" x14ac:dyDescent="0.2">
      <c r="A7074">
        <v>7013</v>
      </c>
      <c r="B7074" s="1832">
        <f>'Expenditures 15-22'!K216</f>
        <v>9501</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310</v>
      </c>
      <c r="D7079" s="2" t="str">
        <f t="shared" si="109"/>
        <v>Error?</v>
      </c>
    </row>
    <row r="7080" spans="1:4" x14ac:dyDescent="0.2">
      <c r="A7080">
        <v>7019</v>
      </c>
      <c r="B7080" s="1832">
        <f>'Expenditures 15-22'!K226</f>
        <v>310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50000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50000</v>
      </c>
      <c r="D7224" s="2" t="str">
        <f t="shared" si="111"/>
        <v>Error?</v>
      </c>
    </row>
    <row r="7225" spans="1:4" x14ac:dyDescent="0.2">
      <c r="A7225">
        <v>7164</v>
      </c>
      <c r="B7225" s="1832">
        <f>'Expenditures 15-22'!K343</f>
        <v>6320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37049</v>
      </c>
      <c r="D7246" s="2" t="str">
        <f t="shared" si="112"/>
        <v>Error?</v>
      </c>
    </row>
    <row r="7247" spans="1:4" x14ac:dyDescent="0.2">
      <c r="A7247">
        <f t="shared" si="113"/>
        <v>7186</v>
      </c>
      <c r="B7247" s="1832">
        <f>'Expenditures 15-22'!E7</f>
        <v>6775</v>
      </c>
      <c r="D7247" s="2" t="str">
        <f t="shared" si="112"/>
        <v>Error?</v>
      </c>
    </row>
    <row r="7248" spans="1:4" x14ac:dyDescent="0.2">
      <c r="A7248">
        <f t="shared" si="113"/>
        <v>7187</v>
      </c>
      <c r="B7248" s="1832">
        <f>'Expenditures 15-22'!F7</f>
        <v>52045</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21395</v>
      </c>
      <c r="D7263" s="2" t="str">
        <f t="shared" si="112"/>
        <v>Error?</v>
      </c>
    </row>
    <row r="7264" spans="1:4" x14ac:dyDescent="0.2">
      <c r="A7264">
        <f t="shared" si="113"/>
        <v>7203</v>
      </c>
      <c r="B7264" s="1832">
        <f>'Expenditures 15-22'!D17</f>
        <v>2681</v>
      </c>
      <c r="D7264" s="2" t="str">
        <f t="shared" si="112"/>
        <v>Error?</v>
      </c>
    </row>
    <row r="7265" spans="1:5" x14ac:dyDescent="0.2">
      <c r="A7265">
        <f t="shared" si="113"/>
        <v>7204</v>
      </c>
      <c r="B7265" s="1832">
        <f>'Expenditures 15-22'!E17</f>
        <v>740</v>
      </c>
      <c r="D7265" s="2" t="str">
        <f t="shared" si="112"/>
        <v>Error?</v>
      </c>
    </row>
    <row r="7266" spans="1:5" x14ac:dyDescent="0.2">
      <c r="A7266">
        <f t="shared" si="113"/>
        <v>7205</v>
      </c>
      <c r="B7266" s="1832">
        <f>'Expenditures 15-22'!F17</f>
        <v>648</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22057</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22057</v>
      </c>
      <c r="D7618" s="2" t="str">
        <f t="shared" si="124"/>
        <v>Error?</v>
      </c>
      <c r="E7618" s="2" t="s">
        <v>19</v>
      </c>
    </row>
    <row r="7619" spans="1:5" x14ac:dyDescent="0.2">
      <c r="A7619">
        <f t="shared" si="123"/>
        <v>7558</v>
      </c>
      <c r="B7619" s="1832">
        <f>'Cap Outlay Deprec 26'!H14</f>
        <v>7352</v>
      </c>
      <c r="D7619" s="2" t="str">
        <f t="shared" si="124"/>
        <v>Error?</v>
      </c>
      <c r="E7619" s="2" t="s">
        <v>19</v>
      </c>
    </row>
    <row r="7620" spans="1:5" x14ac:dyDescent="0.2">
      <c r="A7620">
        <f t="shared" si="123"/>
        <v>7559</v>
      </c>
      <c r="B7620" s="1832">
        <f>'Cap Outlay Deprec 26'!I14</f>
        <v>7352</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14704</v>
      </c>
      <c r="D7622" s="2" t="str">
        <f t="shared" si="124"/>
        <v>Error?</v>
      </c>
      <c r="E7622" s="2" t="s">
        <v>19</v>
      </c>
    </row>
    <row r="7623" spans="1:5" x14ac:dyDescent="0.2">
      <c r="A7623">
        <f t="shared" si="123"/>
        <v>7562</v>
      </c>
      <c r="B7623" s="1832">
        <f>'Cap Outlay Deprec 26'!L14</f>
        <v>7353</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467814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100706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1575</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232403</v>
      </c>
      <c r="D7713" s="2" t="str">
        <f t="shared" si="126"/>
        <v>Error?</v>
      </c>
      <c r="E7713" s="2" t="s">
        <v>822</v>
      </c>
    </row>
    <row r="7714" spans="1:6" x14ac:dyDescent="0.2">
      <c r="A7714">
        <v>7653</v>
      </c>
      <c r="B7714" s="1832">
        <f>'Rest Tax Levies-Tort Im 25'!K9</f>
        <v>6931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233978</v>
      </c>
      <c r="D7718" s="2" t="str">
        <f t="shared" si="126"/>
        <v>Error?</v>
      </c>
      <c r="E7718" s="2" t="s">
        <v>822</v>
      </c>
    </row>
    <row r="7719" spans="1:6" x14ac:dyDescent="0.2">
      <c r="A7719">
        <v>7658</v>
      </c>
      <c r="B7719" s="1832">
        <f>'Rest Tax Levies-Tort Im 25'!K12</f>
        <v>6931</v>
      </c>
      <c r="D7719" s="2" t="str">
        <f t="shared" si="126"/>
        <v>Error?</v>
      </c>
      <c r="E7719" s="2" t="s">
        <v>822</v>
      </c>
    </row>
    <row r="7720" spans="1:6" x14ac:dyDescent="0.2">
      <c r="A7720">
        <v>7659</v>
      </c>
      <c r="B7720" s="1832">
        <f>'Rest Tax Levies-Tort Im 25'!H14</f>
        <v>42241</v>
      </c>
      <c r="D7720" s="2" t="str">
        <f t="shared" si="126"/>
        <v>Error?</v>
      </c>
      <c r="E7720" s="2" t="s">
        <v>822</v>
      </c>
    </row>
    <row r="7721" spans="1:6" x14ac:dyDescent="0.2">
      <c r="A7721">
        <v>7660</v>
      </c>
      <c r="B7721" s="1832">
        <f>'Rest Tax Levies-Tort Im 25'!K14</f>
        <v>6391</v>
      </c>
      <c r="D7721" s="2" t="str">
        <f t="shared" si="126"/>
        <v>Error?</v>
      </c>
      <c r="E7721" s="2" t="s">
        <v>822</v>
      </c>
    </row>
    <row r="7722" spans="1:6" x14ac:dyDescent="0.2">
      <c r="A7722">
        <v>7661</v>
      </c>
      <c r="B7722" s="1832">
        <f>'Rest Tax Levies-Tort Im 25'!J15</f>
        <v>150712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150712</v>
      </c>
      <c r="D7730" s="2" t="str">
        <f t="shared" si="126"/>
        <v>Error?</v>
      </c>
      <c r="E7730" s="2" t="s">
        <v>822</v>
      </c>
    </row>
    <row r="7731" spans="1:6" x14ac:dyDescent="0.2">
      <c r="A7731">
        <v>7670</v>
      </c>
      <c r="B7731" s="1832">
        <f>'Revenues 9-14'!H103</f>
        <v>232403</v>
      </c>
      <c r="D7731" s="2" t="str">
        <f t="shared" si="126"/>
        <v>Error?</v>
      </c>
      <c r="E7731" s="2" t="s">
        <v>822</v>
      </c>
    </row>
    <row r="7732" spans="1:6" x14ac:dyDescent="0.2">
      <c r="A7732">
        <v>7671</v>
      </c>
      <c r="B7732" s="1832">
        <f>'Rest Tax Levies-Tort Im 25'!J24</f>
        <v>183972</v>
      </c>
      <c r="D7732" s="2" t="str">
        <f t="shared" si="126"/>
        <v>Error?</v>
      </c>
      <c r="E7732" s="2" t="s">
        <v>822</v>
      </c>
    </row>
    <row r="7733" spans="1:6" x14ac:dyDescent="0.2">
      <c r="A7733">
        <v>7672</v>
      </c>
      <c r="B7733" s="1832">
        <f>'Rest Tax Levies-Tort Im 25'!K24</f>
        <v>540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183972</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540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4000000</v>
      </c>
      <c r="D7748" s="2" t="str">
        <f t="shared" si="127"/>
        <v>Error?</v>
      </c>
      <c r="E7748" s="4" t="s">
        <v>1322</v>
      </c>
    </row>
    <row r="7749" spans="1:6" x14ac:dyDescent="0.2">
      <c r="A7749">
        <v>7688</v>
      </c>
      <c r="B7749" s="1832">
        <f>'Acct Summary 7-8'!D25</f>
        <v>85000</v>
      </c>
      <c r="D7749" s="2" t="str">
        <f t="shared" si="127"/>
        <v>Error?</v>
      </c>
      <c r="E7749" s="4" t="s">
        <v>1322</v>
      </c>
    </row>
    <row r="7750" spans="1:6" x14ac:dyDescent="0.2">
      <c r="A7750">
        <v>7689</v>
      </c>
      <c r="B7750" s="1832">
        <f>'Acct Summary 7-8'!E25</f>
        <v>15000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1993</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50000</v>
      </c>
      <c r="D7785" s="2" t="str">
        <f t="shared" si="127"/>
        <v>Error?</v>
      </c>
      <c r="E7785" s="4" t="s">
        <v>1822</v>
      </c>
    </row>
    <row r="7786" spans="1:5" x14ac:dyDescent="0.2">
      <c r="A7786">
        <v>7725</v>
      </c>
      <c r="B7786" s="1832">
        <f>'Expenditures 15-22'!K332</f>
        <v>50000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50000</v>
      </c>
      <c r="D7789" s="2" t="str">
        <f t="shared" si="127"/>
        <v>Error?</v>
      </c>
      <c r="E7789" s="4" t="s">
        <v>1822</v>
      </c>
    </row>
    <row r="7790" spans="1:5" x14ac:dyDescent="0.2">
      <c r="A7790">
        <v>7729</v>
      </c>
      <c r="B7790" s="1832">
        <f>'Expenditures 15-22'!K334</f>
        <v>50000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50000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6391</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7005000</v>
      </c>
      <c r="D7817" s="2" t="str">
        <f t="shared" si="128"/>
        <v>Error?</v>
      </c>
      <c r="E7817" s="4" t="s">
        <v>1962</v>
      </c>
    </row>
    <row r="7818" spans="1:5" x14ac:dyDescent="0.2">
      <c r="A7818">
        <v>7757</v>
      </c>
      <c r="B7818" s="1832">
        <f>'PCTC-OEPP 27-28'!F172</f>
        <v>135505.46</v>
      </c>
      <c r="D7818" s="2" t="str">
        <f t="shared" si="128"/>
        <v>Error?</v>
      </c>
      <c r="E7818" s="4" t="s">
        <v>1976</v>
      </c>
    </row>
    <row r="7819" spans="1:5" x14ac:dyDescent="0.2">
      <c r="A7819">
        <v>7758</v>
      </c>
      <c r="B7819" s="1832">
        <f>'PCTC-OEPP 27-28'!F173</f>
        <v>0</v>
      </c>
      <c r="D7819" s="2" t="str">
        <f t="shared" si="128"/>
        <v>Error?</v>
      </c>
      <c r="E7819" s="4" t="s">
        <v>1976</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12250722</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227904</v>
      </c>
      <c r="D7826" s="2" t="str">
        <f t="shared" si="129"/>
        <v>Error?</v>
      </c>
      <c r="E7826" s="4" t="s">
        <v>1994</v>
      </c>
    </row>
    <row r="7827" spans="1:5" x14ac:dyDescent="0.2">
      <c r="A7827">
        <v>7766</v>
      </c>
      <c r="B7827" s="1832">
        <f>'PCTC-OEPP 27-28'!F35</f>
        <v>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0</v>
      </c>
      <c r="D7830" s="2" t="str">
        <f t="shared" si="129"/>
        <v>Error?</v>
      </c>
      <c r="E7830" s="4" t="s">
        <v>1994</v>
      </c>
    </row>
    <row r="7831" spans="1:5" x14ac:dyDescent="0.2">
      <c r="A7831">
        <v>7770</v>
      </c>
      <c r="B7831" s="1832">
        <f>'PCTC-OEPP 27-28'!F52</f>
        <v>409930</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4816721</v>
      </c>
      <c r="D7834" s="2" t="str">
        <f t="shared" si="129"/>
        <v>Error?</v>
      </c>
      <c r="E7834" s="4" t="s">
        <v>1994</v>
      </c>
    </row>
    <row r="7835" spans="1:5" x14ac:dyDescent="0.2">
      <c r="A7835">
        <v>7774</v>
      </c>
      <c r="B7835" s="1832">
        <f>'PCTC-OEPP 27-28'!F78</f>
        <v>7434001</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11204.221552373776</v>
      </c>
      <c r="D7837" s="2" t="str">
        <f t="shared" si="129"/>
        <v>Error?</v>
      </c>
      <c r="E7837" s="4" t="s">
        <v>1994</v>
      </c>
    </row>
    <row r="7838" spans="1:5" x14ac:dyDescent="0.2">
      <c r="A7838">
        <v>7777</v>
      </c>
      <c r="B7838" s="1832">
        <f>'PCTC-OEPP 27-28'!F96</f>
        <v>13520</v>
      </c>
      <c r="D7838" s="2" t="str">
        <f t="shared" si="129"/>
        <v>Error?</v>
      </c>
      <c r="E7838" s="4" t="s">
        <v>1994</v>
      </c>
    </row>
    <row r="7839" spans="1:5" x14ac:dyDescent="0.2">
      <c r="A7839">
        <v>7778</v>
      </c>
      <c r="B7839" s="1832">
        <f>'PCTC-OEPP 27-28'!F102</f>
        <v>0</v>
      </c>
      <c r="D7839" s="2" t="str">
        <f t="shared" si="129"/>
        <v>Error?</v>
      </c>
      <c r="E7839" s="4" t="s">
        <v>1994</v>
      </c>
    </row>
    <row r="7840" spans="1:5" x14ac:dyDescent="0.2">
      <c r="A7840">
        <v>7779</v>
      </c>
      <c r="B7840" s="1832">
        <f>'PCTC-OEPP 27-28'!F103</f>
        <v>0</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60886</v>
      </c>
      <c r="D7842" s="2" t="str">
        <f t="shared" si="129"/>
        <v>Error?</v>
      </c>
      <c r="E7842" s="4" t="s">
        <v>1994</v>
      </c>
    </row>
    <row r="7843" spans="1:5" x14ac:dyDescent="0.2">
      <c r="A7843">
        <v>7782</v>
      </c>
      <c r="B7843" s="1832">
        <f>'PCTC-OEPP 27-28'!F107</f>
        <v>0</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6931</v>
      </c>
      <c r="D7846" s="2" t="str">
        <f t="shared" si="129"/>
        <v>Error?</v>
      </c>
      <c r="E7846" s="4" t="s">
        <v>1994</v>
      </c>
    </row>
    <row r="7847" spans="1:5" x14ac:dyDescent="0.2">
      <c r="A7847">
        <v>7786</v>
      </c>
      <c r="B7847" s="1832">
        <f>'PCTC-OEPP 27-28'!F112</f>
        <v>218653</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0</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0</v>
      </c>
      <c r="D7857" s="2" t="str">
        <f t="shared" si="129"/>
        <v>Error?</v>
      </c>
      <c r="E7857" s="4" t="s">
        <v>1994</v>
      </c>
    </row>
    <row r="7858" spans="1:5" x14ac:dyDescent="0.2">
      <c r="A7858">
        <v>7797</v>
      </c>
      <c r="B7858" s="1832">
        <f>'PCTC-OEPP 27-28'!F126</f>
        <v>326516</v>
      </c>
      <c r="D7858" s="2" t="str">
        <f t="shared" si="129"/>
        <v>Error?</v>
      </c>
      <c r="E7858" s="4" t="s">
        <v>1994</v>
      </c>
    </row>
    <row r="7859" spans="1:5" x14ac:dyDescent="0.2">
      <c r="A7859">
        <v>7798</v>
      </c>
      <c r="B7859" s="1832">
        <f>'PCTC-OEPP 27-28'!F127</f>
        <v>264363</v>
      </c>
      <c r="D7859" s="2" t="str">
        <f t="shared" si="129"/>
        <v>Error?</v>
      </c>
      <c r="E7859" s="4" t="s">
        <v>1994</v>
      </c>
    </row>
    <row r="7860" spans="1:5" x14ac:dyDescent="0.2">
      <c r="A7860">
        <v>7799</v>
      </c>
      <c r="B7860" s="1832">
        <f>'PCTC-OEPP 27-28'!F128</f>
        <v>0</v>
      </c>
      <c r="D7860" s="2" t="str">
        <f t="shared" si="129"/>
        <v>Error?</v>
      </c>
      <c r="E7860" s="4" t="s">
        <v>1994</v>
      </c>
    </row>
    <row r="7861" spans="1:5" x14ac:dyDescent="0.2">
      <c r="A7861">
        <v>7800</v>
      </c>
      <c r="B7861" s="1832">
        <f>'PCTC-OEPP 27-28'!F129</f>
        <v>229557</v>
      </c>
      <c r="D7861" s="2" t="str">
        <f t="shared" si="129"/>
        <v>Error?</v>
      </c>
      <c r="E7861" s="4" t="s">
        <v>1994</v>
      </c>
    </row>
    <row r="7862" spans="1:5" x14ac:dyDescent="0.2">
      <c r="A7862">
        <v>7801</v>
      </c>
      <c r="B7862" s="1832">
        <f>'PCTC-OEPP 27-28'!F130</f>
        <v>3953</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0</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0</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0</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6054</v>
      </c>
      <c r="D7874" s="2" t="str">
        <f t="shared" si="129"/>
        <v>Error?</v>
      </c>
      <c r="E7874" s="4" t="s">
        <v>1994</v>
      </c>
    </row>
    <row r="7875" spans="1:5" x14ac:dyDescent="0.2">
      <c r="A7875">
        <v>7814</v>
      </c>
      <c r="B7875" s="1832">
        <f>'PCTC-OEPP 27-28'!F170</f>
        <v>9533</v>
      </c>
      <c r="D7875" s="2" t="str">
        <f t="shared" si="129"/>
        <v>Error?</v>
      </c>
      <c r="E7875" s="4" t="s">
        <v>1994</v>
      </c>
    </row>
    <row r="7876" spans="1:5" x14ac:dyDescent="0.2">
      <c r="A7876">
        <v>7815</v>
      </c>
      <c r="B7876" s="1832">
        <f>'PCTC-OEPP 27-28'!F171</f>
        <v>0</v>
      </c>
      <c r="D7876" s="2" t="str">
        <f t="shared" si="129"/>
        <v>Error?</v>
      </c>
      <c r="E7876" s="4" t="s">
        <v>1994</v>
      </c>
    </row>
    <row r="7877" spans="1:5" x14ac:dyDescent="0.2">
      <c r="A7877">
        <v>7816</v>
      </c>
      <c r="B7877" s="1832">
        <f>'PCTC-OEPP 27-28'!F175</f>
        <v>1299244.46</v>
      </c>
      <c r="D7877" s="2" t="str">
        <f t="shared" si="129"/>
        <v>Error?</v>
      </c>
      <c r="E7877" s="4" t="s">
        <v>1994</v>
      </c>
    </row>
    <row r="7878" spans="1:5" x14ac:dyDescent="0.2">
      <c r="A7878">
        <v>7817</v>
      </c>
      <c r="B7878" s="1832">
        <f>'PCTC-OEPP 27-28'!F176</f>
        <v>6134756.54</v>
      </c>
      <c r="D7878" s="2" t="str">
        <f t="shared" si="129"/>
        <v>Error?</v>
      </c>
      <c r="E7878" s="4" t="s">
        <v>1994</v>
      </c>
    </row>
    <row r="7879" spans="1:5" x14ac:dyDescent="0.2">
      <c r="A7879">
        <v>7818</v>
      </c>
      <c r="B7879" s="1832">
        <f>'PCTC-OEPP 27-28'!F178</f>
        <v>6602570.54</v>
      </c>
      <c r="D7879" s="2" t="str">
        <f t="shared" si="129"/>
        <v>Error?</v>
      </c>
      <c r="E7879" s="4" t="s">
        <v>1994</v>
      </c>
    </row>
    <row r="7880" spans="1:5" x14ac:dyDescent="0.2">
      <c r="A7880">
        <v>7819</v>
      </c>
      <c r="B7880" s="1832">
        <f>'PCTC-OEPP 27-28'!F180</f>
        <v>9951.1236473247936</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787" t="s">
        <v>1181</v>
      </c>
      <c r="B2" s="2787"/>
      <c r="C2" s="2787"/>
      <c r="D2" s="2787"/>
      <c r="E2" s="2787"/>
      <c r="F2" s="2787"/>
      <c r="G2" s="2787"/>
      <c r="H2" s="2787"/>
      <c r="I2" s="2787"/>
      <c r="J2" s="2787"/>
      <c r="K2" s="2787"/>
      <c r="L2" s="2787"/>
    </row>
    <row r="3" spans="1:29" ht="13.5" customHeight="1" x14ac:dyDescent="0.2">
      <c r="A3" s="2821" t="s">
        <v>1180</v>
      </c>
      <c r="B3" s="2821"/>
      <c r="C3" s="2821"/>
      <c r="D3" s="2821"/>
      <c r="E3" s="2821"/>
      <c r="F3" s="2821"/>
      <c r="G3" s="2821"/>
      <c r="H3" s="2821"/>
      <c r="I3" s="2821"/>
      <c r="J3" s="2821"/>
      <c r="K3" s="2821"/>
      <c r="L3" s="2821"/>
    </row>
    <row r="4" spans="1:29" ht="13.5" customHeight="1" x14ac:dyDescent="0.2">
      <c r="A4" s="2808" t="str">
        <f>"Year Ending June 30, "&amp;'AFR20'!E2</f>
        <v>Year Ending June 30, 2020</v>
      </c>
      <c r="B4" s="2809"/>
      <c r="C4" s="2809"/>
      <c r="D4" s="2809"/>
      <c r="E4" s="2809"/>
      <c r="F4" s="2809"/>
      <c r="G4" s="2809"/>
      <c r="H4" s="2809"/>
      <c r="I4" s="2809"/>
      <c r="J4" s="2809"/>
      <c r="K4" s="2809"/>
      <c r="L4" s="280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810" t="str">
        <f>COVER!A17</f>
        <v xml:space="preserve">   Peoria Heights CUSD 325</v>
      </c>
      <c r="B7" s="2811"/>
      <c r="C7" s="2811"/>
      <c r="D7" s="2812"/>
      <c r="E7" s="2813">
        <f>COVER!A13</f>
        <v>48072325026</v>
      </c>
      <c r="F7" s="2814"/>
      <c r="G7" s="2822" t="str">
        <f>COVER!T23</f>
        <v>066-005027</v>
      </c>
      <c r="H7" s="2823"/>
      <c r="I7" s="2823"/>
      <c r="J7" s="2823"/>
      <c r="K7" s="2823"/>
      <c r="L7" s="28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825"/>
      <c r="B9" s="2826"/>
      <c r="C9" s="2826"/>
      <c r="D9" s="2826"/>
      <c r="E9" s="2826"/>
      <c r="F9" s="2827"/>
      <c r="G9" s="2793" t="str">
        <f>COVER!T13</f>
        <v>Gorenz and Associates, Ltd.</v>
      </c>
      <c r="H9" s="2828"/>
      <c r="I9" s="2828"/>
      <c r="J9" s="2828"/>
      <c r="K9" s="2828"/>
      <c r="L9" s="2829"/>
    </row>
    <row r="10" spans="1:29" ht="13.5" customHeight="1" x14ac:dyDescent="0.2">
      <c r="A10" s="2799" t="str">
        <f>COVER!A38</f>
        <v>Dr. Eric Heath</v>
      </c>
      <c r="B10" s="2800"/>
      <c r="C10" s="2800"/>
      <c r="D10" s="2800"/>
      <c r="E10" s="2800"/>
      <c r="F10" s="2801"/>
      <c r="G10" s="2793" t="str">
        <f>COVER!T17</f>
        <v>4200 N Knoxville Ave.</v>
      </c>
      <c r="H10" s="2794"/>
      <c r="I10" s="2794"/>
      <c r="J10" s="2794"/>
      <c r="K10" s="2794"/>
      <c r="L10" s="2795"/>
    </row>
    <row r="11" spans="1:29" ht="13.5" customHeight="1" x14ac:dyDescent="0.2">
      <c r="A11" s="963" t="s">
        <v>1502</v>
      </c>
      <c r="B11" s="964"/>
      <c r="C11" s="965"/>
      <c r="D11" s="970"/>
      <c r="E11" s="965"/>
      <c r="F11" s="969"/>
      <c r="G11" s="2793" t="str">
        <f>COVER!T19</f>
        <v>Peoria</v>
      </c>
      <c r="H11" s="2794"/>
      <c r="I11" s="2794"/>
      <c r="J11" s="2794"/>
      <c r="K11" s="2794"/>
      <c r="L11" s="2795"/>
    </row>
    <row r="12" spans="1:29" ht="13.5" customHeight="1" x14ac:dyDescent="0.2">
      <c r="A12" s="2802" t="s">
        <v>1501</v>
      </c>
      <c r="B12" s="2803"/>
      <c r="C12" s="2803"/>
      <c r="D12" s="2803"/>
      <c r="E12" s="2803"/>
      <c r="F12" s="2804"/>
      <c r="G12" s="2796"/>
      <c r="H12" s="2797"/>
      <c r="I12" s="2797"/>
      <c r="J12" s="2797"/>
      <c r="K12" s="2797"/>
      <c r="L12" s="2798"/>
    </row>
    <row r="13" spans="1:29" ht="13.5" customHeight="1" x14ac:dyDescent="0.2">
      <c r="A13" s="2793"/>
      <c r="B13" s="2794"/>
      <c r="C13" s="2794"/>
      <c r="D13" s="2794"/>
      <c r="E13" s="2794"/>
      <c r="F13" s="2795"/>
      <c r="G13" s="2788" t="s">
        <v>1503</v>
      </c>
      <c r="H13" s="2789"/>
      <c r="I13" s="2805" t="str">
        <f>COVER!T25</f>
        <v>rrumbold@gorenzcpa.com</v>
      </c>
      <c r="J13" s="2806"/>
      <c r="K13" s="2806"/>
      <c r="L13" s="2807"/>
    </row>
    <row r="14" spans="1:29" ht="13.5" customHeight="1" x14ac:dyDescent="0.2">
      <c r="A14" s="2793" t="str">
        <f>COVER!A19</f>
        <v>500 E. Glen Avenue</v>
      </c>
      <c r="B14" s="2794"/>
      <c r="C14" s="2794"/>
      <c r="D14" s="2794"/>
      <c r="E14" s="2794"/>
      <c r="F14" s="2795"/>
      <c r="G14" s="974" t="s">
        <v>1175</v>
      </c>
      <c r="H14" s="972"/>
      <c r="I14" s="972"/>
      <c r="J14" s="972"/>
      <c r="K14" s="972"/>
      <c r="L14" s="973"/>
    </row>
    <row r="15" spans="1:29" ht="13.5" customHeight="1" x14ac:dyDescent="0.2">
      <c r="A15" s="2793" t="str">
        <f>COVER!A21</f>
        <v>Peoria Heights</v>
      </c>
      <c r="B15" s="2794"/>
      <c r="C15" s="2794"/>
      <c r="D15" s="2794"/>
      <c r="E15" s="2794"/>
      <c r="F15" s="2795"/>
      <c r="G15" s="2790" t="str">
        <f>COVER!T15</f>
        <v>Russell J. Rumbold II, CPA</v>
      </c>
      <c r="H15" s="2791"/>
      <c r="I15" s="2791"/>
      <c r="J15" s="2791"/>
      <c r="K15" s="2791"/>
      <c r="L15" s="2792"/>
    </row>
    <row r="16" spans="1:29" ht="12.2" customHeight="1" x14ac:dyDescent="0.2">
      <c r="A16" s="2818" t="str">
        <f>"     "&amp;COVER!A25</f>
        <v xml:space="preserve">     61616</v>
      </c>
      <c r="B16" s="2819"/>
      <c r="C16" s="2819"/>
      <c r="D16" s="2819"/>
      <c r="E16" s="2819"/>
      <c r="F16" s="2820"/>
      <c r="G16" s="2830"/>
      <c r="H16" s="2831"/>
      <c r="I16" s="2831"/>
      <c r="J16" s="2831"/>
      <c r="K16" s="2831"/>
      <c r="L16" s="2832"/>
    </row>
    <row r="17" spans="1:13" ht="12.2" customHeight="1" x14ac:dyDescent="0.2">
      <c r="A17" s="2833"/>
      <c r="B17" s="2834"/>
      <c r="C17" s="2834"/>
      <c r="D17" s="2834"/>
      <c r="E17" s="2834"/>
      <c r="F17" s="2835"/>
      <c r="G17" s="974" t="s">
        <v>1174</v>
      </c>
      <c r="H17" s="972"/>
      <c r="I17" s="972"/>
      <c r="J17" s="972"/>
      <c r="K17" s="976" t="s">
        <v>1173</v>
      </c>
      <c r="L17" s="969"/>
      <c r="M17" s="962"/>
    </row>
    <row r="18" spans="1:13" ht="12.2" customHeight="1" x14ac:dyDescent="0.2">
      <c r="A18" s="2799"/>
      <c r="B18" s="2800"/>
      <c r="C18" s="2800"/>
      <c r="D18" s="2800"/>
      <c r="E18" s="2800"/>
      <c r="F18" s="2801"/>
      <c r="G18" s="2815" t="str">
        <f>COVER!T21</f>
        <v>309-685-7621</v>
      </c>
      <c r="H18" s="2816"/>
      <c r="I18" s="2816"/>
      <c r="J18" s="2816"/>
      <c r="K18" s="2815" t="str">
        <f>COVER!X21</f>
        <v>309-685-4758</v>
      </c>
      <c r="L18" s="28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1675</v>
      </c>
    </row>
    <row r="22" spans="1:13" ht="12.2" customHeight="1" x14ac:dyDescent="0.2">
      <c r="A22" s="979"/>
    </row>
    <row r="23" spans="1:13" ht="12.2" customHeight="1" x14ac:dyDescent="0.2">
      <c r="A23" s="979"/>
      <c r="B23" s="980" t="s">
        <v>2056</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2056</v>
      </c>
      <c r="C26" s="981" t="s">
        <v>1676</v>
      </c>
    </row>
    <row r="27" spans="1:13" s="977" customFormat="1" ht="9" customHeight="1" x14ac:dyDescent="0.2">
      <c r="B27" s="982"/>
      <c r="C27" s="981"/>
    </row>
    <row r="28" spans="1:13" s="977" customFormat="1" ht="12.2" customHeight="1" x14ac:dyDescent="0.2">
      <c r="A28" s="984"/>
      <c r="B28" s="980" t="s">
        <v>2056</v>
      </c>
      <c r="C28" s="981" t="s">
        <v>1677</v>
      </c>
    </row>
    <row r="29" spans="1:13" s="977" customFormat="1" ht="9" customHeight="1" x14ac:dyDescent="0.2">
      <c r="A29" s="984"/>
      <c r="B29" s="982"/>
      <c r="C29" s="981"/>
    </row>
    <row r="30" spans="1:13" s="977" customFormat="1" ht="12.2" customHeight="1" x14ac:dyDescent="0.2">
      <c r="B30" s="980" t="s">
        <v>2056</v>
      </c>
      <c r="C30" s="981" t="s">
        <v>1544</v>
      </c>
      <c r="D30" s="975"/>
      <c r="E30" s="975"/>
    </row>
    <row r="31" spans="1:13" s="977" customFormat="1" ht="9" customHeight="1" x14ac:dyDescent="0.2">
      <c r="B31" s="982"/>
      <c r="C31" s="981"/>
      <c r="D31" s="975"/>
      <c r="E31" s="975"/>
    </row>
    <row r="32" spans="1:13" s="977" customFormat="1" ht="12.2" customHeight="1" x14ac:dyDescent="0.2">
      <c r="B32" s="980" t="s">
        <v>2056</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2056</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2056</v>
      </c>
      <c r="C38" s="981" t="s">
        <v>1548</v>
      </c>
    </row>
    <row r="39" spans="1:8" ht="9" customHeight="1" x14ac:dyDescent="0.2">
      <c r="B39" s="982"/>
      <c r="C39" s="985"/>
    </row>
    <row r="40" spans="1:8" s="977" customFormat="1" ht="13.5" customHeight="1" x14ac:dyDescent="0.2">
      <c r="B40" s="980" t="s">
        <v>2056</v>
      </c>
      <c r="C40" s="981" t="s">
        <v>1549</v>
      </c>
    </row>
    <row r="41" spans="1:8" ht="9" customHeight="1" x14ac:dyDescent="0.2">
      <c r="A41" s="986"/>
      <c r="B41" s="982"/>
      <c r="C41" s="985"/>
    </row>
    <row r="42" spans="1:8" s="977" customFormat="1" ht="13.5" customHeight="1" x14ac:dyDescent="0.2">
      <c r="B42" s="980" t="s">
        <v>2056</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electLockedCell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836" t="str">
        <f>'Single Audit Cover'!A7</f>
        <v xml:space="preserve">   Peoria Heights CUSD 325</v>
      </c>
      <c r="B1" s="2837"/>
      <c r="C1" s="2837"/>
      <c r="D1" s="2837"/>
    </row>
    <row r="2" spans="1:11" s="991" customFormat="1" ht="12.75" x14ac:dyDescent="0.2">
      <c r="A2" s="2838">
        <f>'Single Audit Cover'!E7</f>
        <v>48072325026</v>
      </c>
      <c r="B2" s="2839"/>
      <c r="C2" s="2839"/>
      <c r="D2" s="2839"/>
    </row>
    <row r="3" spans="1:11" s="991" customFormat="1" ht="12.75" x14ac:dyDescent="0.2">
      <c r="A3" s="2836" t="s">
        <v>1496</v>
      </c>
      <c r="B3" s="2837"/>
      <c r="C3" s="2837"/>
      <c r="D3" s="283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1965</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1199</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1198</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1197</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1196</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1190</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841" t="str">
        <f>'Single Audit Cover'!A7</f>
        <v xml:space="preserve">   Peoria Heights CUSD 325</v>
      </c>
      <c r="B1" s="2841"/>
      <c r="C1" s="2841"/>
      <c r="D1" s="2841"/>
      <c r="E1" s="2841"/>
    </row>
    <row r="2" spans="1:5" x14ac:dyDescent="0.2">
      <c r="A2" s="2842">
        <f>'Single Audit Cover'!E7</f>
        <v>48072325026</v>
      </c>
      <c r="B2" s="2842"/>
      <c r="C2" s="2842"/>
      <c r="D2" s="2842"/>
      <c r="E2" s="2842"/>
    </row>
    <row r="3" spans="1:5" ht="4.5" customHeight="1" x14ac:dyDescent="0.2"/>
    <row r="4" spans="1:5" x14ac:dyDescent="0.2">
      <c r="A4" s="2841" t="s">
        <v>1234</v>
      </c>
      <c r="B4" s="2841"/>
      <c r="C4" s="2841"/>
      <c r="D4" s="2841"/>
      <c r="E4" s="2841"/>
    </row>
    <row r="5" spans="1:5" x14ac:dyDescent="0.2">
      <c r="A5" s="2844" t="str">
        <f>'Single Audit Cover'!A4</f>
        <v>Year Ending June 30, 2020</v>
      </c>
      <c r="B5" s="2844"/>
      <c r="C5" s="2844"/>
      <c r="D5" s="2844"/>
      <c r="E5" s="2844"/>
    </row>
    <row r="6" spans="1:5" x14ac:dyDescent="0.2">
      <c r="A6" s="2841" t="s">
        <v>1233</v>
      </c>
      <c r="B6" s="2841"/>
      <c r="C6" s="2841"/>
      <c r="D6" s="2841"/>
      <c r="E6" s="2841"/>
    </row>
    <row r="8" spans="1:5" x14ac:dyDescent="0.2">
      <c r="A8" s="1036" t="s">
        <v>1232</v>
      </c>
    </row>
    <row r="10" spans="1:5" x14ac:dyDescent="0.2">
      <c r="A10" s="1037" t="s">
        <v>1231</v>
      </c>
      <c r="B10" s="1038" t="s">
        <v>1230</v>
      </c>
      <c r="C10" s="1038"/>
      <c r="D10" s="1039">
        <f>SUM('Acct Summary 7-8'!C7:K7)</f>
        <v>839976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2000</v>
      </c>
      <c r="B14" s="1038"/>
      <c r="C14" s="1038"/>
      <c r="D14" s="1040">
        <f>'ICR Computation 30'!E11</f>
        <v>26596.3</v>
      </c>
    </row>
    <row r="15" spans="1:5" x14ac:dyDescent="0.2">
      <c r="A15" s="1037"/>
      <c r="B15" s="1038"/>
      <c r="C15" s="1038"/>
    </row>
    <row r="16" spans="1:5" x14ac:dyDescent="0.2">
      <c r="A16" s="1037" t="s">
        <v>1811</v>
      </c>
      <c r="B16" s="1038"/>
      <c r="C16" s="1038"/>
    </row>
    <row r="17" spans="1:4" x14ac:dyDescent="0.2">
      <c r="A17" s="1037" t="s">
        <v>1960</v>
      </c>
      <c r="B17" s="1038" t="s">
        <v>1225</v>
      </c>
      <c r="C17" s="1038"/>
      <c r="D17" s="1040">
        <f>-SUM('Revenues 9-14'!C264:D264,'Revenues 9-14'!F264:G264)</f>
        <v>-9533</v>
      </c>
    </row>
    <row r="19" spans="1:4" ht="13.5" thickBot="1" x14ac:dyDescent="0.25">
      <c r="A19" s="1041" t="s">
        <v>1224</v>
      </c>
      <c r="D19" s="1042">
        <f>SUM(D10:D17)</f>
        <v>857039.3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843" t="s">
        <v>2273</v>
      </c>
      <c r="B24" s="2843"/>
      <c r="D24" s="1044">
        <v>-26596</v>
      </c>
    </row>
    <row r="25" spans="1:4" x14ac:dyDescent="0.2">
      <c r="A25" s="2840"/>
      <c r="B25" s="2840"/>
      <c r="D25" s="1044"/>
    </row>
    <row r="26" spans="1:4" x14ac:dyDescent="0.2">
      <c r="A26" s="2840"/>
      <c r="B26" s="2840"/>
      <c r="D26" s="1044"/>
    </row>
    <row r="27" spans="1:4" x14ac:dyDescent="0.2">
      <c r="A27" s="2840"/>
      <c r="B27" s="2840"/>
      <c r="D27" s="1044"/>
    </row>
    <row r="28" spans="1:4" x14ac:dyDescent="0.2">
      <c r="A28" s="2840"/>
      <c r="B28" s="2840"/>
      <c r="D28" s="1044"/>
    </row>
    <row r="29" spans="1:4" x14ac:dyDescent="0.2">
      <c r="A29" s="2840"/>
      <c r="B29" s="2840"/>
      <c r="D29" s="1044"/>
    </row>
    <row r="30" spans="1:4" x14ac:dyDescent="0.2">
      <c r="A30" s="2840"/>
      <c r="B30" s="2840"/>
      <c r="D30" s="1044"/>
    </row>
    <row r="32" spans="1:4" x14ac:dyDescent="0.2">
      <c r="A32" s="1036" t="s">
        <v>1222</v>
      </c>
      <c r="D32" s="1039">
        <f>SUM(D19:D30)</f>
        <v>830443.3</v>
      </c>
    </row>
    <row r="33" spans="1:4" x14ac:dyDescent="0.2">
      <c r="D33" s="1045"/>
    </row>
    <row r="34" spans="1:4" x14ac:dyDescent="0.2">
      <c r="A34" s="295" t="s">
        <v>1221</v>
      </c>
    </row>
    <row r="35" spans="1:4" x14ac:dyDescent="0.2">
      <c r="A35" s="295" t="s">
        <v>1220</v>
      </c>
      <c r="B35" s="1034" t="s">
        <v>1219</v>
      </c>
      <c r="D35" s="1046">
        <f>'SEFA 20'!I139</f>
        <v>830443</v>
      </c>
    </row>
    <row r="37" spans="1:4" x14ac:dyDescent="0.2">
      <c r="A37" s="1036" t="s">
        <v>1218</v>
      </c>
    </row>
    <row r="39" spans="1:4" ht="13.35" customHeight="1" x14ac:dyDescent="0.2">
      <c r="A39" s="1043" t="s">
        <v>1217</v>
      </c>
    </row>
    <row r="40" spans="1:4" x14ac:dyDescent="0.2">
      <c r="A40" s="2840"/>
      <c r="B40" s="2840"/>
      <c r="D40" s="1044"/>
    </row>
    <row r="41" spans="1:4" x14ac:dyDescent="0.2">
      <c r="A41" s="2840"/>
      <c r="B41" s="2840"/>
      <c r="D41" s="1047"/>
    </row>
    <row r="42" spans="1:4" x14ac:dyDescent="0.2">
      <c r="A42" s="2840"/>
      <c r="B42" s="2840"/>
      <c r="D42" s="1047"/>
    </row>
    <row r="43" spans="1:4" x14ac:dyDescent="0.2">
      <c r="A43" s="2840"/>
      <c r="B43" s="2840"/>
      <c r="D43" s="1047"/>
    </row>
    <row r="44" spans="1:4" x14ac:dyDescent="0.2">
      <c r="A44" s="2840"/>
      <c r="B44" s="2840"/>
      <c r="D44" s="1047"/>
    </row>
    <row r="45" spans="1:4" x14ac:dyDescent="0.2">
      <c r="A45" s="2840"/>
      <c r="B45" s="2840"/>
      <c r="D45" s="1047"/>
    </row>
    <row r="47" spans="1:4" x14ac:dyDescent="0.2">
      <c r="B47" s="1048" t="s">
        <v>1216</v>
      </c>
      <c r="C47" s="1048"/>
      <c r="D47" s="1049">
        <f>SUM(D35:D45)</f>
        <v>830443</v>
      </c>
    </row>
    <row r="49" spans="2:4" x14ac:dyDescent="0.2">
      <c r="B49" s="1048" t="s">
        <v>1215</v>
      </c>
      <c r="C49" s="1048"/>
      <c r="D49" s="1049">
        <f>D32-D47</f>
        <v>0.30000000004656613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884AB-1524-4E60-AFC5-FB1E22EBD010}">
  <sheetPr transitionEvaluation="1"/>
  <dimension ref="A1:U173"/>
  <sheetViews>
    <sheetView showGridLines="0" topLeftCell="A5" zoomScaleNormal="100" zoomScaleSheetLayoutView="90" workbookViewId="0">
      <selection activeCell="A5" sqref="A5:S5"/>
    </sheetView>
  </sheetViews>
  <sheetFormatPr defaultColWidth="16.7109375" defaultRowHeight="12.75" customHeight="1" x14ac:dyDescent="0.2"/>
  <cols>
    <col min="1" max="1" width="6.5703125" style="2109" customWidth="1"/>
    <col min="2" max="2" width="41.85546875" style="2110" customWidth="1"/>
    <col min="3" max="3" width="9.85546875" style="2110" customWidth="1"/>
    <col min="4" max="4" width="1.85546875" style="2110" customWidth="1"/>
    <col min="5" max="5" width="11" style="2110" customWidth="1"/>
    <col min="6" max="6" width="5.28515625" style="2143" customWidth="1"/>
    <col min="7" max="7" width="11.5703125" style="2110" bestFit="1" customWidth="1"/>
    <col min="8" max="8" width="1.85546875" style="2110" customWidth="1"/>
    <col min="9" max="9" width="12.28515625" style="2213" customWidth="1"/>
    <col min="10" max="10" width="2.28515625" style="2143" customWidth="1"/>
    <col min="11" max="11" width="13.140625" style="2110" bestFit="1" customWidth="1"/>
    <col min="12" max="12" width="1.85546875" style="2110" customWidth="1"/>
    <col min="13" max="13" width="12.28515625" style="2110" customWidth="1"/>
    <col min="14" max="14" width="1.85546875" style="2110" customWidth="1"/>
    <col min="15" max="15" width="10.5703125" style="2110" customWidth="1"/>
    <col min="16" max="16" width="4.42578125" style="2143" customWidth="1"/>
    <col min="17" max="17" width="13.28515625" style="2110" bestFit="1" customWidth="1"/>
    <col min="18" max="18" width="1" style="2110" customWidth="1"/>
    <col min="19" max="19" width="12.5703125" style="2110" customWidth="1"/>
    <col min="20" max="20" width="16.7109375" style="2110" customWidth="1"/>
    <col min="21" max="250" width="16.7109375" style="2110"/>
    <col min="251" max="251" width="6.5703125" style="2110" customWidth="1"/>
    <col min="252" max="252" width="41.85546875" style="2110" customWidth="1"/>
    <col min="253" max="253" width="9.85546875" style="2110" customWidth="1"/>
    <col min="254" max="254" width="1.85546875" style="2110" customWidth="1"/>
    <col min="255" max="255" width="11" style="2110" customWidth="1"/>
    <col min="256" max="256" width="5.28515625" style="2110" customWidth="1"/>
    <col min="257" max="257" width="11.5703125" style="2110" bestFit="1" customWidth="1"/>
    <col min="258" max="258" width="1.85546875" style="2110" customWidth="1"/>
    <col min="259" max="259" width="12.28515625" style="2110" customWidth="1"/>
    <col min="260" max="260" width="2.28515625" style="2110" customWidth="1"/>
    <col min="261" max="261" width="13.140625" style="2110" bestFit="1" customWidth="1"/>
    <col min="262" max="262" width="1.85546875" style="2110" customWidth="1"/>
    <col min="263" max="263" width="12.28515625" style="2110" customWidth="1"/>
    <col min="264" max="264" width="1.85546875" style="2110" customWidth="1"/>
    <col min="265" max="265" width="10.5703125" style="2110" customWidth="1"/>
    <col min="266" max="266" width="4.42578125" style="2110" customWidth="1"/>
    <col min="267" max="267" width="13.28515625" style="2110" bestFit="1" customWidth="1"/>
    <col min="268" max="268" width="1" style="2110" customWidth="1"/>
    <col min="269" max="269" width="12.5703125" style="2110" customWidth="1"/>
    <col min="270" max="270" width="16.140625" style="2110" customWidth="1"/>
    <col min="271" max="271" width="12.42578125" style="2110" customWidth="1"/>
    <col min="272" max="272" width="17.28515625" style="2110" customWidth="1"/>
    <col min="273" max="275" width="18.42578125" style="2110" customWidth="1"/>
    <col min="276" max="506" width="16.7109375" style="2110"/>
    <col min="507" max="507" width="6.5703125" style="2110" customWidth="1"/>
    <col min="508" max="508" width="41.85546875" style="2110" customWidth="1"/>
    <col min="509" max="509" width="9.85546875" style="2110" customWidth="1"/>
    <col min="510" max="510" width="1.85546875" style="2110" customWidth="1"/>
    <col min="511" max="511" width="11" style="2110" customWidth="1"/>
    <col min="512" max="512" width="5.28515625" style="2110" customWidth="1"/>
    <col min="513" max="513" width="11.5703125" style="2110" bestFit="1" customWidth="1"/>
    <col min="514" max="514" width="1.85546875" style="2110" customWidth="1"/>
    <col min="515" max="515" width="12.28515625" style="2110" customWidth="1"/>
    <col min="516" max="516" width="2.28515625" style="2110" customWidth="1"/>
    <col min="517" max="517" width="13.140625" style="2110" bestFit="1" customWidth="1"/>
    <col min="518" max="518" width="1.85546875" style="2110" customWidth="1"/>
    <col min="519" max="519" width="12.28515625" style="2110" customWidth="1"/>
    <col min="520" max="520" width="1.85546875" style="2110" customWidth="1"/>
    <col min="521" max="521" width="10.5703125" style="2110" customWidth="1"/>
    <col min="522" max="522" width="4.42578125" style="2110" customWidth="1"/>
    <col min="523" max="523" width="13.28515625" style="2110" bestFit="1" customWidth="1"/>
    <col min="524" max="524" width="1" style="2110" customWidth="1"/>
    <col min="525" max="525" width="12.5703125" style="2110" customWidth="1"/>
    <col min="526" max="526" width="16.140625" style="2110" customWidth="1"/>
    <col min="527" max="527" width="12.42578125" style="2110" customWidth="1"/>
    <col min="528" max="528" width="17.28515625" style="2110" customWidth="1"/>
    <col min="529" max="531" width="18.42578125" style="2110" customWidth="1"/>
    <col min="532" max="762" width="16.7109375" style="2110"/>
    <col min="763" max="763" width="6.5703125" style="2110" customWidth="1"/>
    <col min="764" max="764" width="41.85546875" style="2110" customWidth="1"/>
    <col min="765" max="765" width="9.85546875" style="2110" customWidth="1"/>
    <col min="766" max="766" width="1.85546875" style="2110" customWidth="1"/>
    <col min="767" max="767" width="11" style="2110" customWidth="1"/>
    <col min="768" max="768" width="5.28515625" style="2110" customWidth="1"/>
    <col min="769" max="769" width="11.5703125" style="2110" bestFit="1" customWidth="1"/>
    <col min="770" max="770" width="1.85546875" style="2110" customWidth="1"/>
    <col min="771" max="771" width="12.28515625" style="2110" customWidth="1"/>
    <col min="772" max="772" width="2.28515625" style="2110" customWidth="1"/>
    <col min="773" max="773" width="13.140625" style="2110" bestFit="1" customWidth="1"/>
    <col min="774" max="774" width="1.85546875" style="2110" customWidth="1"/>
    <col min="775" max="775" width="12.28515625" style="2110" customWidth="1"/>
    <col min="776" max="776" width="1.85546875" style="2110" customWidth="1"/>
    <col min="777" max="777" width="10.5703125" style="2110" customWidth="1"/>
    <col min="778" max="778" width="4.42578125" style="2110" customWidth="1"/>
    <col min="779" max="779" width="13.28515625" style="2110" bestFit="1" customWidth="1"/>
    <col min="780" max="780" width="1" style="2110" customWidth="1"/>
    <col min="781" max="781" width="12.5703125" style="2110" customWidth="1"/>
    <col min="782" max="782" width="16.140625" style="2110" customWidth="1"/>
    <col min="783" max="783" width="12.42578125" style="2110" customWidth="1"/>
    <col min="784" max="784" width="17.28515625" style="2110" customWidth="1"/>
    <col min="785" max="787" width="18.42578125" style="2110" customWidth="1"/>
    <col min="788" max="1018" width="16.7109375" style="2110"/>
    <col min="1019" max="1019" width="6.5703125" style="2110" customWidth="1"/>
    <col min="1020" max="1020" width="41.85546875" style="2110" customWidth="1"/>
    <col min="1021" max="1021" width="9.85546875" style="2110" customWidth="1"/>
    <col min="1022" max="1022" width="1.85546875" style="2110" customWidth="1"/>
    <col min="1023" max="1023" width="11" style="2110" customWidth="1"/>
    <col min="1024" max="1024" width="5.28515625" style="2110" customWidth="1"/>
    <col min="1025" max="1025" width="11.5703125" style="2110" bestFit="1" customWidth="1"/>
    <col min="1026" max="1026" width="1.85546875" style="2110" customWidth="1"/>
    <col min="1027" max="1027" width="12.28515625" style="2110" customWidth="1"/>
    <col min="1028" max="1028" width="2.28515625" style="2110" customWidth="1"/>
    <col min="1029" max="1029" width="13.140625" style="2110" bestFit="1" customWidth="1"/>
    <col min="1030" max="1030" width="1.85546875" style="2110" customWidth="1"/>
    <col min="1031" max="1031" width="12.28515625" style="2110" customWidth="1"/>
    <col min="1032" max="1032" width="1.85546875" style="2110" customWidth="1"/>
    <col min="1033" max="1033" width="10.5703125" style="2110" customWidth="1"/>
    <col min="1034" max="1034" width="4.42578125" style="2110" customWidth="1"/>
    <col min="1035" max="1035" width="13.28515625" style="2110" bestFit="1" customWidth="1"/>
    <col min="1036" max="1036" width="1" style="2110" customWidth="1"/>
    <col min="1037" max="1037" width="12.5703125" style="2110" customWidth="1"/>
    <col min="1038" max="1038" width="16.140625" style="2110" customWidth="1"/>
    <col min="1039" max="1039" width="12.42578125" style="2110" customWidth="1"/>
    <col min="1040" max="1040" width="17.28515625" style="2110" customWidth="1"/>
    <col min="1041" max="1043" width="18.42578125" style="2110" customWidth="1"/>
    <col min="1044" max="1274" width="16.7109375" style="2110"/>
    <col min="1275" max="1275" width="6.5703125" style="2110" customWidth="1"/>
    <col min="1276" max="1276" width="41.85546875" style="2110" customWidth="1"/>
    <col min="1277" max="1277" width="9.85546875" style="2110" customWidth="1"/>
    <col min="1278" max="1278" width="1.85546875" style="2110" customWidth="1"/>
    <col min="1279" max="1279" width="11" style="2110" customWidth="1"/>
    <col min="1280" max="1280" width="5.28515625" style="2110" customWidth="1"/>
    <col min="1281" max="1281" width="11.5703125" style="2110" bestFit="1" customWidth="1"/>
    <col min="1282" max="1282" width="1.85546875" style="2110" customWidth="1"/>
    <col min="1283" max="1283" width="12.28515625" style="2110" customWidth="1"/>
    <col min="1284" max="1284" width="2.28515625" style="2110" customWidth="1"/>
    <col min="1285" max="1285" width="13.140625" style="2110" bestFit="1" customWidth="1"/>
    <col min="1286" max="1286" width="1.85546875" style="2110" customWidth="1"/>
    <col min="1287" max="1287" width="12.28515625" style="2110" customWidth="1"/>
    <col min="1288" max="1288" width="1.85546875" style="2110" customWidth="1"/>
    <col min="1289" max="1289" width="10.5703125" style="2110" customWidth="1"/>
    <col min="1290" max="1290" width="4.42578125" style="2110" customWidth="1"/>
    <col min="1291" max="1291" width="13.28515625" style="2110" bestFit="1" customWidth="1"/>
    <col min="1292" max="1292" width="1" style="2110" customWidth="1"/>
    <col min="1293" max="1293" width="12.5703125" style="2110" customWidth="1"/>
    <col min="1294" max="1294" width="16.140625" style="2110" customWidth="1"/>
    <col min="1295" max="1295" width="12.42578125" style="2110" customWidth="1"/>
    <col min="1296" max="1296" width="17.28515625" style="2110" customWidth="1"/>
    <col min="1297" max="1299" width="18.42578125" style="2110" customWidth="1"/>
    <col min="1300" max="1530" width="16.7109375" style="2110"/>
    <col min="1531" max="1531" width="6.5703125" style="2110" customWidth="1"/>
    <col min="1532" max="1532" width="41.85546875" style="2110" customWidth="1"/>
    <col min="1533" max="1533" width="9.85546875" style="2110" customWidth="1"/>
    <col min="1534" max="1534" width="1.85546875" style="2110" customWidth="1"/>
    <col min="1535" max="1535" width="11" style="2110" customWidth="1"/>
    <col min="1536" max="1536" width="5.28515625" style="2110" customWidth="1"/>
    <col min="1537" max="1537" width="11.5703125" style="2110" bestFit="1" customWidth="1"/>
    <col min="1538" max="1538" width="1.85546875" style="2110" customWidth="1"/>
    <col min="1539" max="1539" width="12.28515625" style="2110" customWidth="1"/>
    <col min="1540" max="1540" width="2.28515625" style="2110" customWidth="1"/>
    <col min="1541" max="1541" width="13.140625" style="2110" bestFit="1" customWidth="1"/>
    <col min="1542" max="1542" width="1.85546875" style="2110" customWidth="1"/>
    <col min="1543" max="1543" width="12.28515625" style="2110" customWidth="1"/>
    <col min="1544" max="1544" width="1.85546875" style="2110" customWidth="1"/>
    <col min="1545" max="1545" width="10.5703125" style="2110" customWidth="1"/>
    <col min="1546" max="1546" width="4.42578125" style="2110" customWidth="1"/>
    <col min="1547" max="1547" width="13.28515625" style="2110" bestFit="1" customWidth="1"/>
    <col min="1548" max="1548" width="1" style="2110" customWidth="1"/>
    <col min="1549" max="1549" width="12.5703125" style="2110" customWidth="1"/>
    <col min="1550" max="1550" width="16.140625" style="2110" customWidth="1"/>
    <col min="1551" max="1551" width="12.42578125" style="2110" customWidth="1"/>
    <col min="1552" max="1552" width="17.28515625" style="2110" customWidth="1"/>
    <col min="1553" max="1555" width="18.42578125" style="2110" customWidth="1"/>
    <col min="1556" max="1786" width="16.7109375" style="2110"/>
    <col min="1787" max="1787" width="6.5703125" style="2110" customWidth="1"/>
    <col min="1788" max="1788" width="41.85546875" style="2110" customWidth="1"/>
    <col min="1789" max="1789" width="9.85546875" style="2110" customWidth="1"/>
    <col min="1790" max="1790" width="1.85546875" style="2110" customWidth="1"/>
    <col min="1791" max="1791" width="11" style="2110" customWidth="1"/>
    <col min="1792" max="1792" width="5.28515625" style="2110" customWidth="1"/>
    <col min="1793" max="1793" width="11.5703125" style="2110" bestFit="1" customWidth="1"/>
    <col min="1794" max="1794" width="1.85546875" style="2110" customWidth="1"/>
    <col min="1795" max="1795" width="12.28515625" style="2110" customWidth="1"/>
    <col min="1796" max="1796" width="2.28515625" style="2110" customWidth="1"/>
    <col min="1797" max="1797" width="13.140625" style="2110" bestFit="1" customWidth="1"/>
    <col min="1798" max="1798" width="1.85546875" style="2110" customWidth="1"/>
    <col min="1799" max="1799" width="12.28515625" style="2110" customWidth="1"/>
    <col min="1800" max="1800" width="1.85546875" style="2110" customWidth="1"/>
    <col min="1801" max="1801" width="10.5703125" style="2110" customWidth="1"/>
    <col min="1802" max="1802" width="4.42578125" style="2110" customWidth="1"/>
    <col min="1803" max="1803" width="13.28515625" style="2110" bestFit="1" customWidth="1"/>
    <col min="1804" max="1804" width="1" style="2110" customWidth="1"/>
    <col min="1805" max="1805" width="12.5703125" style="2110" customWidth="1"/>
    <col min="1806" max="1806" width="16.140625" style="2110" customWidth="1"/>
    <col min="1807" max="1807" width="12.42578125" style="2110" customWidth="1"/>
    <col min="1808" max="1808" width="17.28515625" style="2110" customWidth="1"/>
    <col min="1809" max="1811" width="18.42578125" style="2110" customWidth="1"/>
    <col min="1812" max="2042" width="16.7109375" style="2110"/>
    <col min="2043" max="2043" width="6.5703125" style="2110" customWidth="1"/>
    <col min="2044" max="2044" width="41.85546875" style="2110" customWidth="1"/>
    <col min="2045" max="2045" width="9.85546875" style="2110" customWidth="1"/>
    <col min="2046" max="2046" width="1.85546875" style="2110" customWidth="1"/>
    <col min="2047" max="2047" width="11" style="2110" customWidth="1"/>
    <col min="2048" max="2048" width="5.28515625" style="2110" customWidth="1"/>
    <col min="2049" max="2049" width="11.5703125" style="2110" bestFit="1" customWidth="1"/>
    <col min="2050" max="2050" width="1.85546875" style="2110" customWidth="1"/>
    <col min="2051" max="2051" width="12.28515625" style="2110" customWidth="1"/>
    <col min="2052" max="2052" width="2.28515625" style="2110" customWidth="1"/>
    <col min="2053" max="2053" width="13.140625" style="2110" bestFit="1" customWidth="1"/>
    <col min="2054" max="2054" width="1.85546875" style="2110" customWidth="1"/>
    <col min="2055" max="2055" width="12.28515625" style="2110" customWidth="1"/>
    <col min="2056" max="2056" width="1.85546875" style="2110" customWidth="1"/>
    <col min="2057" max="2057" width="10.5703125" style="2110" customWidth="1"/>
    <col min="2058" max="2058" width="4.42578125" style="2110" customWidth="1"/>
    <col min="2059" max="2059" width="13.28515625" style="2110" bestFit="1" customWidth="1"/>
    <col min="2060" max="2060" width="1" style="2110" customWidth="1"/>
    <col min="2061" max="2061" width="12.5703125" style="2110" customWidth="1"/>
    <col min="2062" max="2062" width="16.140625" style="2110" customWidth="1"/>
    <col min="2063" max="2063" width="12.42578125" style="2110" customWidth="1"/>
    <col min="2064" max="2064" width="17.28515625" style="2110" customWidth="1"/>
    <col min="2065" max="2067" width="18.42578125" style="2110" customWidth="1"/>
    <col min="2068" max="2298" width="16.7109375" style="2110"/>
    <col min="2299" max="2299" width="6.5703125" style="2110" customWidth="1"/>
    <col min="2300" max="2300" width="41.85546875" style="2110" customWidth="1"/>
    <col min="2301" max="2301" width="9.85546875" style="2110" customWidth="1"/>
    <col min="2302" max="2302" width="1.85546875" style="2110" customWidth="1"/>
    <col min="2303" max="2303" width="11" style="2110" customWidth="1"/>
    <col min="2304" max="2304" width="5.28515625" style="2110" customWidth="1"/>
    <col min="2305" max="2305" width="11.5703125" style="2110" bestFit="1" customWidth="1"/>
    <col min="2306" max="2306" width="1.85546875" style="2110" customWidth="1"/>
    <col min="2307" max="2307" width="12.28515625" style="2110" customWidth="1"/>
    <col min="2308" max="2308" width="2.28515625" style="2110" customWidth="1"/>
    <col min="2309" max="2309" width="13.140625" style="2110" bestFit="1" customWidth="1"/>
    <col min="2310" max="2310" width="1.85546875" style="2110" customWidth="1"/>
    <col min="2311" max="2311" width="12.28515625" style="2110" customWidth="1"/>
    <col min="2312" max="2312" width="1.85546875" style="2110" customWidth="1"/>
    <col min="2313" max="2313" width="10.5703125" style="2110" customWidth="1"/>
    <col min="2314" max="2314" width="4.42578125" style="2110" customWidth="1"/>
    <col min="2315" max="2315" width="13.28515625" style="2110" bestFit="1" customWidth="1"/>
    <col min="2316" max="2316" width="1" style="2110" customWidth="1"/>
    <col min="2317" max="2317" width="12.5703125" style="2110" customWidth="1"/>
    <col min="2318" max="2318" width="16.140625" style="2110" customWidth="1"/>
    <col min="2319" max="2319" width="12.42578125" style="2110" customWidth="1"/>
    <col min="2320" max="2320" width="17.28515625" style="2110" customWidth="1"/>
    <col min="2321" max="2323" width="18.42578125" style="2110" customWidth="1"/>
    <col min="2324" max="2554" width="16.7109375" style="2110"/>
    <col min="2555" max="2555" width="6.5703125" style="2110" customWidth="1"/>
    <col min="2556" max="2556" width="41.85546875" style="2110" customWidth="1"/>
    <col min="2557" max="2557" width="9.85546875" style="2110" customWidth="1"/>
    <col min="2558" max="2558" width="1.85546875" style="2110" customWidth="1"/>
    <col min="2559" max="2559" width="11" style="2110" customWidth="1"/>
    <col min="2560" max="2560" width="5.28515625" style="2110" customWidth="1"/>
    <col min="2561" max="2561" width="11.5703125" style="2110" bestFit="1" customWidth="1"/>
    <col min="2562" max="2562" width="1.85546875" style="2110" customWidth="1"/>
    <col min="2563" max="2563" width="12.28515625" style="2110" customWidth="1"/>
    <col min="2564" max="2564" width="2.28515625" style="2110" customWidth="1"/>
    <col min="2565" max="2565" width="13.140625" style="2110" bestFit="1" customWidth="1"/>
    <col min="2566" max="2566" width="1.85546875" style="2110" customWidth="1"/>
    <col min="2567" max="2567" width="12.28515625" style="2110" customWidth="1"/>
    <col min="2568" max="2568" width="1.85546875" style="2110" customWidth="1"/>
    <col min="2569" max="2569" width="10.5703125" style="2110" customWidth="1"/>
    <col min="2570" max="2570" width="4.42578125" style="2110" customWidth="1"/>
    <col min="2571" max="2571" width="13.28515625" style="2110" bestFit="1" customWidth="1"/>
    <col min="2572" max="2572" width="1" style="2110" customWidth="1"/>
    <col min="2573" max="2573" width="12.5703125" style="2110" customWidth="1"/>
    <col min="2574" max="2574" width="16.140625" style="2110" customWidth="1"/>
    <col min="2575" max="2575" width="12.42578125" style="2110" customWidth="1"/>
    <col min="2576" max="2576" width="17.28515625" style="2110" customWidth="1"/>
    <col min="2577" max="2579" width="18.42578125" style="2110" customWidth="1"/>
    <col min="2580" max="2810" width="16.7109375" style="2110"/>
    <col min="2811" max="2811" width="6.5703125" style="2110" customWidth="1"/>
    <col min="2812" max="2812" width="41.85546875" style="2110" customWidth="1"/>
    <col min="2813" max="2813" width="9.85546875" style="2110" customWidth="1"/>
    <col min="2814" max="2814" width="1.85546875" style="2110" customWidth="1"/>
    <col min="2815" max="2815" width="11" style="2110" customWidth="1"/>
    <col min="2816" max="2816" width="5.28515625" style="2110" customWidth="1"/>
    <col min="2817" max="2817" width="11.5703125" style="2110" bestFit="1" customWidth="1"/>
    <col min="2818" max="2818" width="1.85546875" style="2110" customWidth="1"/>
    <col min="2819" max="2819" width="12.28515625" style="2110" customWidth="1"/>
    <col min="2820" max="2820" width="2.28515625" style="2110" customWidth="1"/>
    <col min="2821" max="2821" width="13.140625" style="2110" bestFit="1" customWidth="1"/>
    <col min="2822" max="2822" width="1.85546875" style="2110" customWidth="1"/>
    <col min="2823" max="2823" width="12.28515625" style="2110" customWidth="1"/>
    <col min="2824" max="2824" width="1.85546875" style="2110" customWidth="1"/>
    <col min="2825" max="2825" width="10.5703125" style="2110" customWidth="1"/>
    <col min="2826" max="2826" width="4.42578125" style="2110" customWidth="1"/>
    <col min="2827" max="2827" width="13.28515625" style="2110" bestFit="1" customWidth="1"/>
    <col min="2828" max="2828" width="1" style="2110" customWidth="1"/>
    <col min="2829" max="2829" width="12.5703125" style="2110" customWidth="1"/>
    <col min="2830" max="2830" width="16.140625" style="2110" customWidth="1"/>
    <col min="2831" max="2831" width="12.42578125" style="2110" customWidth="1"/>
    <col min="2832" max="2832" width="17.28515625" style="2110" customWidth="1"/>
    <col min="2833" max="2835" width="18.42578125" style="2110" customWidth="1"/>
    <col min="2836" max="3066" width="16.7109375" style="2110"/>
    <col min="3067" max="3067" width="6.5703125" style="2110" customWidth="1"/>
    <col min="3068" max="3068" width="41.85546875" style="2110" customWidth="1"/>
    <col min="3069" max="3069" width="9.85546875" style="2110" customWidth="1"/>
    <col min="3070" max="3070" width="1.85546875" style="2110" customWidth="1"/>
    <col min="3071" max="3071" width="11" style="2110" customWidth="1"/>
    <col min="3072" max="3072" width="5.28515625" style="2110" customWidth="1"/>
    <col min="3073" max="3073" width="11.5703125" style="2110" bestFit="1" customWidth="1"/>
    <col min="3074" max="3074" width="1.85546875" style="2110" customWidth="1"/>
    <col min="3075" max="3075" width="12.28515625" style="2110" customWidth="1"/>
    <col min="3076" max="3076" width="2.28515625" style="2110" customWidth="1"/>
    <col min="3077" max="3077" width="13.140625" style="2110" bestFit="1" customWidth="1"/>
    <col min="3078" max="3078" width="1.85546875" style="2110" customWidth="1"/>
    <col min="3079" max="3079" width="12.28515625" style="2110" customWidth="1"/>
    <col min="3080" max="3080" width="1.85546875" style="2110" customWidth="1"/>
    <col min="3081" max="3081" width="10.5703125" style="2110" customWidth="1"/>
    <col min="3082" max="3082" width="4.42578125" style="2110" customWidth="1"/>
    <col min="3083" max="3083" width="13.28515625" style="2110" bestFit="1" customWidth="1"/>
    <col min="3084" max="3084" width="1" style="2110" customWidth="1"/>
    <col min="3085" max="3085" width="12.5703125" style="2110" customWidth="1"/>
    <col min="3086" max="3086" width="16.140625" style="2110" customWidth="1"/>
    <col min="3087" max="3087" width="12.42578125" style="2110" customWidth="1"/>
    <col min="3088" max="3088" width="17.28515625" style="2110" customWidth="1"/>
    <col min="3089" max="3091" width="18.42578125" style="2110" customWidth="1"/>
    <col min="3092" max="3322" width="16.7109375" style="2110"/>
    <col min="3323" max="3323" width="6.5703125" style="2110" customWidth="1"/>
    <col min="3324" max="3324" width="41.85546875" style="2110" customWidth="1"/>
    <col min="3325" max="3325" width="9.85546875" style="2110" customWidth="1"/>
    <col min="3326" max="3326" width="1.85546875" style="2110" customWidth="1"/>
    <col min="3327" max="3327" width="11" style="2110" customWidth="1"/>
    <col min="3328" max="3328" width="5.28515625" style="2110" customWidth="1"/>
    <col min="3329" max="3329" width="11.5703125" style="2110" bestFit="1" customWidth="1"/>
    <col min="3330" max="3330" width="1.85546875" style="2110" customWidth="1"/>
    <col min="3331" max="3331" width="12.28515625" style="2110" customWidth="1"/>
    <col min="3332" max="3332" width="2.28515625" style="2110" customWidth="1"/>
    <col min="3333" max="3333" width="13.140625" style="2110" bestFit="1" customWidth="1"/>
    <col min="3334" max="3334" width="1.85546875" style="2110" customWidth="1"/>
    <col min="3335" max="3335" width="12.28515625" style="2110" customWidth="1"/>
    <col min="3336" max="3336" width="1.85546875" style="2110" customWidth="1"/>
    <col min="3337" max="3337" width="10.5703125" style="2110" customWidth="1"/>
    <col min="3338" max="3338" width="4.42578125" style="2110" customWidth="1"/>
    <col min="3339" max="3339" width="13.28515625" style="2110" bestFit="1" customWidth="1"/>
    <col min="3340" max="3340" width="1" style="2110" customWidth="1"/>
    <col min="3341" max="3341" width="12.5703125" style="2110" customWidth="1"/>
    <col min="3342" max="3342" width="16.140625" style="2110" customWidth="1"/>
    <col min="3343" max="3343" width="12.42578125" style="2110" customWidth="1"/>
    <col min="3344" max="3344" width="17.28515625" style="2110" customWidth="1"/>
    <col min="3345" max="3347" width="18.42578125" style="2110" customWidth="1"/>
    <col min="3348" max="3578" width="16.7109375" style="2110"/>
    <col min="3579" max="3579" width="6.5703125" style="2110" customWidth="1"/>
    <col min="3580" max="3580" width="41.85546875" style="2110" customWidth="1"/>
    <col min="3581" max="3581" width="9.85546875" style="2110" customWidth="1"/>
    <col min="3582" max="3582" width="1.85546875" style="2110" customWidth="1"/>
    <col min="3583" max="3583" width="11" style="2110" customWidth="1"/>
    <col min="3584" max="3584" width="5.28515625" style="2110" customWidth="1"/>
    <col min="3585" max="3585" width="11.5703125" style="2110" bestFit="1" customWidth="1"/>
    <col min="3586" max="3586" width="1.85546875" style="2110" customWidth="1"/>
    <col min="3587" max="3587" width="12.28515625" style="2110" customWidth="1"/>
    <col min="3588" max="3588" width="2.28515625" style="2110" customWidth="1"/>
    <col min="3589" max="3589" width="13.140625" style="2110" bestFit="1" customWidth="1"/>
    <col min="3590" max="3590" width="1.85546875" style="2110" customWidth="1"/>
    <col min="3591" max="3591" width="12.28515625" style="2110" customWidth="1"/>
    <col min="3592" max="3592" width="1.85546875" style="2110" customWidth="1"/>
    <col min="3593" max="3593" width="10.5703125" style="2110" customWidth="1"/>
    <col min="3594" max="3594" width="4.42578125" style="2110" customWidth="1"/>
    <col min="3595" max="3595" width="13.28515625" style="2110" bestFit="1" customWidth="1"/>
    <col min="3596" max="3596" width="1" style="2110" customWidth="1"/>
    <col min="3597" max="3597" width="12.5703125" style="2110" customWidth="1"/>
    <col min="3598" max="3598" width="16.140625" style="2110" customWidth="1"/>
    <col min="3599" max="3599" width="12.42578125" style="2110" customWidth="1"/>
    <col min="3600" max="3600" width="17.28515625" style="2110" customWidth="1"/>
    <col min="3601" max="3603" width="18.42578125" style="2110" customWidth="1"/>
    <col min="3604" max="3834" width="16.7109375" style="2110"/>
    <col min="3835" max="3835" width="6.5703125" style="2110" customWidth="1"/>
    <col min="3836" max="3836" width="41.85546875" style="2110" customWidth="1"/>
    <col min="3837" max="3837" width="9.85546875" style="2110" customWidth="1"/>
    <col min="3838" max="3838" width="1.85546875" style="2110" customWidth="1"/>
    <col min="3839" max="3839" width="11" style="2110" customWidth="1"/>
    <col min="3840" max="3840" width="5.28515625" style="2110" customWidth="1"/>
    <col min="3841" max="3841" width="11.5703125" style="2110" bestFit="1" customWidth="1"/>
    <col min="3842" max="3842" width="1.85546875" style="2110" customWidth="1"/>
    <col min="3843" max="3843" width="12.28515625" style="2110" customWidth="1"/>
    <col min="3844" max="3844" width="2.28515625" style="2110" customWidth="1"/>
    <col min="3845" max="3845" width="13.140625" style="2110" bestFit="1" customWidth="1"/>
    <col min="3846" max="3846" width="1.85546875" style="2110" customWidth="1"/>
    <col min="3847" max="3847" width="12.28515625" style="2110" customWidth="1"/>
    <col min="3848" max="3848" width="1.85546875" style="2110" customWidth="1"/>
    <col min="3849" max="3849" width="10.5703125" style="2110" customWidth="1"/>
    <col min="3850" max="3850" width="4.42578125" style="2110" customWidth="1"/>
    <col min="3851" max="3851" width="13.28515625" style="2110" bestFit="1" customWidth="1"/>
    <col min="3852" max="3852" width="1" style="2110" customWidth="1"/>
    <col min="3853" max="3853" width="12.5703125" style="2110" customWidth="1"/>
    <col min="3854" max="3854" width="16.140625" style="2110" customWidth="1"/>
    <col min="3855" max="3855" width="12.42578125" style="2110" customWidth="1"/>
    <col min="3856" max="3856" width="17.28515625" style="2110" customWidth="1"/>
    <col min="3857" max="3859" width="18.42578125" style="2110" customWidth="1"/>
    <col min="3860" max="4090" width="16.7109375" style="2110"/>
    <col min="4091" max="4091" width="6.5703125" style="2110" customWidth="1"/>
    <col min="4092" max="4092" width="41.85546875" style="2110" customWidth="1"/>
    <col min="4093" max="4093" width="9.85546875" style="2110" customWidth="1"/>
    <col min="4094" max="4094" width="1.85546875" style="2110" customWidth="1"/>
    <col min="4095" max="4095" width="11" style="2110" customWidth="1"/>
    <col min="4096" max="4096" width="5.28515625" style="2110" customWidth="1"/>
    <col min="4097" max="4097" width="11.5703125" style="2110" bestFit="1" customWidth="1"/>
    <col min="4098" max="4098" width="1.85546875" style="2110" customWidth="1"/>
    <col min="4099" max="4099" width="12.28515625" style="2110" customWidth="1"/>
    <col min="4100" max="4100" width="2.28515625" style="2110" customWidth="1"/>
    <col min="4101" max="4101" width="13.140625" style="2110" bestFit="1" customWidth="1"/>
    <col min="4102" max="4102" width="1.85546875" style="2110" customWidth="1"/>
    <col min="4103" max="4103" width="12.28515625" style="2110" customWidth="1"/>
    <col min="4104" max="4104" width="1.85546875" style="2110" customWidth="1"/>
    <col min="4105" max="4105" width="10.5703125" style="2110" customWidth="1"/>
    <col min="4106" max="4106" width="4.42578125" style="2110" customWidth="1"/>
    <col min="4107" max="4107" width="13.28515625" style="2110" bestFit="1" customWidth="1"/>
    <col min="4108" max="4108" width="1" style="2110" customWidth="1"/>
    <col min="4109" max="4109" width="12.5703125" style="2110" customWidth="1"/>
    <col min="4110" max="4110" width="16.140625" style="2110" customWidth="1"/>
    <col min="4111" max="4111" width="12.42578125" style="2110" customWidth="1"/>
    <col min="4112" max="4112" width="17.28515625" style="2110" customWidth="1"/>
    <col min="4113" max="4115" width="18.42578125" style="2110" customWidth="1"/>
    <col min="4116" max="4346" width="16.7109375" style="2110"/>
    <col min="4347" max="4347" width="6.5703125" style="2110" customWidth="1"/>
    <col min="4348" max="4348" width="41.85546875" style="2110" customWidth="1"/>
    <col min="4349" max="4349" width="9.85546875" style="2110" customWidth="1"/>
    <col min="4350" max="4350" width="1.85546875" style="2110" customWidth="1"/>
    <col min="4351" max="4351" width="11" style="2110" customWidth="1"/>
    <col min="4352" max="4352" width="5.28515625" style="2110" customWidth="1"/>
    <col min="4353" max="4353" width="11.5703125" style="2110" bestFit="1" customWidth="1"/>
    <col min="4354" max="4354" width="1.85546875" style="2110" customWidth="1"/>
    <col min="4355" max="4355" width="12.28515625" style="2110" customWidth="1"/>
    <col min="4356" max="4356" width="2.28515625" style="2110" customWidth="1"/>
    <col min="4357" max="4357" width="13.140625" style="2110" bestFit="1" customWidth="1"/>
    <col min="4358" max="4358" width="1.85546875" style="2110" customWidth="1"/>
    <col min="4359" max="4359" width="12.28515625" style="2110" customWidth="1"/>
    <col min="4360" max="4360" width="1.85546875" style="2110" customWidth="1"/>
    <col min="4361" max="4361" width="10.5703125" style="2110" customWidth="1"/>
    <col min="4362" max="4362" width="4.42578125" style="2110" customWidth="1"/>
    <col min="4363" max="4363" width="13.28515625" style="2110" bestFit="1" customWidth="1"/>
    <col min="4364" max="4364" width="1" style="2110" customWidth="1"/>
    <col min="4365" max="4365" width="12.5703125" style="2110" customWidth="1"/>
    <col min="4366" max="4366" width="16.140625" style="2110" customWidth="1"/>
    <col min="4367" max="4367" width="12.42578125" style="2110" customWidth="1"/>
    <col min="4368" max="4368" width="17.28515625" style="2110" customWidth="1"/>
    <col min="4369" max="4371" width="18.42578125" style="2110" customWidth="1"/>
    <col min="4372" max="4602" width="16.7109375" style="2110"/>
    <col min="4603" max="4603" width="6.5703125" style="2110" customWidth="1"/>
    <col min="4604" max="4604" width="41.85546875" style="2110" customWidth="1"/>
    <col min="4605" max="4605" width="9.85546875" style="2110" customWidth="1"/>
    <col min="4606" max="4606" width="1.85546875" style="2110" customWidth="1"/>
    <col min="4607" max="4607" width="11" style="2110" customWidth="1"/>
    <col min="4608" max="4608" width="5.28515625" style="2110" customWidth="1"/>
    <col min="4609" max="4609" width="11.5703125" style="2110" bestFit="1" customWidth="1"/>
    <col min="4610" max="4610" width="1.85546875" style="2110" customWidth="1"/>
    <col min="4611" max="4611" width="12.28515625" style="2110" customWidth="1"/>
    <col min="4612" max="4612" width="2.28515625" style="2110" customWidth="1"/>
    <col min="4613" max="4613" width="13.140625" style="2110" bestFit="1" customWidth="1"/>
    <col min="4614" max="4614" width="1.85546875" style="2110" customWidth="1"/>
    <col min="4615" max="4615" width="12.28515625" style="2110" customWidth="1"/>
    <col min="4616" max="4616" width="1.85546875" style="2110" customWidth="1"/>
    <col min="4617" max="4617" width="10.5703125" style="2110" customWidth="1"/>
    <col min="4618" max="4618" width="4.42578125" style="2110" customWidth="1"/>
    <col min="4619" max="4619" width="13.28515625" style="2110" bestFit="1" customWidth="1"/>
    <col min="4620" max="4620" width="1" style="2110" customWidth="1"/>
    <col min="4621" max="4621" width="12.5703125" style="2110" customWidth="1"/>
    <col min="4622" max="4622" width="16.140625" style="2110" customWidth="1"/>
    <col min="4623" max="4623" width="12.42578125" style="2110" customWidth="1"/>
    <col min="4624" max="4624" width="17.28515625" style="2110" customWidth="1"/>
    <col min="4625" max="4627" width="18.42578125" style="2110" customWidth="1"/>
    <col min="4628" max="4858" width="16.7109375" style="2110"/>
    <col min="4859" max="4859" width="6.5703125" style="2110" customWidth="1"/>
    <col min="4860" max="4860" width="41.85546875" style="2110" customWidth="1"/>
    <col min="4861" max="4861" width="9.85546875" style="2110" customWidth="1"/>
    <col min="4862" max="4862" width="1.85546875" style="2110" customWidth="1"/>
    <col min="4863" max="4863" width="11" style="2110" customWidth="1"/>
    <col min="4864" max="4864" width="5.28515625" style="2110" customWidth="1"/>
    <col min="4865" max="4865" width="11.5703125" style="2110" bestFit="1" customWidth="1"/>
    <col min="4866" max="4866" width="1.85546875" style="2110" customWidth="1"/>
    <col min="4867" max="4867" width="12.28515625" style="2110" customWidth="1"/>
    <col min="4868" max="4868" width="2.28515625" style="2110" customWidth="1"/>
    <col min="4869" max="4869" width="13.140625" style="2110" bestFit="1" customWidth="1"/>
    <col min="4870" max="4870" width="1.85546875" style="2110" customWidth="1"/>
    <col min="4871" max="4871" width="12.28515625" style="2110" customWidth="1"/>
    <col min="4872" max="4872" width="1.85546875" style="2110" customWidth="1"/>
    <col min="4873" max="4873" width="10.5703125" style="2110" customWidth="1"/>
    <col min="4874" max="4874" width="4.42578125" style="2110" customWidth="1"/>
    <col min="4875" max="4875" width="13.28515625" style="2110" bestFit="1" customWidth="1"/>
    <col min="4876" max="4876" width="1" style="2110" customWidth="1"/>
    <col min="4877" max="4877" width="12.5703125" style="2110" customWidth="1"/>
    <col min="4878" max="4878" width="16.140625" style="2110" customWidth="1"/>
    <col min="4879" max="4879" width="12.42578125" style="2110" customWidth="1"/>
    <col min="4880" max="4880" width="17.28515625" style="2110" customWidth="1"/>
    <col min="4881" max="4883" width="18.42578125" style="2110" customWidth="1"/>
    <col min="4884" max="5114" width="16.7109375" style="2110"/>
    <col min="5115" max="5115" width="6.5703125" style="2110" customWidth="1"/>
    <col min="5116" max="5116" width="41.85546875" style="2110" customWidth="1"/>
    <col min="5117" max="5117" width="9.85546875" style="2110" customWidth="1"/>
    <col min="5118" max="5118" width="1.85546875" style="2110" customWidth="1"/>
    <col min="5119" max="5119" width="11" style="2110" customWidth="1"/>
    <col min="5120" max="5120" width="5.28515625" style="2110" customWidth="1"/>
    <col min="5121" max="5121" width="11.5703125" style="2110" bestFit="1" customWidth="1"/>
    <col min="5122" max="5122" width="1.85546875" style="2110" customWidth="1"/>
    <col min="5123" max="5123" width="12.28515625" style="2110" customWidth="1"/>
    <col min="5124" max="5124" width="2.28515625" style="2110" customWidth="1"/>
    <col min="5125" max="5125" width="13.140625" style="2110" bestFit="1" customWidth="1"/>
    <col min="5126" max="5126" width="1.85546875" style="2110" customWidth="1"/>
    <col min="5127" max="5127" width="12.28515625" style="2110" customWidth="1"/>
    <col min="5128" max="5128" width="1.85546875" style="2110" customWidth="1"/>
    <col min="5129" max="5129" width="10.5703125" style="2110" customWidth="1"/>
    <col min="5130" max="5130" width="4.42578125" style="2110" customWidth="1"/>
    <col min="5131" max="5131" width="13.28515625" style="2110" bestFit="1" customWidth="1"/>
    <col min="5132" max="5132" width="1" style="2110" customWidth="1"/>
    <col min="5133" max="5133" width="12.5703125" style="2110" customWidth="1"/>
    <col min="5134" max="5134" width="16.140625" style="2110" customWidth="1"/>
    <col min="5135" max="5135" width="12.42578125" style="2110" customWidth="1"/>
    <col min="5136" max="5136" width="17.28515625" style="2110" customWidth="1"/>
    <col min="5137" max="5139" width="18.42578125" style="2110" customWidth="1"/>
    <col min="5140" max="5370" width="16.7109375" style="2110"/>
    <col min="5371" max="5371" width="6.5703125" style="2110" customWidth="1"/>
    <col min="5372" max="5372" width="41.85546875" style="2110" customWidth="1"/>
    <col min="5373" max="5373" width="9.85546875" style="2110" customWidth="1"/>
    <col min="5374" max="5374" width="1.85546875" style="2110" customWidth="1"/>
    <col min="5375" max="5375" width="11" style="2110" customWidth="1"/>
    <col min="5376" max="5376" width="5.28515625" style="2110" customWidth="1"/>
    <col min="5377" max="5377" width="11.5703125" style="2110" bestFit="1" customWidth="1"/>
    <col min="5378" max="5378" width="1.85546875" style="2110" customWidth="1"/>
    <col min="5379" max="5379" width="12.28515625" style="2110" customWidth="1"/>
    <col min="5380" max="5380" width="2.28515625" style="2110" customWidth="1"/>
    <col min="5381" max="5381" width="13.140625" style="2110" bestFit="1" customWidth="1"/>
    <col min="5382" max="5382" width="1.85546875" style="2110" customWidth="1"/>
    <col min="5383" max="5383" width="12.28515625" style="2110" customWidth="1"/>
    <col min="5384" max="5384" width="1.85546875" style="2110" customWidth="1"/>
    <col min="5385" max="5385" width="10.5703125" style="2110" customWidth="1"/>
    <col min="5386" max="5386" width="4.42578125" style="2110" customWidth="1"/>
    <col min="5387" max="5387" width="13.28515625" style="2110" bestFit="1" customWidth="1"/>
    <col min="5388" max="5388" width="1" style="2110" customWidth="1"/>
    <col min="5389" max="5389" width="12.5703125" style="2110" customWidth="1"/>
    <col min="5390" max="5390" width="16.140625" style="2110" customWidth="1"/>
    <col min="5391" max="5391" width="12.42578125" style="2110" customWidth="1"/>
    <col min="5392" max="5392" width="17.28515625" style="2110" customWidth="1"/>
    <col min="5393" max="5395" width="18.42578125" style="2110" customWidth="1"/>
    <col min="5396" max="5626" width="16.7109375" style="2110"/>
    <col min="5627" max="5627" width="6.5703125" style="2110" customWidth="1"/>
    <col min="5628" max="5628" width="41.85546875" style="2110" customWidth="1"/>
    <col min="5629" max="5629" width="9.85546875" style="2110" customWidth="1"/>
    <col min="5630" max="5630" width="1.85546875" style="2110" customWidth="1"/>
    <col min="5631" max="5631" width="11" style="2110" customWidth="1"/>
    <col min="5632" max="5632" width="5.28515625" style="2110" customWidth="1"/>
    <col min="5633" max="5633" width="11.5703125" style="2110" bestFit="1" customWidth="1"/>
    <col min="5634" max="5634" width="1.85546875" style="2110" customWidth="1"/>
    <col min="5635" max="5635" width="12.28515625" style="2110" customWidth="1"/>
    <col min="5636" max="5636" width="2.28515625" style="2110" customWidth="1"/>
    <col min="5637" max="5637" width="13.140625" style="2110" bestFit="1" customWidth="1"/>
    <col min="5638" max="5638" width="1.85546875" style="2110" customWidth="1"/>
    <col min="5639" max="5639" width="12.28515625" style="2110" customWidth="1"/>
    <col min="5640" max="5640" width="1.85546875" style="2110" customWidth="1"/>
    <col min="5641" max="5641" width="10.5703125" style="2110" customWidth="1"/>
    <col min="5642" max="5642" width="4.42578125" style="2110" customWidth="1"/>
    <col min="5643" max="5643" width="13.28515625" style="2110" bestFit="1" customWidth="1"/>
    <col min="5644" max="5644" width="1" style="2110" customWidth="1"/>
    <col min="5645" max="5645" width="12.5703125" style="2110" customWidth="1"/>
    <col min="5646" max="5646" width="16.140625" style="2110" customWidth="1"/>
    <col min="5647" max="5647" width="12.42578125" style="2110" customWidth="1"/>
    <col min="5648" max="5648" width="17.28515625" style="2110" customWidth="1"/>
    <col min="5649" max="5651" width="18.42578125" style="2110" customWidth="1"/>
    <col min="5652" max="5882" width="16.7109375" style="2110"/>
    <col min="5883" max="5883" width="6.5703125" style="2110" customWidth="1"/>
    <col min="5884" max="5884" width="41.85546875" style="2110" customWidth="1"/>
    <col min="5885" max="5885" width="9.85546875" style="2110" customWidth="1"/>
    <col min="5886" max="5886" width="1.85546875" style="2110" customWidth="1"/>
    <col min="5887" max="5887" width="11" style="2110" customWidth="1"/>
    <col min="5888" max="5888" width="5.28515625" style="2110" customWidth="1"/>
    <col min="5889" max="5889" width="11.5703125" style="2110" bestFit="1" customWidth="1"/>
    <col min="5890" max="5890" width="1.85546875" style="2110" customWidth="1"/>
    <col min="5891" max="5891" width="12.28515625" style="2110" customWidth="1"/>
    <col min="5892" max="5892" width="2.28515625" style="2110" customWidth="1"/>
    <col min="5893" max="5893" width="13.140625" style="2110" bestFit="1" customWidth="1"/>
    <col min="5894" max="5894" width="1.85546875" style="2110" customWidth="1"/>
    <col min="5895" max="5895" width="12.28515625" style="2110" customWidth="1"/>
    <col min="5896" max="5896" width="1.85546875" style="2110" customWidth="1"/>
    <col min="5897" max="5897" width="10.5703125" style="2110" customWidth="1"/>
    <col min="5898" max="5898" width="4.42578125" style="2110" customWidth="1"/>
    <col min="5899" max="5899" width="13.28515625" style="2110" bestFit="1" customWidth="1"/>
    <col min="5900" max="5900" width="1" style="2110" customWidth="1"/>
    <col min="5901" max="5901" width="12.5703125" style="2110" customWidth="1"/>
    <col min="5902" max="5902" width="16.140625" style="2110" customWidth="1"/>
    <col min="5903" max="5903" width="12.42578125" style="2110" customWidth="1"/>
    <col min="5904" max="5904" width="17.28515625" style="2110" customWidth="1"/>
    <col min="5905" max="5907" width="18.42578125" style="2110" customWidth="1"/>
    <col min="5908" max="6138" width="16.7109375" style="2110"/>
    <col min="6139" max="6139" width="6.5703125" style="2110" customWidth="1"/>
    <col min="6140" max="6140" width="41.85546875" style="2110" customWidth="1"/>
    <col min="6141" max="6141" width="9.85546875" style="2110" customWidth="1"/>
    <col min="6142" max="6142" width="1.85546875" style="2110" customWidth="1"/>
    <col min="6143" max="6143" width="11" style="2110" customWidth="1"/>
    <col min="6144" max="6144" width="5.28515625" style="2110" customWidth="1"/>
    <col min="6145" max="6145" width="11.5703125" style="2110" bestFit="1" customWidth="1"/>
    <col min="6146" max="6146" width="1.85546875" style="2110" customWidth="1"/>
    <col min="6147" max="6147" width="12.28515625" style="2110" customWidth="1"/>
    <col min="6148" max="6148" width="2.28515625" style="2110" customWidth="1"/>
    <col min="6149" max="6149" width="13.140625" style="2110" bestFit="1" customWidth="1"/>
    <col min="6150" max="6150" width="1.85546875" style="2110" customWidth="1"/>
    <col min="6151" max="6151" width="12.28515625" style="2110" customWidth="1"/>
    <col min="6152" max="6152" width="1.85546875" style="2110" customWidth="1"/>
    <col min="6153" max="6153" width="10.5703125" style="2110" customWidth="1"/>
    <col min="6154" max="6154" width="4.42578125" style="2110" customWidth="1"/>
    <col min="6155" max="6155" width="13.28515625" style="2110" bestFit="1" customWidth="1"/>
    <col min="6156" max="6156" width="1" style="2110" customWidth="1"/>
    <col min="6157" max="6157" width="12.5703125" style="2110" customWidth="1"/>
    <col min="6158" max="6158" width="16.140625" style="2110" customWidth="1"/>
    <col min="6159" max="6159" width="12.42578125" style="2110" customWidth="1"/>
    <col min="6160" max="6160" width="17.28515625" style="2110" customWidth="1"/>
    <col min="6161" max="6163" width="18.42578125" style="2110" customWidth="1"/>
    <col min="6164" max="6394" width="16.7109375" style="2110"/>
    <col min="6395" max="6395" width="6.5703125" style="2110" customWidth="1"/>
    <col min="6396" max="6396" width="41.85546875" style="2110" customWidth="1"/>
    <col min="6397" max="6397" width="9.85546875" style="2110" customWidth="1"/>
    <col min="6398" max="6398" width="1.85546875" style="2110" customWidth="1"/>
    <col min="6399" max="6399" width="11" style="2110" customWidth="1"/>
    <col min="6400" max="6400" width="5.28515625" style="2110" customWidth="1"/>
    <col min="6401" max="6401" width="11.5703125" style="2110" bestFit="1" customWidth="1"/>
    <col min="6402" max="6402" width="1.85546875" style="2110" customWidth="1"/>
    <col min="6403" max="6403" width="12.28515625" style="2110" customWidth="1"/>
    <col min="6404" max="6404" width="2.28515625" style="2110" customWidth="1"/>
    <col min="6405" max="6405" width="13.140625" style="2110" bestFit="1" customWidth="1"/>
    <col min="6406" max="6406" width="1.85546875" style="2110" customWidth="1"/>
    <col min="6407" max="6407" width="12.28515625" style="2110" customWidth="1"/>
    <col min="6408" max="6408" width="1.85546875" style="2110" customWidth="1"/>
    <col min="6409" max="6409" width="10.5703125" style="2110" customWidth="1"/>
    <col min="6410" max="6410" width="4.42578125" style="2110" customWidth="1"/>
    <col min="6411" max="6411" width="13.28515625" style="2110" bestFit="1" customWidth="1"/>
    <col min="6412" max="6412" width="1" style="2110" customWidth="1"/>
    <col min="6413" max="6413" width="12.5703125" style="2110" customWidth="1"/>
    <col min="6414" max="6414" width="16.140625" style="2110" customWidth="1"/>
    <col min="6415" max="6415" width="12.42578125" style="2110" customWidth="1"/>
    <col min="6416" max="6416" width="17.28515625" style="2110" customWidth="1"/>
    <col min="6417" max="6419" width="18.42578125" style="2110" customWidth="1"/>
    <col min="6420" max="6650" width="16.7109375" style="2110"/>
    <col min="6651" max="6651" width="6.5703125" style="2110" customWidth="1"/>
    <col min="6652" max="6652" width="41.85546875" style="2110" customWidth="1"/>
    <col min="6653" max="6653" width="9.85546875" style="2110" customWidth="1"/>
    <col min="6654" max="6654" width="1.85546875" style="2110" customWidth="1"/>
    <col min="6655" max="6655" width="11" style="2110" customWidth="1"/>
    <col min="6656" max="6656" width="5.28515625" style="2110" customWidth="1"/>
    <col min="6657" max="6657" width="11.5703125" style="2110" bestFit="1" customWidth="1"/>
    <col min="6658" max="6658" width="1.85546875" style="2110" customWidth="1"/>
    <col min="6659" max="6659" width="12.28515625" style="2110" customWidth="1"/>
    <col min="6660" max="6660" width="2.28515625" style="2110" customWidth="1"/>
    <col min="6661" max="6661" width="13.140625" style="2110" bestFit="1" customWidth="1"/>
    <col min="6662" max="6662" width="1.85546875" style="2110" customWidth="1"/>
    <col min="6663" max="6663" width="12.28515625" style="2110" customWidth="1"/>
    <col min="6664" max="6664" width="1.85546875" style="2110" customWidth="1"/>
    <col min="6665" max="6665" width="10.5703125" style="2110" customWidth="1"/>
    <col min="6666" max="6666" width="4.42578125" style="2110" customWidth="1"/>
    <col min="6667" max="6667" width="13.28515625" style="2110" bestFit="1" customWidth="1"/>
    <col min="6668" max="6668" width="1" style="2110" customWidth="1"/>
    <col min="6669" max="6669" width="12.5703125" style="2110" customWidth="1"/>
    <col min="6670" max="6670" width="16.140625" style="2110" customWidth="1"/>
    <col min="6671" max="6671" width="12.42578125" style="2110" customWidth="1"/>
    <col min="6672" max="6672" width="17.28515625" style="2110" customWidth="1"/>
    <col min="6673" max="6675" width="18.42578125" style="2110" customWidth="1"/>
    <col min="6676" max="6906" width="16.7109375" style="2110"/>
    <col min="6907" max="6907" width="6.5703125" style="2110" customWidth="1"/>
    <col min="6908" max="6908" width="41.85546875" style="2110" customWidth="1"/>
    <col min="6909" max="6909" width="9.85546875" style="2110" customWidth="1"/>
    <col min="6910" max="6910" width="1.85546875" style="2110" customWidth="1"/>
    <col min="6911" max="6911" width="11" style="2110" customWidth="1"/>
    <col min="6912" max="6912" width="5.28515625" style="2110" customWidth="1"/>
    <col min="6913" max="6913" width="11.5703125" style="2110" bestFit="1" customWidth="1"/>
    <col min="6914" max="6914" width="1.85546875" style="2110" customWidth="1"/>
    <col min="6915" max="6915" width="12.28515625" style="2110" customWidth="1"/>
    <col min="6916" max="6916" width="2.28515625" style="2110" customWidth="1"/>
    <col min="6917" max="6917" width="13.140625" style="2110" bestFit="1" customWidth="1"/>
    <col min="6918" max="6918" width="1.85546875" style="2110" customWidth="1"/>
    <col min="6919" max="6919" width="12.28515625" style="2110" customWidth="1"/>
    <col min="6920" max="6920" width="1.85546875" style="2110" customWidth="1"/>
    <col min="6921" max="6921" width="10.5703125" style="2110" customWidth="1"/>
    <col min="6922" max="6922" width="4.42578125" style="2110" customWidth="1"/>
    <col min="6923" max="6923" width="13.28515625" style="2110" bestFit="1" customWidth="1"/>
    <col min="6924" max="6924" width="1" style="2110" customWidth="1"/>
    <col min="6925" max="6925" width="12.5703125" style="2110" customWidth="1"/>
    <col min="6926" max="6926" width="16.140625" style="2110" customWidth="1"/>
    <col min="6927" max="6927" width="12.42578125" style="2110" customWidth="1"/>
    <col min="6928" max="6928" width="17.28515625" style="2110" customWidth="1"/>
    <col min="6929" max="6931" width="18.42578125" style="2110" customWidth="1"/>
    <col min="6932" max="7162" width="16.7109375" style="2110"/>
    <col min="7163" max="7163" width="6.5703125" style="2110" customWidth="1"/>
    <col min="7164" max="7164" width="41.85546875" style="2110" customWidth="1"/>
    <col min="7165" max="7165" width="9.85546875" style="2110" customWidth="1"/>
    <col min="7166" max="7166" width="1.85546875" style="2110" customWidth="1"/>
    <col min="7167" max="7167" width="11" style="2110" customWidth="1"/>
    <col min="7168" max="7168" width="5.28515625" style="2110" customWidth="1"/>
    <col min="7169" max="7169" width="11.5703125" style="2110" bestFit="1" customWidth="1"/>
    <col min="7170" max="7170" width="1.85546875" style="2110" customWidth="1"/>
    <col min="7171" max="7171" width="12.28515625" style="2110" customWidth="1"/>
    <col min="7172" max="7172" width="2.28515625" style="2110" customWidth="1"/>
    <col min="7173" max="7173" width="13.140625" style="2110" bestFit="1" customWidth="1"/>
    <col min="7174" max="7174" width="1.85546875" style="2110" customWidth="1"/>
    <col min="7175" max="7175" width="12.28515625" style="2110" customWidth="1"/>
    <col min="7176" max="7176" width="1.85546875" style="2110" customWidth="1"/>
    <col min="7177" max="7177" width="10.5703125" style="2110" customWidth="1"/>
    <col min="7178" max="7178" width="4.42578125" style="2110" customWidth="1"/>
    <col min="7179" max="7179" width="13.28515625" style="2110" bestFit="1" customWidth="1"/>
    <col min="7180" max="7180" width="1" style="2110" customWidth="1"/>
    <col min="7181" max="7181" width="12.5703125" style="2110" customWidth="1"/>
    <col min="7182" max="7182" width="16.140625" style="2110" customWidth="1"/>
    <col min="7183" max="7183" width="12.42578125" style="2110" customWidth="1"/>
    <col min="7184" max="7184" width="17.28515625" style="2110" customWidth="1"/>
    <col min="7185" max="7187" width="18.42578125" style="2110" customWidth="1"/>
    <col min="7188" max="7418" width="16.7109375" style="2110"/>
    <col min="7419" max="7419" width="6.5703125" style="2110" customWidth="1"/>
    <col min="7420" max="7420" width="41.85546875" style="2110" customWidth="1"/>
    <col min="7421" max="7421" width="9.85546875" style="2110" customWidth="1"/>
    <col min="7422" max="7422" width="1.85546875" style="2110" customWidth="1"/>
    <col min="7423" max="7423" width="11" style="2110" customWidth="1"/>
    <col min="7424" max="7424" width="5.28515625" style="2110" customWidth="1"/>
    <col min="7425" max="7425" width="11.5703125" style="2110" bestFit="1" customWidth="1"/>
    <col min="7426" max="7426" width="1.85546875" style="2110" customWidth="1"/>
    <col min="7427" max="7427" width="12.28515625" style="2110" customWidth="1"/>
    <col min="7428" max="7428" width="2.28515625" style="2110" customWidth="1"/>
    <col min="7429" max="7429" width="13.140625" style="2110" bestFit="1" customWidth="1"/>
    <col min="7430" max="7430" width="1.85546875" style="2110" customWidth="1"/>
    <col min="7431" max="7431" width="12.28515625" style="2110" customWidth="1"/>
    <col min="7432" max="7432" width="1.85546875" style="2110" customWidth="1"/>
    <col min="7433" max="7433" width="10.5703125" style="2110" customWidth="1"/>
    <col min="7434" max="7434" width="4.42578125" style="2110" customWidth="1"/>
    <col min="7435" max="7435" width="13.28515625" style="2110" bestFit="1" customWidth="1"/>
    <col min="7436" max="7436" width="1" style="2110" customWidth="1"/>
    <col min="7437" max="7437" width="12.5703125" style="2110" customWidth="1"/>
    <col min="7438" max="7438" width="16.140625" style="2110" customWidth="1"/>
    <col min="7439" max="7439" width="12.42578125" style="2110" customWidth="1"/>
    <col min="7440" max="7440" width="17.28515625" style="2110" customWidth="1"/>
    <col min="7441" max="7443" width="18.42578125" style="2110" customWidth="1"/>
    <col min="7444" max="7674" width="16.7109375" style="2110"/>
    <col min="7675" max="7675" width="6.5703125" style="2110" customWidth="1"/>
    <col min="7676" max="7676" width="41.85546875" style="2110" customWidth="1"/>
    <col min="7677" max="7677" width="9.85546875" style="2110" customWidth="1"/>
    <col min="7678" max="7678" width="1.85546875" style="2110" customWidth="1"/>
    <col min="7679" max="7679" width="11" style="2110" customWidth="1"/>
    <col min="7680" max="7680" width="5.28515625" style="2110" customWidth="1"/>
    <col min="7681" max="7681" width="11.5703125" style="2110" bestFit="1" customWidth="1"/>
    <col min="7682" max="7682" width="1.85546875" style="2110" customWidth="1"/>
    <col min="7683" max="7683" width="12.28515625" style="2110" customWidth="1"/>
    <col min="7684" max="7684" width="2.28515625" style="2110" customWidth="1"/>
    <col min="7685" max="7685" width="13.140625" style="2110" bestFit="1" customWidth="1"/>
    <col min="7686" max="7686" width="1.85546875" style="2110" customWidth="1"/>
    <col min="7687" max="7687" width="12.28515625" style="2110" customWidth="1"/>
    <col min="7688" max="7688" width="1.85546875" style="2110" customWidth="1"/>
    <col min="7689" max="7689" width="10.5703125" style="2110" customWidth="1"/>
    <col min="7690" max="7690" width="4.42578125" style="2110" customWidth="1"/>
    <col min="7691" max="7691" width="13.28515625" style="2110" bestFit="1" customWidth="1"/>
    <col min="7692" max="7692" width="1" style="2110" customWidth="1"/>
    <col min="7693" max="7693" width="12.5703125" style="2110" customWidth="1"/>
    <col min="7694" max="7694" width="16.140625" style="2110" customWidth="1"/>
    <col min="7695" max="7695" width="12.42578125" style="2110" customWidth="1"/>
    <col min="7696" max="7696" width="17.28515625" style="2110" customWidth="1"/>
    <col min="7697" max="7699" width="18.42578125" style="2110" customWidth="1"/>
    <col min="7700" max="7930" width="16.7109375" style="2110"/>
    <col min="7931" max="7931" width="6.5703125" style="2110" customWidth="1"/>
    <col min="7932" max="7932" width="41.85546875" style="2110" customWidth="1"/>
    <col min="7933" max="7933" width="9.85546875" style="2110" customWidth="1"/>
    <col min="7934" max="7934" width="1.85546875" style="2110" customWidth="1"/>
    <col min="7935" max="7935" width="11" style="2110" customWidth="1"/>
    <col min="7936" max="7936" width="5.28515625" style="2110" customWidth="1"/>
    <col min="7937" max="7937" width="11.5703125" style="2110" bestFit="1" customWidth="1"/>
    <col min="7938" max="7938" width="1.85546875" style="2110" customWidth="1"/>
    <col min="7939" max="7939" width="12.28515625" style="2110" customWidth="1"/>
    <col min="7940" max="7940" width="2.28515625" style="2110" customWidth="1"/>
    <col min="7941" max="7941" width="13.140625" style="2110" bestFit="1" customWidth="1"/>
    <col min="7942" max="7942" width="1.85546875" style="2110" customWidth="1"/>
    <col min="7943" max="7943" width="12.28515625" style="2110" customWidth="1"/>
    <col min="7944" max="7944" width="1.85546875" style="2110" customWidth="1"/>
    <col min="7945" max="7945" width="10.5703125" style="2110" customWidth="1"/>
    <col min="7946" max="7946" width="4.42578125" style="2110" customWidth="1"/>
    <col min="7947" max="7947" width="13.28515625" style="2110" bestFit="1" customWidth="1"/>
    <col min="7948" max="7948" width="1" style="2110" customWidth="1"/>
    <col min="7949" max="7949" width="12.5703125" style="2110" customWidth="1"/>
    <col min="7950" max="7950" width="16.140625" style="2110" customWidth="1"/>
    <col min="7951" max="7951" width="12.42578125" style="2110" customWidth="1"/>
    <col min="7952" max="7952" width="17.28515625" style="2110" customWidth="1"/>
    <col min="7953" max="7955" width="18.42578125" style="2110" customWidth="1"/>
    <col min="7956" max="8186" width="16.7109375" style="2110"/>
    <col min="8187" max="8187" width="6.5703125" style="2110" customWidth="1"/>
    <col min="8188" max="8188" width="41.85546875" style="2110" customWidth="1"/>
    <col min="8189" max="8189" width="9.85546875" style="2110" customWidth="1"/>
    <col min="8190" max="8190" width="1.85546875" style="2110" customWidth="1"/>
    <col min="8191" max="8191" width="11" style="2110" customWidth="1"/>
    <col min="8192" max="8192" width="5.28515625" style="2110" customWidth="1"/>
    <col min="8193" max="8193" width="11.5703125" style="2110" bestFit="1" customWidth="1"/>
    <col min="8194" max="8194" width="1.85546875" style="2110" customWidth="1"/>
    <col min="8195" max="8195" width="12.28515625" style="2110" customWidth="1"/>
    <col min="8196" max="8196" width="2.28515625" style="2110" customWidth="1"/>
    <col min="8197" max="8197" width="13.140625" style="2110" bestFit="1" customWidth="1"/>
    <col min="8198" max="8198" width="1.85546875" style="2110" customWidth="1"/>
    <col min="8199" max="8199" width="12.28515625" style="2110" customWidth="1"/>
    <col min="8200" max="8200" width="1.85546875" style="2110" customWidth="1"/>
    <col min="8201" max="8201" width="10.5703125" style="2110" customWidth="1"/>
    <col min="8202" max="8202" width="4.42578125" style="2110" customWidth="1"/>
    <col min="8203" max="8203" width="13.28515625" style="2110" bestFit="1" customWidth="1"/>
    <col min="8204" max="8204" width="1" style="2110" customWidth="1"/>
    <col min="8205" max="8205" width="12.5703125" style="2110" customWidth="1"/>
    <col min="8206" max="8206" width="16.140625" style="2110" customWidth="1"/>
    <col min="8207" max="8207" width="12.42578125" style="2110" customWidth="1"/>
    <col min="8208" max="8208" width="17.28515625" style="2110" customWidth="1"/>
    <col min="8209" max="8211" width="18.42578125" style="2110" customWidth="1"/>
    <col min="8212" max="8442" width="16.7109375" style="2110"/>
    <col min="8443" max="8443" width="6.5703125" style="2110" customWidth="1"/>
    <col min="8444" max="8444" width="41.85546875" style="2110" customWidth="1"/>
    <col min="8445" max="8445" width="9.85546875" style="2110" customWidth="1"/>
    <col min="8446" max="8446" width="1.85546875" style="2110" customWidth="1"/>
    <col min="8447" max="8447" width="11" style="2110" customWidth="1"/>
    <col min="8448" max="8448" width="5.28515625" style="2110" customWidth="1"/>
    <col min="8449" max="8449" width="11.5703125" style="2110" bestFit="1" customWidth="1"/>
    <col min="8450" max="8450" width="1.85546875" style="2110" customWidth="1"/>
    <col min="8451" max="8451" width="12.28515625" style="2110" customWidth="1"/>
    <col min="8452" max="8452" width="2.28515625" style="2110" customWidth="1"/>
    <col min="8453" max="8453" width="13.140625" style="2110" bestFit="1" customWidth="1"/>
    <col min="8454" max="8454" width="1.85546875" style="2110" customWidth="1"/>
    <col min="8455" max="8455" width="12.28515625" style="2110" customWidth="1"/>
    <col min="8456" max="8456" width="1.85546875" style="2110" customWidth="1"/>
    <col min="8457" max="8457" width="10.5703125" style="2110" customWidth="1"/>
    <col min="8458" max="8458" width="4.42578125" style="2110" customWidth="1"/>
    <col min="8459" max="8459" width="13.28515625" style="2110" bestFit="1" customWidth="1"/>
    <col min="8460" max="8460" width="1" style="2110" customWidth="1"/>
    <col min="8461" max="8461" width="12.5703125" style="2110" customWidth="1"/>
    <col min="8462" max="8462" width="16.140625" style="2110" customWidth="1"/>
    <col min="8463" max="8463" width="12.42578125" style="2110" customWidth="1"/>
    <col min="8464" max="8464" width="17.28515625" style="2110" customWidth="1"/>
    <col min="8465" max="8467" width="18.42578125" style="2110" customWidth="1"/>
    <col min="8468" max="8698" width="16.7109375" style="2110"/>
    <col min="8699" max="8699" width="6.5703125" style="2110" customWidth="1"/>
    <col min="8700" max="8700" width="41.85546875" style="2110" customWidth="1"/>
    <col min="8701" max="8701" width="9.85546875" style="2110" customWidth="1"/>
    <col min="8702" max="8702" width="1.85546875" style="2110" customWidth="1"/>
    <col min="8703" max="8703" width="11" style="2110" customWidth="1"/>
    <col min="8704" max="8704" width="5.28515625" style="2110" customWidth="1"/>
    <col min="8705" max="8705" width="11.5703125" style="2110" bestFit="1" customWidth="1"/>
    <col min="8706" max="8706" width="1.85546875" style="2110" customWidth="1"/>
    <col min="8707" max="8707" width="12.28515625" style="2110" customWidth="1"/>
    <col min="8708" max="8708" width="2.28515625" style="2110" customWidth="1"/>
    <col min="8709" max="8709" width="13.140625" style="2110" bestFit="1" customWidth="1"/>
    <col min="8710" max="8710" width="1.85546875" style="2110" customWidth="1"/>
    <col min="8711" max="8711" width="12.28515625" style="2110" customWidth="1"/>
    <col min="8712" max="8712" width="1.85546875" style="2110" customWidth="1"/>
    <col min="8713" max="8713" width="10.5703125" style="2110" customWidth="1"/>
    <col min="8714" max="8714" width="4.42578125" style="2110" customWidth="1"/>
    <col min="8715" max="8715" width="13.28515625" style="2110" bestFit="1" customWidth="1"/>
    <col min="8716" max="8716" width="1" style="2110" customWidth="1"/>
    <col min="8717" max="8717" width="12.5703125" style="2110" customWidth="1"/>
    <col min="8718" max="8718" width="16.140625" style="2110" customWidth="1"/>
    <col min="8719" max="8719" width="12.42578125" style="2110" customWidth="1"/>
    <col min="8720" max="8720" width="17.28515625" style="2110" customWidth="1"/>
    <col min="8721" max="8723" width="18.42578125" style="2110" customWidth="1"/>
    <col min="8724" max="8954" width="16.7109375" style="2110"/>
    <col min="8955" max="8955" width="6.5703125" style="2110" customWidth="1"/>
    <col min="8956" max="8956" width="41.85546875" style="2110" customWidth="1"/>
    <col min="8957" max="8957" width="9.85546875" style="2110" customWidth="1"/>
    <col min="8958" max="8958" width="1.85546875" style="2110" customWidth="1"/>
    <col min="8959" max="8959" width="11" style="2110" customWidth="1"/>
    <col min="8960" max="8960" width="5.28515625" style="2110" customWidth="1"/>
    <col min="8961" max="8961" width="11.5703125" style="2110" bestFit="1" customWidth="1"/>
    <col min="8962" max="8962" width="1.85546875" style="2110" customWidth="1"/>
    <col min="8963" max="8963" width="12.28515625" style="2110" customWidth="1"/>
    <col min="8964" max="8964" width="2.28515625" style="2110" customWidth="1"/>
    <col min="8965" max="8965" width="13.140625" style="2110" bestFit="1" customWidth="1"/>
    <col min="8966" max="8966" width="1.85546875" style="2110" customWidth="1"/>
    <col min="8967" max="8967" width="12.28515625" style="2110" customWidth="1"/>
    <col min="8968" max="8968" width="1.85546875" style="2110" customWidth="1"/>
    <col min="8969" max="8969" width="10.5703125" style="2110" customWidth="1"/>
    <col min="8970" max="8970" width="4.42578125" style="2110" customWidth="1"/>
    <col min="8971" max="8971" width="13.28515625" style="2110" bestFit="1" customWidth="1"/>
    <col min="8972" max="8972" width="1" style="2110" customWidth="1"/>
    <col min="8973" max="8973" width="12.5703125" style="2110" customWidth="1"/>
    <col min="8974" max="8974" width="16.140625" style="2110" customWidth="1"/>
    <col min="8975" max="8975" width="12.42578125" style="2110" customWidth="1"/>
    <col min="8976" max="8976" width="17.28515625" style="2110" customWidth="1"/>
    <col min="8977" max="8979" width="18.42578125" style="2110" customWidth="1"/>
    <col min="8980" max="9210" width="16.7109375" style="2110"/>
    <col min="9211" max="9211" width="6.5703125" style="2110" customWidth="1"/>
    <col min="9212" max="9212" width="41.85546875" style="2110" customWidth="1"/>
    <col min="9213" max="9213" width="9.85546875" style="2110" customWidth="1"/>
    <col min="9214" max="9214" width="1.85546875" style="2110" customWidth="1"/>
    <col min="9215" max="9215" width="11" style="2110" customWidth="1"/>
    <col min="9216" max="9216" width="5.28515625" style="2110" customWidth="1"/>
    <col min="9217" max="9217" width="11.5703125" style="2110" bestFit="1" customWidth="1"/>
    <col min="9218" max="9218" width="1.85546875" style="2110" customWidth="1"/>
    <col min="9219" max="9219" width="12.28515625" style="2110" customWidth="1"/>
    <col min="9220" max="9220" width="2.28515625" style="2110" customWidth="1"/>
    <col min="9221" max="9221" width="13.140625" style="2110" bestFit="1" customWidth="1"/>
    <col min="9222" max="9222" width="1.85546875" style="2110" customWidth="1"/>
    <col min="9223" max="9223" width="12.28515625" style="2110" customWidth="1"/>
    <col min="9224" max="9224" width="1.85546875" style="2110" customWidth="1"/>
    <col min="9225" max="9225" width="10.5703125" style="2110" customWidth="1"/>
    <col min="9226" max="9226" width="4.42578125" style="2110" customWidth="1"/>
    <col min="9227" max="9227" width="13.28515625" style="2110" bestFit="1" customWidth="1"/>
    <col min="9228" max="9228" width="1" style="2110" customWidth="1"/>
    <col min="9229" max="9229" width="12.5703125" style="2110" customWidth="1"/>
    <col min="9230" max="9230" width="16.140625" style="2110" customWidth="1"/>
    <col min="9231" max="9231" width="12.42578125" style="2110" customWidth="1"/>
    <col min="9232" max="9232" width="17.28515625" style="2110" customWidth="1"/>
    <col min="9233" max="9235" width="18.42578125" style="2110" customWidth="1"/>
    <col min="9236" max="9466" width="16.7109375" style="2110"/>
    <col min="9467" max="9467" width="6.5703125" style="2110" customWidth="1"/>
    <col min="9468" max="9468" width="41.85546875" style="2110" customWidth="1"/>
    <col min="9469" max="9469" width="9.85546875" style="2110" customWidth="1"/>
    <col min="9470" max="9470" width="1.85546875" style="2110" customWidth="1"/>
    <col min="9471" max="9471" width="11" style="2110" customWidth="1"/>
    <col min="9472" max="9472" width="5.28515625" style="2110" customWidth="1"/>
    <col min="9473" max="9473" width="11.5703125" style="2110" bestFit="1" customWidth="1"/>
    <col min="9474" max="9474" width="1.85546875" style="2110" customWidth="1"/>
    <col min="9475" max="9475" width="12.28515625" style="2110" customWidth="1"/>
    <col min="9476" max="9476" width="2.28515625" style="2110" customWidth="1"/>
    <col min="9477" max="9477" width="13.140625" style="2110" bestFit="1" customWidth="1"/>
    <col min="9478" max="9478" width="1.85546875" style="2110" customWidth="1"/>
    <col min="9479" max="9479" width="12.28515625" style="2110" customWidth="1"/>
    <col min="9480" max="9480" width="1.85546875" style="2110" customWidth="1"/>
    <col min="9481" max="9481" width="10.5703125" style="2110" customWidth="1"/>
    <col min="9482" max="9482" width="4.42578125" style="2110" customWidth="1"/>
    <col min="9483" max="9483" width="13.28515625" style="2110" bestFit="1" customWidth="1"/>
    <col min="9484" max="9484" width="1" style="2110" customWidth="1"/>
    <col min="9485" max="9485" width="12.5703125" style="2110" customWidth="1"/>
    <col min="9486" max="9486" width="16.140625" style="2110" customWidth="1"/>
    <col min="9487" max="9487" width="12.42578125" style="2110" customWidth="1"/>
    <col min="9488" max="9488" width="17.28515625" style="2110" customWidth="1"/>
    <col min="9489" max="9491" width="18.42578125" style="2110" customWidth="1"/>
    <col min="9492" max="9722" width="16.7109375" style="2110"/>
    <col min="9723" max="9723" width="6.5703125" style="2110" customWidth="1"/>
    <col min="9724" max="9724" width="41.85546875" style="2110" customWidth="1"/>
    <col min="9725" max="9725" width="9.85546875" style="2110" customWidth="1"/>
    <col min="9726" max="9726" width="1.85546875" style="2110" customWidth="1"/>
    <col min="9727" max="9727" width="11" style="2110" customWidth="1"/>
    <col min="9728" max="9728" width="5.28515625" style="2110" customWidth="1"/>
    <col min="9729" max="9729" width="11.5703125" style="2110" bestFit="1" customWidth="1"/>
    <col min="9730" max="9730" width="1.85546875" style="2110" customWidth="1"/>
    <col min="9731" max="9731" width="12.28515625" style="2110" customWidth="1"/>
    <col min="9732" max="9732" width="2.28515625" style="2110" customWidth="1"/>
    <col min="9733" max="9733" width="13.140625" style="2110" bestFit="1" customWidth="1"/>
    <col min="9734" max="9734" width="1.85546875" style="2110" customWidth="1"/>
    <col min="9735" max="9735" width="12.28515625" style="2110" customWidth="1"/>
    <col min="9736" max="9736" width="1.85546875" style="2110" customWidth="1"/>
    <col min="9737" max="9737" width="10.5703125" style="2110" customWidth="1"/>
    <col min="9738" max="9738" width="4.42578125" style="2110" customWidth="1"/>
    <col min="9739" max="9739" width="13.28515625" style="2110" bestFit="1" customWidth="1"/>
    <col min="9740" max="9740" width="1" style="2110" customWidth="1"/>
    <col min="9741" max="9741" width="12.5703125" style="2110" customWidth="1"/>
    <col min="9742" max="9742" width="16.140625" style="2110" customWidth="1"/>
    <col min="9743" max="9743" width="12.42578125" style="2110" customWidth="1"/>
    <col min="9744" max="9744" width="17.28515625" style="2110" customWidth="1"/>
    <col min="9745" max="9747" width="18.42578125" style="2110" customWidth="1"/>
    <col min="9748" max="9978" width="16.7109375" style="2110"/>
    <col min="9979" max="9979" width="6.5703125" style="2110" customWidth="1"/>
    <col min="9980" max="9980" width="41.85546875" style="2110" customWidth="1"/>
    <col min="9981" max="9981" width="9.85546875" style="2110" customWidth="1"/>
    <col min="9982" max="9982" width="1.85546875" style="2110" customWidth="1"/>
    <col min="9983" max="9983" width="11" style="2110" customWidth="1"/>
    <col min="9984" max="9984" width="5.28515625" style="2110" customWidth="1"/>
    <col min="9985" max="9985" width="11.5703125" style="2110" bestFit="1" customWidth="1"/>
    <col min="9986" max="9986" width="1.85546875" style="2110" customWidth="1"/>
    <col min="9987" max="9987" width="12.28515625" style="2110" customWidth="1"/>
    <col min="9988" max="9988" width="2.28515625" style="2110" customWidth="1"/>
    <col min="9989" max="9989" width="13.140625" style="2110" bestFit="1" customWidth="1"/>
    <col min="9990" max="9990" width="1.85546875" style="2110" customWidth="1"/>
    <col min="9991" max="9991" width="12.28515625" style="2110" customWidth="1"/>
    <col min="9992" max="9992" width="1.85546875" style="2110" customWidth="1"/>
    <col min="9993" max="9993" width="10.5703125" style="2110" customWidth="1"/>
    <col min="9994" max="9994" width="4.42578125" style="2110" customWidth="1"/>
    <col min="9995" max="9995" width="13.28515625" style="2110" bestFit="1" customWidth="1"/>
    <col min="9996" max="9996" width="1" style="2110" customWidth="1"/>
    <col min="9997" max="9997" width="12.5703125" style="2110" customWidth="1"/>
    <col min="9998" max="9998" width="16.140625" style="2110" customWidth="1"/>
    <col min="9999" max="9999" width="12.42578125" style="2110" customWidth="1"/>
    <col min="10000" max="10000" width="17.28515625" style="2110" customWidth="1"/>
    <col min="10001" max="10003" width="18.42578125" style="2110" customWidth="1"/>
    <col min="10004" max="10234" width="16.7109375" style="2110"/>
    <col min="10235" max="10235" width="6.5703125" style="2110" customWidth="1"/>
    <col min="10236" max="10236" width="41.85546875" style="2110" customWidth="1"/>
    <col min="10237" max="10237" width="9.85546875" style="2110" customWidth="1"/>
    <col min="10238" max="10238" width="1.85546875" style="2110" customWidth="1"/>
    <col min="10239" max="10239" width="11" style="2110" customWidth="1"/>
    <col min="10240" max="10240" width="5.28515625" style="2110" customWidth="1"/>
    <col min="10241" max="10241" width="11.5703125" style="2110" bestFit="1" customWidth="1"/>
    <col min="10242" max="10242" width="1.85546875" style="2110" customWidth="1"/>
    <col min="10243" max="10243" width="12.28515625" style="2110" customWidth="1"/>
    <col min="10244" max="10244" width="2.28515625" style="2110" customWidth="1"/>
    <col min="10245" max="10245" width="13.140625" style="2110" bestFit="1" customWidth="1"/>
    <col min="10246" max="10246" width="1.85546875" style="2110" customWidth="1"/>
    <col min="10247" max="10247" width="12.28515625" style="2110" customWidth="1"/>
    <col min="10248" max="10248" width="1.85546875" style="2110" customWidth="1"/>
    <col min="10249" max="10249" width="10.5703125" style="2110" customWidth="1"/>
    <col min="10250" max="10250" width="4.42578125" style="2110" customWidth="1"/>
    <col min="10251" max="10251" width="13.28515625" style="2110" bestFit="1" customWidth="1"/>
    <col min="10252" max="10252" width="1" style="2110" customWidth="1"/>
    <col min="10253" max="10253" width="12.5703125" style="2110" customWidth="1"/>
    <col min="10254" max="10254" width="16.140625" style="2110" customWidth="1"/>
    <col min="10255" max="10255" width="12.42578125" style="2110" customWidth="1"/>
    <col min="10256" max="10256" width="17.28515625" style="2110" customWidth="1"/>
    <col min="10257" max="10259" width="18.42578125" style="2110" customWidth="1"/>
    <col min="10260" max="10490" width="16.7109375" style="2110"/>
    <col min="10491" max="10491" width="6.5703125" style="2110" customWidth="1"/>
    <col min="10492" max="10492" width="41.85546875" style="2110" customWidth="1"/>
    <col min="10493" max="10493" width="9.85546875" style="2110" customWidth="1"/>
    <col min="10494" max="10494" width="1.85546875" style="2110" customWidth="1"/>
    <col min="10495" max="10495" width="11" style="2110" customWidth="1"/>
    <col min="10496" max="10496" width="5.28515625" style="2110" customWidth="1"/>
    <col min="10497" max="10497" width="11.5703125" style="2110" bestFit="1" customWidth="1"/>
    <col min="10498" max="10498" width="1.85546875" style="2110" customWidth="1"/>
    <col min="10499" max="10499" width="12.28515625" style="2110" customWidth="1"/>
    <col min="10500" max="10500" width="2.28515625" style="2110" customWidth="1"/>
    <col min="10501" max="10501" width="13.140625" style="2110" bestFit="1" customWidth="1"/>
    <col min="10502" max="10502" width="1.85546875" style="2110" customWidth="1"/>
    <col min="10503" max="10503" width="12.28515625" style="2110" customWidth="1"/>
    <col min="10504" max="10504" width="1.85546875" style="2110" customWidth="1"/>
    <col min="10505" max="10505" width="10.5703125" style="2110" customWidth="1"/>
    <col min="10506" max="10506" width="4.42578125" style="2110" customWidth="1"/>
    <col min="10507" max="10507" width="13.28515625" style="2110" bestFit="1" customWidth="1"/>
    <col min="10508" max="10508" width="1" style="2110" customWidth="1"/>
    <col min="10509" max="10509" width="12.5703125" style="2110" customWidth="1"/>
    <col min="10510" max="10510" width="16.140625" style="2110" customWidth="1"/>
    <col min="10511" max="10511" width="12.42578125" style="2110" customWidth="1"/>
    <col min="10512" max="10512" width="17.28515625" style="2110" customWidth="1"/>
    <col min="10513" max="10515" width="18.42578125" style="2110" customWidth="1"/>
    <col min="10516" max="10746" width="16.7109375" style="2110"/>
    <col min="10747" max="10747" width="6.5703125" style="2110" customWidth="1"/>
    <col min="10748" max="10748" width="41.85546875" style="2110" customWidth="1"/>
    <col min="10749" max="10749" width="9.85546875" style="2110" customWidth="1"/>
    <col min="10750" max="10750" width="1.85546875" style="2110" customWidth="1"/>
    <col min="10751" max="10751" width="11" style="2110" customWidth="1"/>
    <col min="10752" max="10752" width="5.28515625" style="2110" customWidth="1"/>
    <col min="10753" max="10753" width="11.5703125" style="2110" bestFit="1" customWidth="1"/>
    <col min="10754" max="10754" width="1.85546875" style="2110" customWidth="1"/>
    <col min="10755" max="10755" width="12.28515625" style="2110" customWidth="1"/>
    <col min="10756" max="10756" width="2.28515625" style="2110" customWidth="1"/>
    <col min="10757" max="10757" width="13.140625" style="2110" bestFit="1" customWidth="1"/>
    <col min="10758" max="10758" width="1.85546875" style="2110" customWidth="1"/>
    <col min="10759" max="10759" width="12.28515625" style="2110" customWidth="1"/>
    <col min="10760" max="10760" width="1.85546875" style="2110" customWidth="1"/>
    <col min="10761" max="10761" width="10.5703125" style="2110" customWidth="1"/>
    <col min="10762" max="10762" width="4.42578125" style="2110" customWidth="1"/>
    <col min="10763" max="10763" width="13.28515625" style="2110" bestFit="1" customWidth="1"/>
    <col min="10764" max="10764" width="1" style="2110" customWidth="1"/>
    <col min="10765" max="10765" width="12.5703125" style="2110" customWidth="1"/>
    <col min="10766" max="10766" width="16.140625" style="2110" customWidth="1"/>
    <col min="10767" max="10767" width="12.42578125" style="2110" customWidth="1"/>
    <col min="10768" max="10768" width="17.28515625" style="2110" customWidth="1"/>
    <col min="10769" max="10771" width="18.42578125" style="2110" customWidth="1"/>
    <col min="10772" max="11002" width="16.7109375" style="2110"/>
    <col min="11003" max="11003" width="6.5703125" style="2110" customWidth="1"/>
    <col min="11004" max="11004" width="41.85546875" style="2110" customWidth="1"/>
    <col min="11005" max="11005" width="9.85546875" style="2110" customWidth="1"/>
    <col min="11006" max="11006" width="1.85546875" style="2110" customWidth="1"/>
    <col min="11007" max="11007" width="11" style="2110" customWidth="1"/>
    <col min="11008" max="11008" width="5.28515625" style="2110" customWidth="1"/>
    <col min="11009" max="11009" width="11.5703125" style="2110" bestFit="1" customWidth="1"/>
    <col min="11010" max="11010" width="1.85546875" style="2110" customWidth="1"/>
    <col min="11011" max="11011" width="12.28515625" style="2110" customWidth="1"/>
    <col min="11012" max="11012" width="2.28515625" style="2110" customWidth="1"/>
    <col min="11013" max="11013" width="13.140625" style="2110" bestFit="1" customWidth="1"/>
    <col min="11014" max="11014" width="1.85546875" style="2110" customWidth="1"/>
    <col min="11015" max="11015" width="12.28515625" style="2110" customWidth="1"/>
    <col min="11016" max="11016" width="1.85546875" style="2110" customWidth="1"/>
    <col min="11017" max="11017" width="10.5703125" style="2110" customWidth="1"/>
    <col min="11018" max="11018" width="4.42578125" style="2110" customWidth="1"/>
    <col min="11019" max="11019" width="13.28515625" style="2110" bestFit="1" customWidth="1"/>
    <col min="11020" max="11020" width="1" style="2110" customWidth="1"/>
    <col min="11021" max="11021" width="12.5703125" style="2110" customWidth="1"/>
    <col min="11022" max="11022" width="16.140625" style="2110" customWidth="1"/>
    <col min="11023" max="11023" width="12.42578125" style="2110" customWidth="1"/>
    <col min="11024" max="11024" width="17.28515625" style="2110" customWidth="1"/>
    <col min="11025" max="11027" width="18.42578125" style="2110" customWidth="1"/>
    <col min="11028" max="11258" width="16.7109375" style="2110"/>
    <col min="11259" max="11259" width="6.5703125" style="2110" customWidth="1"/>
    <col min="11260" max="11260" width="41.85546875" style="2110" customWidth="1"/>
    <col min="11261" max="11261" width="9.85546875" style="2110" customWidth="1"/>
    <col min="11262" max="11262" width="1.85546875" style="2110" customWidth="1"/>
    <col min="11263" max="11263" width="11" style="2110" customWidth="1"/>
    <col min="11264" max="11264" width="5.28515625" style="2110" customWidth="1"/>
    <col min="11265" max="11265" width="11.5703125" style="2110" bestFit="1" customWidth="1"/>
    <col min="11266" max="11266" width="1.85546875" style="2110" customWidth="1"/>
    <col min="11267" max="11267" width="12.28515625" style="2110" customWidth="1"/>
    <col min="11268" max="11268" width="2.28515625" style="2110" customWidth="1"/>
    <col min="11269" max="11269" width="13.140625" style="2110" bestFit="1" customWidth="1"/>
    <col min="11270" max="11270" width="1.85546875" style="2110" customWidth="1"/>
    <col min="11271" max="11271" width="12.28515625" style="2110" customWidth="1"/>
    <col min="11272" max="11272" width="1.85546875" style="2110" customWidth="1"/>
    <col min="11273" max="11273" width="10.5703125" style="2110" customWidth="1"/>
    <col min="11274" max="11274" width="4.42578125" style="2110" customWidth="1"/>
    <col min="11275" max="11275" width="13.28515625" style="2110" bestFit="1" customWidth="1"/>
    <col min="11276" max="11276" width="1" style="2110" customWidth="1"/>
    <col min="11277" max="11277" width="12.5703125" style="2110" customWidth="1"/>
    <col min="11278" max="11278" width="16.140625" style="2110" customWidth="1"/>
    <col min="11279" max="11279" width="12.42578125" style="2110" customWidth="1"/>
    <col min="11280" max="11280" width="17.28515625" style="2110" customWidth="1"/>
    <col min="11281" max="11283" width="18.42578125" style="2110" customWidth="1"/>
    <col min="11284" max="11514" width="16.7109375" style="2110"/>
    <col min="11515" max="11515" width="6.5703125" style="2110" customWidth="1"/>
    <col min="11516" max="11516" width="41.85546875" style="2110" customWidth="1"/>
    <col min="11517" max="11517" width="9.85546875" style="2110" customWidth="1"/>
    <col min="11518" max="11518" width="1.85546875" style="2110" customWidth="1"/>
    <col min="11519" max="11519" width="11" style="2110" customWidth="1"/>
    <col min="11520" max="11520" width="5.28515625" style="2110" customWidth="1"/>
    <col min="11521" max="11521" width="11.5703125" style="2110" bestFit="1" customWidth="1"/>
    <col min="11522" max="11522" width="1.85546875" style="2110" customWidth="1"/>
    <col min="11523" max="11523" width="12.28515625" style="2110" customWidth="1"/>
    <col min="11524" max="11524" width="2.28515625" style="2110" customWidth="1"/>
    <col min="11525" max="11525" width="13.140625" style="2110" bestFit="1" customWidth="1"/>
    <col min="11526" max="11526" width="1.85546875" style="2110" customWidth="1"/>
    <col min="11527" max="11527" width="12.28515625" style="2110" customWidth="1"/>
    <col min="11528" max="11528" width="1.85546875" style="2110" customWidth="1"/>
    <col min="11529" max="11529" width="10.5703125" style="2110" customWidth="1"/>
    <col min="11530" max="11530" width="4.42578125" style="2110" customWidth="1"/>
    <col min="11531" max="11531" width="13.28515625" style="2110" bestFit="1" customWidth="1"/>
    <col min="11532" max="11532" width="1" style="2110" customWidth="1"/>
    <col min="11533" max="11533" width="12.5703125" style="2110" customWidth="1"/>
    <col min="11534" max="11534" width="16.140625" style="2110" customWidth="1"/>
    <col min="11535" max="11535" width="12.42578125" style="2110" customWidth="1"/>
    <col min="11536" max="11536" width="17.28515625" style="2110" customWidth="1"/>
    <col min="11537" max="11539" width="18.42578125" style="2110" customWidth="1"/>
    <col min="11540" max="11770" width="16.7109375" style="2110"/>
    <col min="11771" max="11771" width="6.5703125" style="2110" customWidth="1"/>
    <col min="11772" max="11772" width="41.85546875" style="2110" customWidth="1"/>
    <col min="11773" max="11773" width="9.85546875" style="2110" customWidth="1"/>
    <col min="11774" max="11774" width="1.85546875" style="2110" customWidth="1"/>
    <col min="11775" max="11775" width="11" style="2110" customWidth="1"/>
    <col min="11776" max="11776" width="5.28515625" style="2110" customWidth="1"/>
    <col min="11777" max="11777" width="11.5703125" style="2110" bestFit="1" customWidth="1"/>
    <col min="11778" max="11778" width="1.85546875" style="2110" customWidth="1"/>
    <col min="11779" max="11779" width="12.28515625" style="2110" customWidth="1"/>
    <col min="11780" max="11780" width="2.28515625" style="2110" customWidth="1"/>
    <col min="11781" max="11781" width="13.140625" style="2110" bestFit="1" customWidth="1"/>
    <col min="11782" max="11782" width="1.85546875" style="2110" customWidth="1"/>
    <col min="11783" max="11783" width="12.28515625" style="2110" customWidth="1"/>
    <col min="11784" max="11784" width="1.85546875" style="2110" customWidth="1"/>
    <col min="11785" max="11785" width="10.5703125" style="2110" customWidth="1"/>
    <col min="11786" max="11786" width="4.42578125" style="2110" customWidth="1"/>
    <col min="11787" max="11787" width="13.28515625" style="2110" bestFit="1" customWidth="1"/>
    <col min="11788" max="11788" width="1" style="2110" customWidth="1"/>
    <col min="11789" max="11789" width="12.5703125" style="2110" customWidth="1"/>
    <col min="11790" max="11790" width="16.140625" style="2110" customWidth="1"/>
    <col min="11791" max="11791" width="12.42578125" style="2110" customWidth="1"/>
    <col min="11792" max="11792" width="17.28515625" style="2110" customWidth="1"/>
    <col min="11793" max="11795" width="18.42578125" style="2110" customWidth="1"/>
    <col min="11796" max="12026" width="16.7109375" style="2110"/>
    <col min="12027" max="12027" width="6.5703125" style="2110" customWidth="1"/>
    <col min="12028" max="12028" width="41.85546875" style="2110" customWidth="1"/>
    <col min="12029" max="12029" width="9.85546875" style="2110" customWidth="1"/>
    <col min="12030" max="12030" width="1.85546875" style="2110" customWidth="1"/>
    <col min="12031" max="12031" width="11" style="2110" customWidth="1"/>
    <col min="12032" max="12032" width="5.28515625" style="2110" customWidth="1"/>
    <col min="12033" max="12033" width="11.5703125" style="2110" bestFit="1" customWidth="1"/>
    <col min="12034" max="12034" width="1.85546875" style="2110" customWidth="1"/>
    <col min="12035" max="12035" width="12.28515625" style="2110" customWidth="1"/>
    <col min="12036" max="12036" width="2.28515625" style="2110" customWidth="1"/>
    <col min="12037" max="12037" width="13.140625" style="2110" bestFit="1" customWidth="1"/>
    <col min="12038" max="12038" width="1.85546875" style="2110" customWidth="1"/>
    <col min="12039" max="12039" width="12.28515625" style="2110" customWidth="1"/>
    <col min="12040" max="12040" width="1.85546875" style="2110" customWidth="1"/>
    <col min="12041" max="12041" width="10.5703125" style="2110" customWidth="1"/>
    <col min="12042" max="12042" width="4.42578125" style="2110" customWidth="1"/>
    <col min="12043" max="12043" width="13.28515625" style="2110" bestFit="1" customWidth="1"/>
    <col min="12044" max="12044" width="1" style="2110" customWidth="1"/>
    <col min="12045" max="12045" width="12.5703125" style="2110" customWidth="1"/>
    <col min="12046" max="12046" width="16.140625" style="2110" customWidth="1"/>
    <col min="12047" max="12047" width="12.42578125" style="2110" customWidth="1"/>
    <col min="12048" max="12048" width="17.28515625" style="2110" customWidth="1"/>
    <col min="12049" max="12051" width="18.42578125" style="2110" customWidth="1"/>
    <col min="12052" max="12282" width="16.7109375" style="2110"/>
    <col min="12283" max="12283" width="6.5703125" style="2110" customWidth="1"/>
    <col min="12284" max="12284" width="41.85546875" style="2110" customWidth="1"/>
    <col min="12285" max="12285" width="9.85546875" style="2110" customWidth="1"/>
    <col min="12286" max="12286" width="1.85546875" style="2110" customWidth="1"/>
    <col min="12287" max="12287" width="11" style="2110" customWidth="1"/>
    <col min="12288" max="12288" width="5.28515625" style="2110" customWidth="1"/>
    <col min="12289" max="12289" width="11.5703125" style="2110" bestFit="1" customWidth="1"/>
    <col min="12290" max="12290" width="1.85546875" style="2110" customWidth="1"/>
    <col min="12291" max="12291" width="12.28515625" style="2110" customWidth="1"/>
    <col min="12292" max="12292" width="2.28515625" style="2110" customWidth="1"/>
    <col min="12293" max="12293" width="13.140625" style="2110" bestFit="1" customWidth="1"/>
    <col min="12294" max="12294" width="1.85546875" style="2110" customWidth="1"/>
    <col min="12295" max="12295" width="12.28515625" style="2110" customWidth="1"/>
    <col min="12296" max="12296" width="1.85546875" style="2110" customWidth="1"/>
    <col min="12297" max="12297" width="10.5703125" style="2110" customWidth="1"/>
    <col min="12298" max="12298" width="4.42578125" style="2110" customWidth="1"/>
    <col min="12299" max="12299" width="13.28515625" style="2110" bestFit="1" customWidth="1"/>
    <col min="12300" max="12300" width="1" style="2110" customWidth="1"/>
    <col min="12301" max="12301" width="12.5703125" style="2110" customWidth="1"/>
    <col min="12302" max="12302" width="16.140625" style="2110" customWidth="1"/>
    <col min="12303" max="12303" width="12.42578125" style="2110" customWidth="1"/>
    <col min="12304" max="12304" width="17.28515625" style="2110" customWidth="1"/>
    <col min="12305" max="12307" width="18.42578125" style="2110" customWidth="1"/>
    <col min="12308" max="12538" width="16.7109375" style="2110"/>
    <col min="12539" max="12539" width="6.5703125" style="2110" customWidth="1"/>
    <col min="12540" max="12540" width="41.85546875" style="2110" customWidth="1"/>
    <col min="12541" max="12541" width="9.85546875" style="2110" customWidth="1"/>
    <col min="12542" max="12542" width="1.85546875" style="2110" customWidth="1"/>
    <col min="12543" max="12543" width="11" style="2110" customWidth="1"/>
    <col min="12544" max="12544" width="5.28515625" style="2110" customWidth="1"/>
    <col min="12545" max="12545" width="11.5703125" style="2110" bestFit="1" customWidth="1"/>
    <col min="12546" max="12546" width="1.85546875" style="2110" customWidth="1"/>
    <col min="12547" max="12547" width="12.28515625" style="2110" customWidth="1"/>
    <col min="12548" max="12548" width="2.28515625" style="2110" customWidth="1"/>
    <col min="12549" max="12549" width="13.140625" style="2110" bestFit="1" customWidth="1"/>
    <col min="12550" max="12550" width="1.85546875" style="2110" customWidth="1"/>
    <col min="12551" max="12551" width="12.28515625" style="2110" customWidth="1"/>
    <col min="12552" max="12552" width="1.85546875" style="2110" customWidth="1"/>
    <col min="12553" max="12553" width="10.5703125" style="2110" customWidth="1"/>
    <col min="12554" max="12554" width="4.42578125" style="2110" customWidth="1"/>
    <col min="12555" max="12555" width="13.28515625" style="2110" bestFit="1" customWidth="1"/>
    <col min="12556" max="12556" width="1" style="2110" customWidth="1"/>
    <col min="12557" max="12557" width="12.5703125" style="2110" customWidth="1"/>
    <col min="12558" max="12558" width="16.140625" style="2110" customWidth="1"/>
    <col min="12559" max="12559" width="12.42578125" style="2110" customWidth="1"/>
    <col min="12560" max="12560" width="17.28515625" style="2110" customWidth="1"/>
    <col min="12561" max="12563" width="18.42578125" style="2110" customWidth="1"/>
    <col min="12564" max="12794" width="16.7109375" style="2110"/>
    <col min="12795" max="12795" width="6.5703125" style="2110" customWidth="1"/>
    <col min="12796" max="12796" width="41.85546875" style="2110" customWidth="1"/>
    <col min="12797" max="12797" width="9.85546875" style="2110" customWidth="1"/>
    <col min="12798" max="12798" width="1.85546875" style="2110" customWidth="1"/>
    <col min="12799" max="12799" width="11" style="2110" customWidth="1"/>
    <col min="12800" max="12800" width="5.28515625" style="2110" customWidth="1"/>
    <col min="12801" max="12801" width="11.5703125" style="2110" bestFit="1" customWidth="1"/>
    <col min="12802" max="12802" width="1.85546875" style="2110" customWidth="1"/>
    <col min="12803" max="12803" width="12.28515625" style="2110" customWidth="1"/>
    <col min="12804" max="12804" width="2.28515625" style="2110" customWidth="1"/>
    <col min="12805" max="12805" width="13.140625" style="2110" bestFit="1" customWidth="1"/>
    <col min="12806" max="12806" width="1.85546875" style="2110" customWidth="1"/>
    <col min="12807" max="12807" width="12.28515625" style="2110" customWidth="1"/>
    <col min="12808" max="12808" width="1.85546875" style="2110" customWidth="1"/>
    <col min="12809" max="12809" width="10.5703125" style="2110" customWidth="1"/>
    <col min="12810" max="12810" width="4.42578125" style="2110" customWidth="1"/>
    <col min="12811" max="12811" width="13.28515625" style="2110" bestFit="1" customWidth="1"/>
    <col min="12812" max="12812" width="1" style="2110" customWidth="1"/>
    <col min="12813" max="12813" width="12.5703125" style="2110" customWidth="1"/>
    <col min="12814" max="12814" width="16.140625" style="2110" customWidth="1"/>
    <col min="12815" max="12815" width="12.42578125" style="2110" customWidth="1"/>
    <col min="12816" max="12816" width="17.28515625" style="2110" customWidth="1"/>
    <col min="12817" max="12819" width="18.42578125" style="2110" customWidth="1"/>
    <col min="12820" max="13050" width="16.7109375" style="2110"/>
    <col min="13051" max="13051" width="6.5703125" style="2110" customWidth="1"/>
    <col min="13052" max="13052" width="41.85546875" style="2110" customWidth="1"/>
    <col min="13053" max="13053" width="9.85546875" style="2110" customWidth="1"/>
    <col min="13054" max="13054" width="1.85546875" style="2110" customWidth="1"/>
    <col min="13055" max="13055" width="11" style="2110" customWidth="1"/>
    <col min="13056" max="13056" width="5.28515625" style="2110" customWidth="1"/>
    <col min="13057" max="13057" width="11.5703125" style="2110" bestFit="1" customWidth="1"/>
    <col min="13058" max="13058" width="1.85546875" style="2110" customWidth="1"/>
    <col min="13059" max="13059" width="12.28515625" style="2110" customWidth="1"/>
    <col min="13060" max="13060" width="2.28515625" style="2110" customWidth="1"/>
    <col min="13061" max="13061" width="13.140625" style="2110" bestFit="1" customWidth="1"/>
    <col min="13062" max="13062" width="1.85546875" style="2110" customWidth="1"/>
    <col min="13063" max="13063" width="12.28515625" style="2110" customWidth="1"/>
    <col min="13064" max="13064" width="1.85546875" style="2110" customWidth="1"/>
    <col min="13065" max="13065" width="10.5703125" style="2110" customWidth="1"/>
    <col min="13066" max="13066" width="4.42578125" style="2110" customWidth="1"/>
    <col min="13067" max="13067" width="13.28515625" style="2110" bestFit="1" customWidth="1"/>
    <col min="13068" max="13068" width="1" style="2110" customWidth="1"/>
    <col min="13069" max="13069" width="12.5703125" style="2110" customWidth="1"/>
    <col min="13070" max="13070" width="16.140625" style="2110" customWidth="1"/>
    <col min="13071" max="13071" width="12.42578125" style="2110" customWidth="1"/>
    <col min="13072" max="13072" width="17.28515625" style="2110" customWidth="1"/>
    <col min="13073" max="13075" width="18.42578125" style="2110" customWidth="1"/>
    <col min="13076" max="13306" width="16.7109375" style="2110"/>
    <col min="13307" max="13307" width="6.5703125" style="2110" customWidth="1"/>
    <col min="13308" max="13308" width="41.85546875" style="2110" customWidth="1"/>
    <col min="13309" max="13309" width="9.85546875" style="2110" customWidth="1"/>
    <col min="13310" max="13310" width="1.85546875" style="2110" customWidth="1"/>
    <col min="13311" max="13311" width="11" style="2110" customWidth="1"/>
    <col min="13312" max="13312" width="5.28515625" style="2110" customWidth="1"/>
    <col min="13313" max="13313" width="11.5703125" style="2110" bestFit="1" customWidth="1"/>
    <col min="13314" max="13314" width="1.85546875" style="2110" customWidth="1"/>
    <col min="13315" max="13315" width="12.28515625" style="2110" customWidth="1"/>
    <col min="13316" max="13316" width="2.28515625" style="2110" customWidth="1"/>
    <col min="13317" max="13317" width="13.140625" style="2110" bestFit="1" customWidth="1"/>
    <col min="13318" max="13318" width="1.85546875" style="2110" customWidth="1"/>
    <col min="13319" max="13319" width="12.28515625" style="2110" customWidth="1"/>
    <col min="13320" max="13320" width="1.85546875" style="2110" customWidth="1"/>
    <col min="13321" max="13321" width="10.5703125" style="2110" customWidth="1"/>
    <col min="13322" max="13322" width="4.42578125" style="2110" customWidth="1"/>
    <col min="13323" max="13323" width="13.28515625" style="2110" bestFit="1" customWidth="1"/>
    <col min="13324" max="13324" width="1" style="2110" customWidth="1"/>
    <col min="13325" max="13325" width="12.5703125" style="2110" customWidth="1"/>
    <col min="13326" max="13326" width="16.140625" style="2110" customWidth="1"/>
    <col min="13327" max="13327" width="12.42578125" style="2110" customWidth="1"/>
    <col min="13328" max="13328" width="17.28515625" style="2110" customWidth="1"/>
    <col min="13329" max="13331" width="18.42578125" style="2110" customWidth="1"/>
    <col min="13332" max="13562" width="16.7109375" style="2110"/>
    <col min="13563" max="13563" width="6.5703125" style="2110" customWidth="1"/>
    <col min="13564" max="13564" width="41.85546875" style="2110" customWidth="1"/>
    <col min="13565" max="13565" width="9.85546875" style="2110" customWidth="1"/>
    <col min="13566" max="13566" width="1.85546875" style="2110" customWidth="1"/>
    <col min="13567" max="13567" width="11" style="2110" customWidth="1"/>
    <col min="13568" max="13568" width="5.28515625" style="2110" customWidth="1"/>
    <col min="13569" max="13569" width="11.5703125" style="2110" bestFit="1" customWidth="1"/>
    <col min="13570" max="13570" width="1.85546875" style="2110" customWidth="1"/>
    <col min="13571" max="13571" width="12.28515625" style="2110" customWidth="1"/>
    <col min="13572" max="13572" width="2.28515625" style="2110" customWidth="1"/>
    <col min="13573" max="13573" width="13.140625" style="2110" bestFit="1" customWidth="1"/>
    <col min="13574" max="13574" width="1.85546875" style="2110" customWidth="1"/>
    <col min="13575" max="13575" width="12.28515625" style="2110" customWidth="1"/>
    <col min="13576" max="13576" width="1.85546875" style="2110" customWidth="1"/>
    <col min="13577" max="13577" width="10.5703125" style="2110" customWidth="1"/>
    <col min="13578" max="13578" width="4.42578125" style="2110" customWidth="1"/>
    <col min="13579" max="13579" width="13.28515625" style="2110" bestFit="1" customWidth="1"/>
    <col min="13580" max="13580" width="1" style="2110" customWidth="1"/>
    <col min="13581" max="13581" width="12.5703125" style="2110" customWidth="1"/>
    <col min="13582" max="13582" width="16.140625" style="2110" customWidth="1"/>
    <col min="13583" max="13583" width="12.42578125" style="2110" customWidth="1"/>
    <col min="13584" max="13584" width="17.28515625" style="2110" customWidth="1"/>
    <col min="13585" max="13587" width="18.42578125" style="2110" customWidth="1"/>
    <col min="13588" max="13818" width="16.7109375" style="2110"/>
    <col min="13819" max="13819" width="6.5703125" style="2110" customWidth="1"/>
    <col min="13820" max="13820" width="41.85546875" style="2110" customWidth="1"/>
    <col min="13821" max="13821" width="9.85546875" style="2110" customWidth="1"/>
    <col min="13822" max="13822" width="1.85546875" style="2110" customWidth="1"/>
    <col min="13823" max="13823" width="11" style="2110" customWidth="1"/>
    <col min="13824" max="13824" width="5.28515625" style="2110" customWidth="1"/>
    <col min="13825" max="13825" width="11.5703125" style="2110" bestFit="1" customWidth="1"/>
    <col min="13826" max="13826" width="1.85546875" style="2110" customWidth="1"/>
    <col min="13827" max="13827" width="12.28515625" style="2110" customWidth="1"/>
    <col min="13828" max="13828" width="2.28515625" style="2110" customWidth="1"/>
    <col min="13829" max="13829" width="13.140625" style="2110" bestFit="1" customWidth="1"/>
    <col min="13830" max="13830" width="1.85546875" style="2110" customWidth="1"/>
    <col min="13831" max="13831" width="12.28515625" style="2110" customWidth="1"/>
    <col min="13832" max="13832" width="1.85546875" style="2110" customWidth="1"/>
    <col min="13833" max="13833" width="10.5703125" style="2110" customWidth="1"/>
    <col min="13834" max="13834" width="4.42578125" style="2110" customWidth="1"/>
    <col min="13835" max="13835" width="13.28515625" style="2110" bestFit="1" customWidth="1"/>
    <col min="13836" max="13836" width="1" style="2110" customWidth="1"/>
    <col min="13837" max="13837" width="12.5703125" style="2110" customWidth="1"/>
    <col min="13838" max="13838" width="16.140625" style="2110" customWidth="1"/>
    <col min="13839" max="13839" width="12.42578125" style="2110" customWidth="1"/>
    <col min="13840" max="13840" width="17.28515625" style="2110" customWidth="1"/>
    <col min="13841" max="13843" width="18.42578125" style="2110" customWidth="1"/>
    <col min="13844" max="14074" width="16.7109375" style="2110"/>
    <col min="14075" max="14075" width="6.5703125" style="2110" customWidth="1"/>
    <col min="14076" max="14076" width="41.85546875" style="2110" customWidth="1"/>
    <col min="14077" max="14077" width="9.85546875" style="2110" customWidth="1"/>
    <col min="14078" max="14078" width="1.85546875" style="2110" customWidth="1"/>
    <col min="14079" max="14079" width="11" style="2110" customWidth="1"/>
    <col min="14080" max="14080" width="5.28515625" style="2110" customWidth="1"/>
    <col min="14081" max="14081" width="11.5703125" style="2110" bestFit="1" customWidth="1"/>
    <col min="14082" max="14082" width="1.85546875" style="2110" customWidth="1"/>
    <col min="14083" max="14083" width="12.28515625" style="2110" customWidth="1"/>
    <col min="14084" max="14084" width="2.28515625" style="2110" customWidth="1"/>
    <col min="14085" max="14085" width="13.140625" style="2110" bestFit="1" customWidth="1"/>
    <col min="14086" max="14086" width="1.85546875" style="2110" customWidth="1"/>
    <col min="14087" max="14087" width="12.28515625" style="2110" customWidth="1"/>
    <col min="14088" max="14088" width="1.85546875" style="2110" customWidth="1"/>
    <col min="14089" max="14089" width="10.5703125" style="2110" customWidth="1"/>
    <col min="14090" max="14090" width="4.42578125" style="2110" customWidth="1"/>
    <col min="14091" max="14091" width="13.28515625" style="2110" bestFit="1" customWidth="1"/>
    <col min="14092" max="14092" width="1" style="2110" customWidth="1"/>
    <col min="14093" max="14093" width="12.5703125" style="2110" customWidth="1"/>
    <col min="14094" max="14094" width="16.140625" style="2110" customWidth="1"/>
    <col min="14095" max="14095" width="12.42578125" style="2110" customWidth="1"/>
    <col min="14096" max="14096" width="17.28515625" style="2110" customWidth="1"/>
    <col min="14097" max="14099" width="18.42578125" style="2110" customWidth="1"/>
    <col min="14100" max="14330" width="16.7109375" style="2110"/>
    <col min="14331" max="14331" width="6.5703125" style="2110" customWidth="1"/>
    <col min="14332" max="14332" width="41.85546875" style="2110" customWidth="1"/>
    <col min="14333" max="14333" width="9.85546875" style="2110" customWidth="1"/>
    <col min="14334" max="14334" width="1.85546875" style="2110" customWidth="1"/>
    <col min="14335" max="14335" width="11" style="2110" customWidth="1"/>
    <col min="14336" max="14336" width="5.28515625" style="2110" customWidth="1"/>
    <col min="14337" max="14337" width="11.5703125" style="2110" bestFit="1" customWidth="1"/>
    <col min="14338" max="14338" width="1.85546875" style="2110" customWidth="1"/>
    <col min="14339" max="14339" width="12.28515625" style="2110" customWidth="1"/>
    <col min="14340" max="14340" width="2.28515625" style="2110" customWidth="1"/>
    <col min="14341" max="14341" width="13.140625" style="2110" bestFit="1" customWidth="1"/>
    <col min="14342" max="14342" width="1.85546875" style="2110" customWidth="1"/>
    <col min="14343" max="14343" width="12.28515625" style="2110" customWidth="1"/>
    <col min="14344" max="14344" width="1.85546875" style="2110" customWidth="1"/>
    <col min="14345" max="14345" width="10.5703125" style="2110" customWidth="1"/>
    <col min="14346" max="14346" width="4.42578125" style="2110" customWidth="1"/>
    <col min="14347" max="14347" width="13.28515625" style="2110" bestFit="1" customWidth="1"/>
    <col min="14348" max="14348" width="1" style="2110" customWidth="1"/>
    <col min="14349" max="14349" width="12.5703125" style="2110" customWidth="1"/>
    <col min="14350" max="14350" width="16.140625" style="2110" customWidth="1"/>
    <col min="14351" max="14351" width="12.42578125" style="2110" customWidth="1"/>
    <col min="14352" max="14352" width="17.28515625" style="2110" customWidth="1"/>
    <col min="14353" max="14355" width="18.42578125" style="2110" customWidth="1"/>
    <col min="14356" max="14586" width="16.7109375" style="2110"/>
    <col min="14587" max="14587" width="6.5703125" style="2110" customWidth="1"/>
    <col min="14588" max="14588" width="41.85546875" style="2110" customWidth="1"/>
    <col min="14589" max="14589" width="9.85546875" style="2110" customWidth="1"/>
    <col min="14590" max="14590" width="1.85546875" style="2110" customWidth="1"/>
    <col min="14591" max="14591" width="11" style="2110" customWidth="1"/>
    <col min="14592" max="14592" width="5.28515625" style="2110" customWidth="1"/>
    <col min="14593" max="14593" width="11.5703125" style="2110" bestFit="1" customWidth="1"/>
    <col min="14594" max="14594" width="1.85546875" style="2110" customWidth="1"/>
    <col min="14595" max="14595" width="12.28515625" style="2110" customWidth="1"/>
    <col min="14596" max="14596" width="2.28515625" style="2110" customWidth="1"/>
    <col min="14597" max="14597" width="13.140625" style="2110" bestFit="1" customWidth="1"/>
    <col min="14598" max="14598" width="1.85546875" style="2110" customWidth="1"/>
    <col min="14599" max="14599" width="12.28515625" style="2110" customWidth="1"/>
    <col min="14600" max="14600" width="1.85546875" style="2110" customWidth="1"/>
    <col min="14601" max="14601" width="10.5703125" style="2110" customWidth="1"/>
    <col min="14602" max="14602" width="4.42578125" style="2110" customWidth="1"/>
    <col min="14603" max="14603" width="13.28515625" style="2110" bestFit="1" customWidth="1"/>
    <col min="14604" max="14604" width="1" style="2110" customWidth="1"/>
    <col min="14605" max="14605" width="12.5703125" style="2110" customWidth="1"/>
    <col min="14606" max="14606" width="16.140625" style="2110" customWidth="1"/>
    <col min="14607" max="14607" width="12.42578125" style="2110" customWidth="1"/>
    <col min="14608" max="14608" width="17.28515625" style="2110" customWidth="1"/>
    <col min="14609" max="14611" width="18.42578125" style="2110" customWidth="1"/>
    <col min="14612" max="14842" width="16.7109375" style="2110"/>
    <col min="14843" max="14843" width="6.5703125" style="2110" customWidth="1"/>
    <col min="14844" max="14844" width="41.85546875" style="2110" customWidth="1"/>
    <col min="14845" max="14845" width="9.85546875" style="2110" customWidth="1"/>
    <col min="14846" max="14846" width="1.85546875" style="2110" customWidth="1"/>
    <col min="14847" max="14847" width="11" style="2110" customWidth="1"/>
    <col min="14848" max="14848" width="5.28515625" style="2110" customWidth="1"/>
    <col min="14849" max="14849" width="11.5703125" style="2110" bestFit="1" customWidth="1"/>
    <col min="14850" max="14850" width="1.85546875" style="2110" customWidth="1"/>
    <col min="14851" max="14851" width="12.28515625" style="2110" customWidth="1"/>
    <col min="14852" max="14852" width="2.28515625" style="2110" customWidth="1"/>
    <col min="14853" max="14853" width="13.140625" style="2110" bestFit="1" customWidth="1"/>
    <col min="14854" max="14854" width="1.85546875" style="2110" customWidth="1"/>
    <col min="14855" max="14855" width="12.28515625" style="2110" customWidth="1"/>
    <col min="14856" max="14856" width="1.85546875" style="2110" customWidth="1"/>
    <col min="14857" max="14857" width="10.5703125" style="2110" customWidth="1"/>
    <col min="14858" max="14858" width="4.42578125" style="2110" customWidth="1"/>
    <col min="14859" max="14859" width="13.28515625" style="2110" bestFit="1" customWidth="1"/>
    <col min="14860" max="14860" width="1" style="2110" customWidth="1"/>
    <col min="14861" max="14861" width="12.5703125" style="2110" customWidth="1"/>
    <col min="14862" max="14862" width="16.140625" style="2110" customWidth="1"/>
    <col min="14863" max="14863" width="12.42578125" style="2110" customWidth="1"/>
    <col min="14864" max="14864" width="17.28515625" style="2110" customWidth="1"/>
    <col min="14865" max="14867" width="18.42578125" style="2110" customWidth="1"/>
    <col min="14868" max="15098" width="16.7109375" style="2110"/>
    <col min="15099" max="15099" width="6.5703125" style="2110" customWidth="1"/>
    <col min="15100" max="15100" width="41.85546875" style="2110" customWidth="1"/>
    <col min="15101" max="15101" width="9.85546875" style="2110" customWidth="1"/>
    <col min="15102" max="15102" width="1.85546875" style="2110" customWidth="1"/>
    <col min="15103" max="15103" width="11" style="2110" customWidth="1"/>
    <col min="15104" max="15104" width="5.28515625" style="2110" customWidth="1"/>
    <col min="15105" max="15105" width="11.5703125" style="2110" bestFit="1" customWidth="1"/>
    <col min="15106" max="15106" width="1.85546875" style="2110" customWidth="1"/>
    <col min="15107" max="15107" width="12.28515625" style="2110" customWidth="1"/>
    <col min="15108" max="15108" width="2.28515625" style="2110" customWidth="1"/>
    <col min="15109" max="15109" width="13.140625" style="2110" bestFit="1" customWidth="1"/>
    <col min="15110" max="15110" width="1.85546875" style="2110" customWidth="1"/>
    <col min="15111" max="15111" width="12.28515625" style="2110" customWidth="1"/>
    <col min="15112" max="15112" width="1.85546875" style="2110" customWidth="1"/>
    <col min="15113" max="15113" width="10.5703125" style="2110" customWidth="1"/>
    <col min="15114" max="15114" width="4.42578125" style="2110" customWidth="1"/>
    <col min="15115" max="15115" width="13.28515625" style="2110" bestFit="1" customWidth="1"/>
    <col min="15116" max="15116" width="1" style="2110" customWidth="1"/>
    <col min="15117" max="15117" width="12.5703125" style="2110" customWidth="1"/>
    <col min="15118" max="15118" width="16.140625" style="2110" customWidth="1"/>
    <col min="15119" max="15119" width="12.42578125" style="2110" customWidth="1"/>
    <col min="15120" max="15120" width="17.28515625" style="2110" customWidth="1"/>
    <col min="15121" max="15123" width="18.42578125" style="2110" customWidth="1"/>
    <col min="15124" max="15354" width="16.7109375" style="2110"/>
    <col min="15355" max="15355" width="6.5703125" style="2110" customWidth="1"/>
    <col min="15356" max="15356" width="41.85546875" style="2110" customWidth="1"/>
    <col min="15357" max="15357" width="9.85546875" style="2110" customWidth="1"/>
    <col min="15358" max="15358" width="1.85546875" style="2110" customWidth="1"/>
    <col min="15359" max="15359" width="11" style="2110" customWidth="1"/>
    <col min="15360" max="15360" width="5.28515625" style="2110" customWidth="1"/>
    <col min="15361" max="15361" width="11.5703125" style="2110" bestFit="1" customWidth="1"/>
    <col min="15362" max="15362" width="1.85546875" style="2110" customWidth="1"/>
    <col min="15363" max="15363" width="12.28515625" style="2110" customWidth="1"/>
    <col min="15364" max="15364" width="2.28515625" style="2110" customWidth="1"/>
    <col min="15365" max="15365" width="13.140625" style="2110" bestFit="1" customWidth="1"/>
    <col min="15366" max="15366" width="1.85546875" style="2110" customWidth="1"/>
    <col min="15367" max="15367" width="12.28515625" style="2110" customWidth="1"/>
    <col min="15368" max="15368" width="1.85546875" style="2110" customWidth="1"/>
    <col min="15369" max="15369" width="10.5703125" style="2110" customWidth="1"/>
    <col min="15370" max="15370" width="4.42578125" style="2110" customWidth="1"/>
    <col min="15371" max="15371" width="13.28515625" style="2110" bestFit="1" customWidth="1"/>
    <col min="15372" max="15372" width="1" style="2110" customWidth="1"/>
    <col min="15373" max="15373" width="12.5703125" style="2110" customWidth="1"/>
    <col min="15374" max="15374" width="16.140625" style="2110" customWidth="1"/>
    <col min="15375" max="15375" width="12.42578125" style="2110" customWidth="1"/>
    <col min="15376" max="15376" width="17.28515625" style="2110" customWidth="1"/>
    <col min="15377" max="15379" width="18.42578125" style="2110" customWidth="1"/>
    <col min="15380" max="15610" width="16.7109375" style="2110"/>
    <col min="15611" max="15611" width="6.5703125" style="2110" customWidth="1"/>
    <col min="15612" max="15612" width="41.85546875" style="2110" customWidth="1"/>
    <col min="15613" max="15613" width="9.85546875" style="2110" customWidth="1"/>
    <col min="15614" max="15614" width="1.85546875" style="2110" customWidth="1"/>
    <col min="15615" max="15615" width="11" style="2110" customWidth="1"/>
    <col min="15616" max="15616" width="5.28515625" style="2110" customWidth="1"/>
    <col min="15617" max="15617" width="11.5703125" style="2110" bestFit="1" customWidth="1"/>
    <col min="15618" max="15618" width="1.85546875" style="2110" customWidth="1"/>
    <col min="15619" max="15619" width="12.28515625" style="2110" customWidth="1"/>
    <col min="15620" max="15620" width="2.28515625" style="2110" customWidth="1"/>
    <col min="15621" max="15621" width="13.140625" style="2110" bestFit="1" customWidth="1"/>
    <col min="15622" max="15622" width="1.85546875" style="2110" customWidth="1"/>
    <col min="15623" max="15623" width="12.28515625" style="2110" customWidth="1"/>
    <col min="15624" max="15624" width="1.85546875" style="2110" customWidth="1"/>
    <col min="15625" max="15625" width="10.5703125" style="2110" customWidth="1"/>
    <col min="15626" max="15626" width="4.42578125" style="2110" customWidth="1"/>
    <col min="15627" max="15627" width="13.28515625" style="2110" bestFit="1" customWidth="1"/>
    <col min="15628" max="15628" width="1" style="2110" customWidth="1"/>
    <col min="15629" max="15629" width="12.5703125" style="2110" customWidth="1"/>
    <col min="15630" max="15630" width="16.140625" style="2110" customWidth="1"/>
    <col min="15631" max="15631" width="12.42578125" style="2110" customWidth="1"/>
    <col min="15632" max="15632" width="17.28515625" style="2110" customWidth="1"/>
    <col min="15633" max="15635" width="18.42578125" style="2110" customWidth="1"/>
    <col min="15636" max="15866" width="16.7109375" style="2110"/>
    <col min="15867" max="15867" width="6.5703125" style="2110" customWidth="1"/>
    <col min="15868" max="15868" width="41.85546875" style="2110" customWidth="1"/>
    <col min="15869" max="15869" width="9.85546875" style="2110" customWidth="1"/>
    <col min="15870" max="15870" width="1.85546875" style="2110" customWidth="1"/>
    <col min="15871" max="15871" width="11" style="2110" customWidth="1"/>
    <col min="15872" max="15872" width="5.28515625" style="2110" customWidth="1"/>
    <col min="15873" max="15873" width="11.5703125" style="2110" bestFit="1" customWidth="1"/>
    <col min="15874" max="15874" width="1.85546875" style="2110" customWidth="1"/>
    <col min="15875" max="15875" width="12.28515625" style="2110" customWidth="1"/>
    <col min="15876" max="15876" width="2.28515625" style="2110" customWidth="1"/>
    <col min="15877" max="15877" width="13.140625" style="2110" bestFit="1" customWidth="1"/>
    <col min="15878" max="15878" width="1.85546875" style="2110" customWidth="1"/>
    <col min="15879" max="15879" width="12.28515625" style="2110" customWidth="1"/>
    <col min="15880" max="15880" width="1.85546875" style="2110" customWidth="1"/>
    <col min="15881" max="15881" width="10.5703125" style="2110" customWidth="1"/>
    <col min="15882" max="15882" width="4.42578125" style="2110" customWidth="1"/>
    <col min="15883" max="15883" width="13.28515625" style="2110" bestFit="1" customWidth="1"/>
    <col min="15884" max="15884" width="1" style="2110" customWidth="1"/>
    <col min="15885" max="15885" width="12.5703125" style="2110" customWidth="1"/>
    <col min="15886" max="15886" width="16.140625" style="2110" customWidth="1"/>
    <col min="15887" max="15887" width="12.42578125" style="2110" customWidth="1"/>
    <col min="15888" max="15888" width="17.28515625" style="2110" customWidth="1"/>
    <col min="15889" max="15891" width="18.42578125" style="2110" customWidth="1"/>
    <col min="15892" max="16122" width="16.7109375" style="2110"/>
    <col min="16123" max="16123" width="6.5703125" style="2110" customWidth="1"/>
    <col min="16124" max="16124" width="41.85546875" style="2110" customWidth="1"/>
    <col min="16125" max="16125" width="9.85546875" style="2110" customWidth="1"/>
    <col min="16126" max="16126" width="1.85546875" style="2110" customWidth="1"/>
    <col min="16127" max="16127" width="11" style="2110" customWidth="1"/>
    <col min="16128" max="16128" width="5.28515625" style="2110" customWidth="1"/>
    <col min="16129" max="16129" width="11.5703125" style="2110" bestFit="1" customWidth="1"/>
    <col min="16130" max="16130" width="1.85546875" style="2110" customWidth="1"/>
    <col min="16131" max="16131" width="12.28515625" style="2110" customWidth="1"/>
    <col min="16132" max="16132" width="2.28515625" style="2110" customWidth="1"/>
    <col min="16133" max="16133" width="13.140625" style="2110" bestFit="1" customWidth="1"/>
    <col min="16134" max="16134" width="1.85546875" style="2110" customWidth="1"/>
    <col min="16135" max="16135" width="12.28515625" style="2110" customWidth="1"/>
    <col min="16136" max="16136" width="1.85546875" style="2110" customWidth="1"/>
    <col min="16137" max="16137" width="10.5703125" style="2110" customWidth="1"/>
    <col min="16138" max="16138" width="4.42578125" style="2110" customWidth="1"/>
    <col min="16139" max="16139" width="13.28515625" style="2110" bestFit="1" customWidth="1"/>
    <col min="16140" max="16140" width="1" style="2110" customWidth="1"/>
    <col min="16141" max="16141" width="12.5703125" style="2110" customWidth="1"/>
    <col min="16142" max="16142" width="16.140625" style="2110" customWidth="1"/>
    <col min="16143" max="16143" width="12.42578125" style="2110" customWidth="1"/>
    <col min="16144" max="16144" width="17.28515625" style="2110" customWidth="1"/>
    <col min="16145" max="16147" width="18.42578125" style="2110" customWidth="1"/>
    <col min="16148" max="16384" width="16.7109375" style="2110"/>
  </cols>
  <sheetData>
    <row r="1" spans="1:20" s="2105" customFormat="1" ht="12.75" hidden="1" customHeight="1" x14ac:dyDescent="0.2">
      <c r="A1" s="2102"/>
      <c r="B1" s="2103"/>
      <c r="C1" s="2103"/>
      <c r="D1" s="2103"/>
      <c r="E1" s="2103"/>
      <c r="F1" s="2102"/>
      <c r="G1" s="2103"/>
      <c r="H1" s="2103"/>
      <c r="I1" s="2193"/>
      <c r="J1" s="2102"/>
      <c r="K1" s="2103"/>
      <c r="L1" s="2103"/>
      <c r="M1" s="2103"/>
      <c r="N1" s="2103"/>
      <c r="O1" s="2103"/>
      <c r="P1" s="2102"/>
      <c r="Q1" s="2103"/>
      <c r="R1" s="2103"/>
      <c r="S1" s="2104"/>
      <c r="T1" s="2103"/>
    </row>
    <row r="2" spans="1:20" ht="12.75" hidden="1" customHeight="1" x14ac:dyDescent="0.2">
      <c r="A2" s="2106"/>
      <c r="B2" s="2107"/>
      <c r="C2" s="2106"/>
      <c r="D2" s="2106"/>
      <c r="E2" s="2106"/>
      <c r="F2" s="2106"/>
      <c r="G2" s="2106"/>
      <c r="H2" s="2106"/>
      <c r="I2" s="2194"/>
      <c r="J2" s="2109"/>
      <c r="M2" s="2111"/>
      <c r="N2" s="2108"/>
      <c r="P2" s="2108"/>
      <c r="Q2" s="2108"/>
      <c r="R2" s="2109"/>
      <c r="S2" s="2108" t="s">
        <v>1159</v>
      </c>
      <c r="T2" s="2103"/>
    </row>
    <row r="3" spans="1:20" ht="12.75" hidden="1" customHeight="1" x14ac:dyDescent="0.2">
      <c r="A3" s="2106"/>
      <c r="B3" s="2112"/>
      <c r="C3" s="2106"/>
      <c r="D3" s="2106"/>
      <c r="E3" s="2106"/>
      <c r="F3" s="2106"/>
      <c r="G3" s="2106"/>
      <c r="H3" s="2106"/>
      <c r="I3" s="2194"/>
      <c r="J3" s="2109"/>
      <c r="M3" s="2111"/>
      <c r="N3" s="2111"/>
      <c r="O3" s="2111"/>
      <c r="P3" s="2108"/>
      <c r="Q3" s="2108"/>
      <c r="R3" s="2109"/>
      <c r="S3" s="2108"/>
      <c r="T3" s="2103"/>
    </row>
    <row r="4" spans="1:20" ht="15" hidden="1" customHeight="1" x14ac:dyDescent="0.2">
      <c r="A4" s="2106"/>
      <c r="B4" s="2112"/>
      <c r="C4" s="2106"/>
      <c r="D4" s="2106"/>
      <c r="E4" s="2106"/>
      <c r="F4" s="2106"/>
      <c r="G4" s="2106"/>
      <c r="H4" s="2106"/>
      <c r="I4" s="2194"/>
      <c r="J4" s="2108"/>
      <c r="K4" s="2108"/>
      <c r="M4" s="2113"/>
      <c r="N4" s="2108"/>
      <c r="O4" s="2108"/>
      <c r="P4" s="2108"/>
      <c r="Q4" s="2108"/>
      <c r="R4" s="2109"/>
      <c r="S4" s="2108"/>
      <c r="T4" s="2103"/>
    </row>
    <row r="5" spans="1:20" ht="15.75" x14ac:dyDescent="0.2">
      <c r="A5" s="2845" t="s">
        <v>2063</v>
      </c>
      <c r="B5" s="2845"/>
      <c r="C5" s="2845"/>
      <c r="D5" s="2845"/>
      <c r="E5" s="2845"/>
      <c r="F5" s="2845"/>
      <c r="G5" s="2845"/>
      <c r="H5" s="2845"/>
      <c r="I5" s="2845"/>
      <c r="J5" s="2845"/>
      <c r="K5" s="2845"/>
      <c r="L5" s="2845"/>
      <c r="M5" s="2845"/>
      <c r="N5" s="2845"/>
      <c r="O5" s="2845"/>
      <c r="P5" s="2845"/>
      <c r="Q5" s="2845"/>
      <c r="R5" s="2845"/>
      <c r="S5" s="2845"/>
      <c r="T5" s="2103"/>
    </row>
    <row r="6" spans="1:20" ht="15.75" x14ac:dyDescent="0.2">
      <c r="A6" s="2845" t="s">
        <v>2062</v>
      </c>
      <c r="B6" s="2845"/>
      <c r="C6" s="2845"/>
      <c r="D6" s="2845"/>
      <c r="E6" s="2845"/>
      <c r="F6" s="2845"/>
      <c r="G6" s="2845"/>
      <c r="H6" s="2845"/>
      <c r="I6" s="2845"/>
      <c r="J6" s="2845"/>
      <c r="K6" s="2845"/>
      <c r="L6" s="2845"/>
      <c r="M6" s="2845"/>
      <c r="N6" s="2845"/>
      <c r="O6" s="2845"/>
      <c r="P6" s="2845"/>
      <c r="Q6" s="2845"/>
      <c r="R6" s="2845"/>
      <c r="S6" s="2845"/>
      <c r="T6" s="2103"/>
    </row>
    <row r="7" spans="1:20" ht="14.25" customHeight="1" x14ac:dyDescent="0.2">
      <c r="A7" s="2845" t="s">
        <v>1208</v>
      </c>
      <c r="B7" s="2845"/>
      <c r="C7" s="2845"/>
      <c r="D7" s="2845"/>
      <c r="E7" s="2845"/>
      <c r="F7" s="2845"/>
      <c r="G7" s="2845"/>
      <c r="H7" s="2845"/>
      <c r="I7" s="2845"/>
      <c r="J7" s="2845"/>
      <c r="K7" s="2845"/>
      <c r="L7" s="2845"/>
      <c r="M7" s="2845"/>
      <c r="N7" s="2845"/>
      <c r="O7" s="2845"/>
      <c r="P7" s="2845"/>
      <c r="Q7" s="2845"/>
      <c r="R7" s="2845"/>
      <c r="S7" s="2845"/>
      <c r="T7" s="2103"/>
    </row>
    <row r="8" spans="1:20" ht="15" customHeight="1" x14ac:dyDescent="0.2">
      <c r="A8" s="2846" t="s">
        <v>2093</v>
      </c>
      <c r="B8" s="2846"/>
      <c r="C8" s="2846"/>
      <c r="D8" s="2846"/>
      <c r="E8" s="2846"/>
      <c r="F8" s="2846"/>
      <c r="G8" s="2846"/>
      <c r="H8" s="2846"/>
      <c r="I8" s="2846"/>
      <c r="J8" s="2846"/>
      <c r="K8" s="2846"/>
      <c r="L8" s="2846"/>
      <c r="M8" s="2846"/>
      <c r="N8" s="2846"/>
      <c r="O8" s="2846"/>
      <c r="P8" s="2846"/>
      <c r="Q8" s="2846"/>
      <c r="R8" s="2846"/>
      <c r="S8" s="2846"/>
      <c r="T8" s="2103"/>
    </row>
    <row r="9" spans="1:20" ht="10.15" customHeight="1" x14ac:dyDescent="0.2">
      <c r="A9" s="2106"/>
      <c r="B9" s="2106"/>
      <c r="C9" s="2106"/>
      <c r="D9" s="2106"/>
      <c r="E9" s="2106"/>
      <c r="F9" s="2106"/>
      <c r="G9" s="2114"/>
      <c r="H9" s="2108"/>
      <c r="I9" s="2195"/>
      <c r="J9" s="2109"/>
      <c r="K9" s="2114"/>
      <c r="L9" s="2108"/>
      <c r="M9" s="2108"/>
      <c r="N9" s="2108"/>
      <c r="O9" s="2108"/>
      <c r="P9" s="2109"/>
      <c r="Q9" s="2108"/>
      <c r="R9" s="2108"/>
      <c r="S9" s="2108"/>
      <c r="T9" s="2103"/>
    </row>
    <row r="10" spans="1:20" ht="15" customHeight="1" x14ac:dyDescent="0.2">
      <c r="A10" s="2115"/>
      <c r="B10" s="2115"/>
      <c r="C10" s="2115"/>
      <c r="D10" s="2115"/>
      <c r="E10" s="2115"/>
      <c r="F10" s="2115"/>
      <c r="G10" s="2116"/>
      <c r="H10" s="2117"/>
      <c r="I10" s="2196"/>
      <c r="J10" s="2118"/>
      <c r="K10" s="2116"/>
      <c r="L10" s="2117"/>
      <c r="M10" s="2117"/>
      <c r="N10" s="2117"/>
      <c r="O10" s="2117"/>
      <c r="P10" s="2118"/>
      <c r="Q10" s="2117"/>
      <c r="R10" s="2117"/>
      <c r="S10" s="2117"/>
      <c r="T10" s="2103"/>
    </row>
    <row r="11" spans="1:20" ht="17.45" customHeight="1" x14ac:dyDescent="0.2">
      <c r="B11" s="2114"/>
      <c r="C11" s="2108"/>
      <c r="D11" s="2108"/>
      <c r="E11" s="2109" t="s">
        <v>2094</v>
      </c>
      <c r="F11" s="2109"/>
      <c r="G11" s="2119" t="s">
        <v>2095</v>
      </c>
      <c r="H11" s="2119"/>
      <c r="I11" s="2197"/>
      <c r="J11" s="2109"/>
      <c r="K11" s="2119" t="s">
        <v>2096</v>
      </c>
      <c r="L11" s="2119"/>
      <c r="M11" s="2119"/>
      <c r="N11" s="2108"/>
      <c r="O11" s="2108"/>
      <c r="P11" s="2109"/>
      <c r="Q11" s="2108"/>
      <c r="R11" s="2108"/>
      <c r="S11" s="2108"/>
      <c r="T11" s="2103"/>
    </row>
    <row r="12" spans="1:20" ht="18.75" customHeight="1" x14ac:dyDescent="0.2">
      <c r="B12" s="2114"/>
      <c r="C12" s="2109" t="s">
        <v>1253</v>
      </c>
      <c r="D12" s="2108"/>
      <c r="E12" s="2109" t="s">
        <v>2097</v>
      </c>
      <c r="F12" s="2109"/>
      <c r="G12" s="2109" t="s">
        <v>2098</v>
      </c>
      <c r="H12" s="2108"/>
      <c r="I12" s="2198" t="s">
        <v>2099</v>
      </c>
      <c r="J12" s="2109"/>
      <c r="K12" s="2109" t="s">
        <v>2098</v>
      </c>
      <c r="L12" s="2108"/>
      <c r="M12" s="2120" t="str">
        <f>+I12</f>
        <v>7/01/19-</v>
      </c>
      <c r="N12" s="2108"/>
      <c r="O12" s="2109" t="s">
        <v>1250</v>
      </c>
      <c r="P12" s="2109"/>
      <c r="Q12" s="2109" t="s">
        <v>2100</v>
      </c>
      <c r="R12" s="2108"/>
      <c r="S12" s="2114" t="s">
        <v>1159</v>
      </c>
      <c r="T12" s="2103"/>
    </row>
    <row r="13" spans="1:20" ht="15.75" customHeight="1" x14ac:dyDescent="0.2">
      <c r="A13" s="2114" t="s">
        <v>2101</v>
      </c>
      <c r="B13" s="2114"/>
      <c r="C13" s="2109" t="s">
        <v>2102</v>
      </c>
      <c r="D13" s="2108"/>
      <c r="E13" s="2109" t="s">
        <v>2102</v>
      </c>
      <c r="F13" s="2109"/>
      <c r="G13" s="2121" t="s">
        <v>2103</v>
      </c>
      <c r="H13" s="2108"/>
      <c r="I13" s="2199" t="s">
        <v>2104</v>
      </c>
      <c r="J13" s="2109"/>
      <c r="K13" s="2122" t="str">
        <f>+G13</f>
        <v>6/30/19</v>
      </c>
      <c r="L13" s="2108"/>
      <c r="M13" s="2122" t="str">
        <f>+I13</f>
        <v>6/30/20</v>
      </c>
      <c r="N13" s="2108"/>
      <c r="O13" s="2109" t="s">
        <v>2105</v>
      </c>
      <c r="P13" s="2109"/>
      <c r="Q13" s="2109" t="s">
        <v>1246</v>
      </c>
      <c r="R13" s="2108"/>
      <c r="S13" s="2109" t="s">
        <v>30</v>
      </c>
      <c r="T13" s="2103"/>
    </row>
    <row r="14" spans="1:20" ht="18" customHeight="1" x14ac:dyDescent="0.2">
      <c r="A14" s="2123" t="s">
        <v>2106</v>
      </c>
      <c r="B14" s="2108"/>
      <c r="C14" s="2124" t="s">
        <v>2107</v>
      </c>
      <c r="D14" s="2108"/>
      <c r="E14" s="2124" t="s">
        <v>2108</v>
      </c>
      <c r="F14" s="2109"/>
      <c r="G14" s="2124" t="s">
        <v>2109</v>
      </c>
      <c r="H14" s="2108"/>
      <c r="I14" s="2200" t="s">
        <v>2110</v>
      </c>
      <c r="J14" s="2109"/>
      <c r="K14" s="2124" t="s">
        <v>2111</v>
      </c>
      <c r="L14" s="2108"/>
      <c r="M14" s="2124" t="s">
        <v>2112</v>
      </c>
      <c r="N14" s="2108"/>
      <c r="O14" s="2124" t="s">
        <v>2113</v>
      </c>
      <c r="P14" s="2109" t="s">
        <v>2114</v>
      </c>
      <c r="Q14" s="2124" t="s">
        <v>2115</v>
      </c>
      <c r="R14" s="2108"/>
      <c r="S14" s="2124" t="s">
        <v>2116</v>
      </c>
      <c r="T14" s="2103"/>
    </row>
    <row r="15" spans="1:20" ht="8.25" customHeight="1" x14ac:dyDescent="0.2">
      <c r="A15" s="2123"/>
      <c r="B15" s="2108"/>
      <c r="C15" s="2124"/>
      <c r="D15" s="2108"/>
      <c r="E15" s="2124"/>
      <c r="F15" s="2109"/>
      <c r="G15" s="2124"/>
      <c r="H15" s="2108"/>
      <c r="I15" s="2200"/>
      <c r="J15" s="2109"/>
      <c r="K15" s="2124"/>
      <c r="L15" s="2108"/>
      <c r="M15" s="2124"/>
      <c r="N15" s="2108"/>
      <c r="O15" s="2124"/>
      <c r="P15" s="2109"/>
      <c r="Q15" s="2124"/>
      <c r="R15" s="2108"/>
      <c r="S15" s="2124"/>
      <c r="T15" s="2103"/>
    </row>
    <row r="16" spans="1:20" ht="15" customHeight="1" x14ac:dyDescent="0.2">
      <c r="A16" s="2125" t="s">
        <v>2117</v>
      </c>
      <c r="B16" s="2108"/>
      <c r="C16" s="2109"/>
      <c r="D16" s="2108"/>
      <c r="E16" s="2109"/>
      <c r="F16" s="2109"/>
      <c r="G16" s="2109"/>
      <c r="H16" s="2108"/>
      <c r="I16" s="2201"/>
      <c r="J16" s="2109"/>
      <c r="K16" s="2109"/>
      <c r="L16" s="2108"/>
      <c r="M16" s="2109"/>
      <c r="N16" s="2108"/>
      <c r="O16" s="2109"/>
      <c r="P16" s="2109"/>
      <c r="Q16" s="2109"/>
      <c r="R16" s="2108"/>
      <c r="S16" s="2109"/>
      <c r="T16" s="2103"/>
    </row>
    <row r="17" spans="1:20" ht="15" customHeight="1" x14ac:dyDescent="0.2">
      <c r="A17" s="2125" t="s">
        <v>2118</v>
      </c>
      <c r="B17" s="2108"/>
      <c r="C17" s="2124"/>
      <c r="D17" s="2108"/>
      <c r="E17" s="2124"/>
      <c r="F17" s="2109"/>
      <c r="G17" s="2124"/>
      <c r="H17" s="2108"/>
      <c r="I17" s="2200"/>
      <c r="J17" s="2109"/>
      <c r="K17" s="2124"/>
      <c r="L17" s="2108"/>
      <c r="M17" s="2124"/>
      <c r="N17" s="2108"/>
      <c r="O17" s="2124"/>
      <c r="P17" s="2109"/>
      <c r="Q17" s="2124"/>
      <c r="R17" s="2108"/>
      <c r="S17" s="2124"/>
      <c r="T17" s="2103"/>
    </row>
    <row r="18" spans="1:20" ht="15" customHeight="1" x14ac:dyDescent="0.2">
      <c r="A18" s="2113" t="s">
        <v>2119</v>
      </c>
      <c r="C18" s="2108"/>
      <c r="D18" s="2108"/>
      <c r="E18" s="2108"/>
      <c r="F18" s="2109"/>
      <c r="G18" s="2108"/>
      <c r="H18" s="2108"/>
      <c r="I18" s="2194" t="s">
        <v>1159</v>
      </c>
      <c r="J18" s="2109"/>
      <c r="K18" s="2108"/>
      <c r="L18" s="2108"/>
      <c r="M18" s="2108"/>
      <c r="N18" s="2108"/>
      <c r="O18" s="2108"/>
      <c r="P18" s="2109"/>
      <c r="Q18" s="2108"/>
      <c r="R18" s="2108"/>
      <c r="S18" s="2108"/>
      <c r="T18" s="2103"/>
    </row>
    <row r="19" spans="1:20" ht="6.75" customHeight="1" x14ac:dyDescent="0.2">
      <c r="B19" s="2108"/>
      <c r="C19" s="2108"/>
      <c r="D19" s="2108"/>
      <c r="E19" s="2108"/>
      <c r="F19" s="2109"/>
      <c r="G19" s="2108"/>
      <c r="H19" s="2108"/>
      <c r="I19" s="2194"/>
      <c r="J19" s="2109"/>
      <c r="K19" s="2108"/>
      <c r="L19" s="2108"/>
      <c r="M19" s="2108"/>
      <c r="N19" s="2108"/>
      <c r="O19" s="2108"/>
      <c r="P19" s="2109"/>
      <c r="Q19" s="2108"/>
      <c r="R19" s="2108"/>
      <c r="S19" s="2108"/>
      <c r="T19" s="2103"/>
    </row>
    <row r="20" spans="1:20" ht="15" customHeight="1" x14ac:dyDescent="0.2">
      <c r="A20" s="2126" t="s">
        <v>2257</v>
      </c>
      <c r="B20" s="2114" t="s">
        <v>1049</v>
      </c>
      <c r="C20" s="2127" t="s">
        <v>2120</v>
      </c>
      <c r="D20" s="2108"/>
      <c r="E20" s="2109" t="s">
        <v>2121</v>
      </c>
      <c r="F20" s="2109"/>
      <c r="G20" s="2128">
        <v>195706</v>
      </c>
      <c r="H20" s="2129"/>
      <c r="I20" s="2188">
        <v>62365</v>
      </c>
      <c r="J20" s="2128">
        <v>0</v>
      </c>
      <c r="K20" s="2128">
        <v>223119</v>
      </c>
      <c r="L20" s="2128"/>
      <c r="M20" s="2128">
        <v>34952</v>
      </c>
      <c r="N20" s="2128"/>
      <c r="O20" s="2128"/>
      <c r="P20" s="2129"/>
      <c r="Q20" s="2130">
        <f>K20+M20+O20</f>
        <v>258071</v>
      </c>
      <c r="R20" s="2128"/>
      <c r="S20" s="2131" t="s">
        <v>2122</v>
      </c>
      <c r="T20" s="2103"/>
    </row>
    <row r="21" spans="1:20" ht="15" customHeight="1" x14ac:dyDescent="0.2">
      <c r="A21" s="2126" t="s">
        <v>2257</v>
      </c>
      <c r="B21" s="2114" t="s">
        <v>1049</v>
      </c>
      <c r="C21" s="2127">
        <v>10.555</v>
      </c>
      <c r="D21" s="2108"/>
      <c r="E21" s="2109" t="s">
        <v>2123</v>
      </c>
      <c r="F21" s="2109"/>
      <c r="G21" s="2128"/>
      <c r="H21" s="2128"/>
      <c r="I21" s="2188">
        <v>138301</v>
      </c>
      <c r="J21" s="2129"/>
      <c r="K21" s="2128"/>
      <c r="L21" s="2128"/>
      <c r="M21" s="2128">
        <v>138301</v>
      </c>
      <c r="N21" s="2128"/>
      <c r="O21" s="2128"/>
      <c r="P21" s="2132" t="s">
        <v>2124</v>
      </c>
      <c r="Q21" s="2130">
        <f>K21+M21+O21</f>
        <v>138301</v>
      </c>
      <c r="R21" s="2128"/>
      <c r="S21" s="2131" t="s">
        <v>2122</v>
      </c>
      <c r="T21" s="2103"/>
    </row>
    <row r="22" spans="1:20" ht="15" customHeight="1" x14ac:dyDescent="0.2">
      <c r="A22" s="2126"/>
      <c r="B22" s="2114"/>
      <c r="C22" s="2127"/>
      <c r="D22" s="2108"/>
      <c r="E22" s="2109"/>
      <c r="F22" s="2109"/>
      <c r="G22" s="2128"/>
      <c r="H22" s="2128"/>
      <c r="I22" s="2188"/>
      <c r="J22" s="2129"/>
      <c r="K22" s="2128"/>
      <c r="L22" s="2128"/>
      <c r="M22" s="2128"/>
      <c r="N22" s="2128"/>
      <c r="O22" s="2128"/>
      <c r="P22" s="2129"/>
      <c r="Q22" s="2130"/>
      <c r="R22" s="2128"/>
      <c r="S22" s="2131"/>
      <c r="T22" s="2103"/>
    </row>
    <row r="23" spans="1:20" ht="15" customHeight="1" x14ac:dyDescent="0.2">
      <c r="A23" s="2126"/>
      <c r="B23" s="2114" t="s">
        <v>2125</v>
      </c>
      <c r="C23" s="2127">
        <v>10.555</v>
      </c>
      <c r="D23" s="2108"/>
      <c r="E23" s="2109" t="s">
        <v>2126</v>
      </c>
      <c r="F23" s="2109"/>
      <c r="G23" s="2128"/>
      <c r="H23" s="2128"/>
      <c r="I23" s="2188"/>
      <c r="J23" s="2129"/>
      <c r="K23" s="2128">
        <v>14089</v>
      </c>
      <c r="L23" s="2128"/>
      <c r="M23" s="2128"/>
      <c r="N23" s="2128"/>
      <c r="O23" s="2128"/>
      <c r="P23" s="2129"/>
      <c r="Q23" s="2130">
        <f>K23+M23+O23</f>
        <v>14089</v>
      </c>
      <c r="R23" s="2128"/>
      <c r="S23" s="2131" t="s">
        <v>2122</v>
      </c>
      <c r="T23" s="2103"/>
    </row>
    <row r="24" spans="1:20" ht="15" customHeight="1" x14ac:dyDescent="0.2">
      <c r="A24" s="2126" t="s">
        <v>2257</v>
      </c>
      <c r="B24" s="2114" t="s">
        <v>2125</v>
      </c>
      <c r="C24" s="2127">
        <v>10.555</v>
      </c>
      <c r="D24" s="2108"/>
      <c r="E24" s="2109" t="s">
        <v>2127</v>
      </c>
      <c r="F24" s="2109"/>
      <c r="G24" s="2128"/>
      <c r="H24" s="2128"/>
      <c r="I24" s="2188"/>
      <c r="J24" s="2129"/>
      <c r="K24" s="2128"/>
      <c r="L24" s="2128"/>
      <c r="M24" s="2128">
        <v>8940</v>
      </c>
      <c r="N24" s="2128"/>
      <c r="O24" s="2128"/>
      <c r="P24" s="2132" t="s">
        <v>2128</v>
      </c>
      <c r="Q24" s="2130">
        <f>K24+M24+O24</f>
        <v>8940</v>
      </c>
      <c r="R24" s="2128"/>
      <c r="S24" s="2131" t="s">
        <v>2122</v>
      </c>
      <c r="T24" s="2103"/>
    </row>
    <row r="25" spans="1:20" ht="15" customHeight="1" x14ac:dyDescent="0.2">
      <c r="A25" s="2126"/>
      <c r="B25" s="2114"/>
      <c r="C25" s="2127"/>
      <c r="D25" s="2108"/>
      <c r="E25" s="2109"/>
      <c r="F25" s="2109"/>
      <c r="G25" s="2128"/>
      <c r="H25" s="2128"/>
      <c r="I25" s="2188"/>
      <c r="J25" s="2129"/>
      <c r="K25" s="2128"/>
      <c r="L25" s="2128"/>
      <c r="M25" s="2128"/>
      <c r="N25" s="2128"/>
      <c r="O25" s="2128"/>
      <c r="P25" s="2129"/>
      <c r="Q25" s="2130"/>
      <c r="R25" s="2128"/>
      <c r="S25" s="2131"/>
      <c r="T25" s="2103"/>
    </row>
    <row r="26" spans="1:20" ht="15" customHeight="1" x14ac:dyDescent="0.2">
      <c r="A26" s="2126"/>
      <c r="B26" s="2114" t="s">
        <v>2129</v>
      </c>
      <c r="C26" s="2127">
        <v>10.555</v>
      </c>
      <c r="D26" s="2108"/>
      <c r="E26" s="2109" t="s">
        <v>2126</v>
      </c>
      <c r="F26" s="2109"/>
      <c r="G26" s="2128"/>
      <c r="H26" s="2128"/>
      <c r="I26" s="2188"/>
      <c r="J26" s="2129"/>
      <c r="K26" s="2128">
        <v>16660</v>
      </c>
      <c r="L26" s="2128"/>
      <c r="M26" s="2128"/>
      <c r="N26" s="2128"/>
      <c r="O26" s="2128"/>
      <c r="P26" s="2129"/>
      <c r="Q26" s="2130">
        <f>K26+M26+O26</f>
        <v>16660</v>
      </c>
      <c r="R26" s="2128"/>
      <c r="S26" s="2131" t="s">
        <v>2122</v>
      </c>
      <c r="T26" s="2103"/>
    </row>
    <row r="27" spans="1:20" ht="15" customHeight="1" x14ac:dyDescent="0.2">
      <c r="A27" s="2126" t="s">
        <v>2257</v>
      </c>
      <c r="B27" s="2114" t="s">
        <v>2129</v>
      </c>
      <c r="C27" s="2127">
        <v>10.555</v>
      </c>
      <c r="D27" s="2108"/>
      <c r="E27" s="2109" t="s">
        <v>2127</v>
      </c>
      <c r="F27" s="2109"/>
      <c r="G27" s="2133">
        <v>0</v>
      </c>
      <c r="H27" s="2128"/>
      <c r="I27" s="2202">
        <v>0</v>
      </c>
      <c r="J27" s="2129"/>
      <c r="K27" s="2133">
        <v>0</v>
      </c>
      <c r="L27" s="2128"/>
      <c r="M27" s="2133">
        <v>17656</v>
      </c>
      <c r="N27" s="2128"/>
      <c r="O27" s="2133">
        <v>0</v>
      </c>
      <c r="P27" s="2132" t="s">
        <v>2128</v>
      </c>
      <c r="Q27" s="2134">
        <f>K27+M27+O27</f>
        <v>17656</v>
      </c>
      <c r="R27" s="2128"/>
      <c r="S27" s="2131" t="s">
        <v>2122</v>
      </c>
      <c r="T27" s="2103"/>
    </row>
    <row r="28" spans="1:20" ht="15" customHeight="1" x14ac:dyDescent="0.2">
      <c r="A28" s="2126"/>
      <c r="B28" s="2114"/>
      <c r="C28" s="2127" t="s">
        <v>2130</v>
      </c>
      <c r="D28" s="2108"/>
      <c r="E28" s="2109"/>
      <c r="F28" s="2109"/>
      <c r="G28" s="2133">
        <f>SUM(G20:G27)</f>
        <v>195706</v>
      </c>
      <c r="H28" s="2128"/>
      <c r="I28" s="2202">
        <f>SUM(I20:I27)</f>
        <v>200666</v>
      </c>
      <c r="J28" s="2129"/>
      <c r="K28" s="2133">
        <f>SUM(K20:K27)</f>
        <v>253868</v>
      </c>
      <c r="L28" s="2128"/>
      <c r="M28" s="2133">
        <f>SUM(M20:M27)</f>
        <v>199849</v>
      </c>
      <c r="N28" s="2128"/>
      <c r="O28" s="2133">
        <f>SUM(O20:O27)</f>
        <v>0</v>
      </c>
      <c r="P28" s="2129"/>
      <c r="Q28" s="2134">
        <f>SUM(Q20:Q27)</f>
        <v>453717</v>
      </c>
      <c r="R28" s="2128"/>
      <c r="S28" s="2131"/>
      <c r="T28" s="2103"/>
    </row>
    <row r="29" spans="1:20" ht="6.75" customHeight="1" x14ac:dyDescent="0.2">
      <c r="A29" s="2126"/>
      <c r="B29" s="2114"/>
      <c r="C29" s="2127"/>
      <c r="D29" s="2108"/>
      <c r="E29" s="2109"/>
      <c r="F29" s="2109"/>
      <c r="G29" s="2128"/>
      <c r="H29" s="2128"/>
      <c r="I29" s="2188"/>
      <c r="J29" s="2129"/>
      <c r="K29" s="2128"/>
      <c r="L29" s="2128"/>
      <c r="M29" s="2128"/>
      <c r="N29" s="2128"/>
      <c r="O29" s="2128"/>
      <c r="P29" s="2129"/>
      <c r="Q29" s="2130"/>
      <c r="R29" s="2128"/>
      <c r="S29" s="2131"/>
      <c r="T29" s="2103"/>
    </row>
    <row r="30" spans="1:20" ht="15" customHeight="1" x14ac:dyDescent="0.2">
      <c r="A30" s="2126" t="s">
        <v>2257</v>
      </c>
      <c r="B30" s="2114" t="s">
        <v>1050</v>
      </c>
      <c r="C30" s="2127">
        <v>10.553000000000001</v>
      </c>
      <c r="D30" s="2108"/>
      <c r="E30" s="2109" t="s">
        <v>2131</v>
      </c>
      <c r="F30" s="2109"/>
      <c r="G30" s="2128">
        <v>71246</v>
      </c>
      <c r="H30" s="2129"/>
      <c r="I30" s="2188">
        <v>24891</v>
      </c>
      <c r="J30" s="2128"/>
      <c r="K30" s="2128">
        <v>82741</v>
      </c>
      <c r="L30" s="2128"/>
      <c r="M30" s="2128">
        <v>13396</v>
      </c>
      <c r="N30" s="2128"/>
      <c r="O30" s="2128" t="s">
        <v>1159</v>
      </c>
      <c r="P30" s="2128"/>
      <c r="Q30" s="2130">
        <f>K30+M30+O30</f>
        <v>96137</v>
      </c>
      <c r="R30" s="2128"/>
      <c r="S30" s="2131" t="s">
        <v>2122</v>
      </c>
      <c r="T30" s="2103"/>
    </row>
    <row r="31" spans="1:20" ht="15" customHeight="1" x14ac:dyDescent="0.2">
      <c r="A31" s="2126" t="s">
        <v>2257</v>
      </c>
      <c r="B31" s="2114" t="s">
        <v>1050</v>
      </c>
      <c r="C31" s="2127">
        <v>10.553000000000001</v>
      </c>
      <c r="D31" s="2108"/>
      <c r="E31" s="2109" t="s">
        <v>2132</v>
      </c>
      <c r="F31" s="2109"/>
      <c r="G31" s="2133" t="s">
        <v>1159</v>
      </c>
      <c r="H31" s="2128"/>
      <c r="I31" s="2133">
        <v>49205</v>
      </c>
      <c r="J31" s="2133"/>
      <c r="K31" s="2133" t="s">
        <v>1159</v>
      </c>
      <c r="L31" s="2133"/>
      <c r="M31" s="2133">
        <v>49205</v>
      </c>
      <c r="N31" s="2133"/>
      <c r="O31" s="2133" t="s">
        <v>1159</v>
      </c>
      <c r="P31" s="2128" t="s">
        <v>2124</v>
      </c>
      <c r="Q31" s="2133">
        <f>K31+M31+O31</f>
        <v>49205</v>
      </c>
      <c r="R31" s="2128"/>
      <c r="S31" s="2131" t="s">
        <v>2122</v>
      </c>
      <c r="T31" s="2103"/>
    </row>
    <row r="32" spans="1:20" ht="15" customHeight="1" x14ac:dyDescent="0.2">
      <c r="A32" s="2126"/>
      <c r="B32" s="2114"/>
      <c r="C32" s="2127" t="s">
        <v>2276</v>
      </c>
      <c r="D32" s="2108"/>
      <c r="E32" s="2109"/>
      <c r="F32" s="2109"/>
      <c r="G32" s="2133">
        <f>SUM(G30:G31)</f>
        <v>71246</v>
      </c>
      <c r="H32" s="2128"/>
      <c r="I32" s="2133">
        <f>SUM(I30:I31)</f>
        <v>74096</v>
      </c>
      <c r="J32" s="2129"/>
      <c r="K32" s="2133">
        <f>SUM(K30:K31)</f>
        <v>82741</v>
      </c>
      <c r="L32" s="2128"/>
      <c r="M32" s="2133">
        <f>SUM(M30:M31)</f>
        <v>62601</v>
      </c>
      <c r="N32" s="2128"/>
      <c r="O32" s="2133">
        <f>SUM(O30:O31)</f>
        <v>0</v>
      </c>
      <c r="P32" s="2129"/>
      <c r="Q32" s="2133">
        <f>SUM(Q30:Q31)</f>
        <v>145342</v>
      </c>
      <c r="R32" s="2128"/>
      <c r="S32" s="2131"/>
      <c r="T32" s="2103"/>
    </row>
    <row r="33" spans="1:20" ht="8.25" customHeight="1" x14ac:dyDescent="0.2">
      <c r="A33" s="2126"/>
      <c r="B33" s="2114" t="s">
        <v>1159</v>
      </c>
      <c r="C33" s="2127" t="s">
        <v>1159</v>
      </c>
      <c r="D33" s="2108" t="s">
        <v>1159</v>
      </c>
      <c r="E33" s="2109" t="s">
        <v>1159</v>
      </c>
      <c r="F33" s="2109" t="s">
        <v>1159</v>
      </c>
      <c r="G33" s="2128"/>
      <c r="H33" s="2128"/>
      <c r="I33" s="2188"/>
      <c r="J33" s="2128"/>
      <c r="K33" s="2128"/>
      <c r="L33" s="2128"/>
      <c r="M33" s="2128"/>
      <c r="N33" s="2128" t="s">
        <v>1159</v>
      </c>
      <c r="O33" s="2128" t="s">
        <v>1159</v>
      </c>
      <c r="P33" s="2128"/>
      <c r="Q33" s="2130" t="s">
        <v>1159</v>
      </c>
      <c r="R33" s="2128"/>
      <c r="S33" s="2131" t="s">
        <v>1159</v>
      </c>
      <c r="T33" s="2103"/>
    </row>
    <row r="34" spans="1:20" ht="15" customHeight="1" x14ac:dyDescent="0.2">
      <c r="A34" s="2126" t="s">
        <v>2257</v>
      </c>
      <c r="B34" s="2114" t="s">
        <v>2279</v>
      </c>
      <c r="C34" s="2127">
        <v>10.555999999999999</v>
      </c>
      <c r="D34" s="2108"/>
      <c r="E34" s="2109" t="s">
        <v>2133</v>
      </c>
      <c r="F34" s="2109"/>
      <c r="G34" s="2128">
        <v>1344</v>
      </c>
      <c r="H34" s="2128"/>
      <c r="I34" s="2188">
        <v>407</v>
      </c>
      <c r="J34" s="2129"/>
      <c r="K34" s="2128">
        <v>1555</v>
      </c>
      <c r="L34" s="2128"/>
      <c r="M34" s="2128">
        <v>196</v>
      </c>
      <c r="N34" s="2128"/>
      <c r="O34" s="2128"/>
      <c r="P34" s="2129"/>
      <c r="Q34" s="2130">
        <f>K34+M34+O34</f>
        <v>1751</v>
      </c>
      <c r="R34" s="2128"/>
      <c r="S34" s="2131" t="s">
        <v>2122</v>
      </c>
      <c r="T34" s="2103"/>
    </row>
    <row r="35" spans="1:20" ht="15" customHeight="1" x14ac:dyDescent="0.2">
      <c r="A35" s="2126" t="s">
        <v>2257</v>
      </c>
      <c r="B35" s="2114" t="s">
        <v>2279</v>
      </c>
      <c r="C35" s="2127">
        <v>10.555999999999999</v>
      </c>
      <c r="D35" s="2108"/>
      <c r="E35" s="2109" t="s">
        <v>2134</v>
      </c>
      <c r="F35" s="2109"/>
      <c r="G35" s="2133" t="s">
        <v>1159</v>
      </c>
      <c r="H35" s="2135"/>
      <c r="I35" s="2133">
        <v>681</v>
      </c>
      <c r="J35" s="2133"/>
      <c r="K35" s="2133" t="s">
        <v>1159</v>
      </c>
      <c r="L35" s="2133"/>
      <c r="M35" s="2133">
        <v>681</v>
      </c>
      <c r="N35" s="2133"/>
      <c r="O35" s="2133" t="s">
        <v>1159</v>
      </c>
      <c r="P35" s="2128" t="s">
        <v>2124</v>
      </c>
      <c r="Q35" s="2133">
        <f>K35+M35+O35</f>
        <v>681</v>
      </c>
      <c r="R35" s="2128"/>
      <c r="S35" s="2131" t="s">
        <v>2122</v>
      </c>
      <c r="T35" s="2103"/>
    </row>
    <row r="36" spans="1:20" ht="15" customHeight="1" x14ac:dyDescent="0.2">
      <c r="A36" s="2126"/>
      <c r="B36" s="2114"/>
      <c r="C36" s="2127" t="s">
        <v>2277</v>
      </c>
      <c r="D36" s="2108"/>
      <c r="E36" s="2109"/>
      <c r="F36" s="2109"/>
      <c r="G36" s="2133">
        <f>SUM(G34:G35)</f>
        <v>1344</v>
      </c>
      <c r="H36" s="2128"/>
      <c r="I36" s="2133">
        <f>SUM(I34:I35)</f>
        <v>1088</v>
      </c>
      <c r="J36" s="2129"/>
      <c r="K36" s="2133">
        <f>SUM(K34:K35)</f>
        <v>1555</v>
      </c>
      <c r="L36" s="2128"/>
      <c r="M36" s="2133">
        <f>SUM(M34:M35)</f>
        <v>877</v>
      </c>
      <c r="N36" s="2128"/>
      <c r="O36" s="2133">
        <f>SUM(O34:O35)</f>
        <v>0</v>
      </c>
      <c r="P36" s="2129"/>
      <c r="Q36" s="2133">
        <f>SUM(Q34:Q35)</f>
        <v>2432</v>
      </c>
      <c r="R36" s="2128"/>
      <c r="S36" s="2131"/>
      <c r="T36" s="2103"/>
    </row>
    <row r="37" spans="1:20" ht="15" customHeight="1" x14ac:dyDescent="0.2">
      <c r="A37" s="2126"/>
      <c r="B37" s="2114"/>
      <c r="C37" s="2127"/>
      <c r="D37" s="2108"/>
      <c r="E37" s="2109"/>
      <c r="F37" s="2109"/>
      <c r="G37" s="2130"/>
      <c r="H37" s="2135"/>
      <c r="I37" s="2203"/>
      <c r="J37" s="2129"/>
      <c r="K37" s="2130"/>
      <c r="L37" s="2135"/>
      <c r="M37" s="2130"/>
      <c r="N37" s="2128"/>
      <c r="O37" s="2130"/>
      <c r="P37" s="2132"/>
      <c r="Q37" s="2130"/>
      <c r="R37" s="2128"/>
      <c r="S37" s="2131"/>
      <c r="T37" s="2103"/>
    </row>
    <row r="38" spans="1:20" ht="8.25" customHeight="1" x14ac:dyDescent="0.2">
      <c r="A38" s="2126"/>
      <c r="B38" s="2114" t="s">
        <v>1159</v>
      </c>
      <c r="C38" s="2127" t="s">
        <v>1159</v>
      </c>
      <c r="D38" s="2108" t="s">
        <v>1159</v>
      </c>
      <c r="E38" s="2109" t="s">
        <v>1159</v>
      </c>
      <c r="F38" s="2109" t="s">
        <v>1159</v>
      </c>
      <c r="G38" s="2128"/>
      <c r="H38" s="2128"/>
      <c r="I38" s="2188"/>
      <c r="J38" s="2128"/>
      <c r="K38" s="2128"/>
      <c r="L38" s="2128"/>
      <c r="M38" s="2128"/>
      <c r="N38" s="2128" t="s">
        <v>1159</v>
      </c>
      <c r="O38" s="2128" t="s">
        <v>1159</v>
      </c>
      <c r="P38" s="2128"/>
      <c r="Q38" s="2130" t="s">
        <v>1159</v>
      </c>
      <c r="R38" s="2128"/>
      <c r="S38" s="2131" t="s">
        <v>1159</v>
      </c>
      <c r="T38" s="2103"/>
    </row>
    <row r="39" spans="1:20" ht="15" hidden="1" customHeight="1" x14ac:dyDescent="0.2">
      <c r="A39" s="2126"/>
      <c r="B39" s="2114" t="s">
        <v>1434</v>
      </c>
      <c r="C39" s="2127">
        <v>10.558999999999999</v>
      </c>
      <c r="D39" s="2108"/>
      <c r="E39" s="2109" t="s">
        <v>2135</v>
      </c>
      <c r="F39" s="2109"/>
      <c r="G39" s="2128"/>
      <c r="H39" s="2128"/>
      <c r="I39" s="2188"/>
      <c r="J39" s="2129"/>
      <c r="K39" s="2128"/>
      <c r="L39" s="2128"/>
      <c r="M39" s="2128"/>
      <c r="N39" s="2128"/>
      <c r="O39" s="2128"/>
      <c r="P39" s="2129"/>
      <c r="Q39" s="2130">
        <f>K39+M39+O39</f>
        <v>0</v>
      </c>
      <c r="R39" s="2128"/>
      <c r="S39" s="2131" t="s">
        <v>2122</v>
      </c>
      <c r="T39" s="2103"/>
    </row>
    <row r="40" spans="1:20" ht="15" customHeight="1" x14ac:dyDescent="0.2">
      <c r="A40" s="2126" t="s">
        <v>2257</v>
      </c>
      <c r="B40" s="2114" t="s">
        <v>1434</v>
      </c>
      <c r="C40" s="2127">
        <v>10.558999999999999</v>
      </c>
      <c r="D40" s="2108"/>
      <c r="E40" s="2109" t="s">
        <v>2136</v>
      </c>
      <c r="F40" s="2109"/>
      <c r="G40" s="2134">
        <v>0</v>
      </c>
      <c r="H40" s="2135"/>
      <c r="I40" s="2204">
        <v>50666</v>
      </c>
      <c r="J40" s="2129"/>
      <c r="K40" s="2134">
        <v>0</v>
      </c>
      <c r="L40" s="2135"/>
      <c r="M40" s="2134">
        <v>82533</v>
      </c>
      <c r="N40" s="2128"/>
      <c r="O40" s="2134" t="s">
        <v>1159</v>
      </c>
      <c r="P40" s="2132" t="s">
        <v>2124</v>
      </c>
      <c r="Q40" s="2134">
        <f>K40+M40+O40</f>
        <v>82533</v>
      </c>
      <c r="R40" s="2128"/>
      <c r="S40" s="2131" t="s">
        <v>2122</v>
      </c>
      <c r="T40" s="2103"/>
    </row>
    <row r="41" spans="1:20" ht="10.5" hidden="1" customHeight="1" x14ac:dyDescent="0.2">
      <c r="A41" s="2126"/>
      <c r="B41" s="2114"/>
      <c r="C41" s="2127"/>
      <c r="D41" s="2108"/>
      <c r="E41" s="2109"/>
      <c r="F41" s="2109"/>
      <c r="G41" s="2128"/>
      <c r="H41" s="2128"/>
      <c r="I41" s="2188"/>
      <c r="J41" s="2128"/>
      <c r="K41" s="2128"/>
      <c r="L41" s="2128"/>
      <c r="M41" s="2128"/>
      <c r="N41" s="2128"/>
      <c r="O41" s="2128"/>
      <c r="P41" s="2128"/>
      <c r="Q41" s="2130"/>
      <c r="R41" s="2128"/>
      <c r="S41" s="2131"/>
      <c r="T41" s="2103"/>
    </row>
    <row r="42" spans="1:20" ht="15" hidden="1" customHeight="1" x14ac:dyDescent="0.2">
      <c r="A42" s="2126"/>
      <c r="B42" s="2114" t="s">
        <v>2137</v>
      </c>
      <c r="C42" s="2127">
        <v>10.579000000000001</v>
      </c>
      <c r="D42" s="2108"/>
      <c r="E42" s="2109" t="s">
        <v>2138</v>
      </c>
      <c r="F42" s="2109"/>
      <c r="G42" s="2136">
        <v>0</v>
      </c>
      <c r="H42" s="2134"/>
      <c r="I42" s="2205">
        <v>0</v>
      </c>
      <c r="J42" s="2134"/>
      <c r="K42" s="2136">
        <v>0</v>
      </c>
      <c r="L42" s="2134"/>
      <c r="M42" s="2136">
        <v>0</v>
      </c>
      <c r="N42" s="2134"/>
      <c r="O42" s="2134" t="s">
        <v>1159</v>
      </c>
      <c r="P42" s="2134"/>
      <c r="Q42" s="2136">
        <f>K42+M42+O42</f>
        <v>0</v>
      </c>
      <c r="R42" s="2128"/>
      <c r="S42" s="2131" t="s">
        <v>2122</v>
      </c>
      <c r="T42" s="2103"/>
    </row>
    <row r="43" spans="1:20" ht="15" hidden="1" customHeight="1" x14ac:dyDescent="0.2">
      <c r="A43" s="2126"/>
      <c r="B43" s="2114"/>
      <c r="C43" s="2127"/>
      <c r="D43" s="2108"/>
      <c r="E43" s="2109"/>
      <c r="F43" s="2109"/>
      <c r="G43" s="2128"/>
      <c r="H43" s="2128"/>
      <c r="I43" s="2188"/>
      <c r="J43" s="2133"/>
      <c r="K43" s="2128"/>
      <c r="L43" s="2128"/>
      <c r="M43" s="2128"/>
      <c r="N43" s="2133"/>
      <c r="O43" s="2128"/>
      <c r="P43" s="2128"/>
      <c r="Q43" s="2130"/>
      <c r="R43" s="2128"/>
      <c r="S43" s="2131"/>
      <c r="T43" s="2103"/>
    </row>
    <row r="44" spans="1:20" ht="15" hidden="1" customHeight="1" x14ac:dyDescent="0.2">
      <c r="A44" s="2126" t="s">
        <v>2139</v>
      </c>
      <c r="B44" s="2114" t="s">
        <v>2140</v>
      </c>
      <c r="C44" s="2127">
        <v>10.582000000000001</v>
      </c>
      <c r="D44" s="2108"/>
      <c r="E44" s="2109" t="s">
        <v>2141</v>
      </c>
      <c r="F44" s="2109"/>
      <c r="G44" s="2137">
        <v>0</v>
      </c>
      <c r="H44" s="2128"/>
      <c r="I44" s="2206">
        <v>0</v>
      </c>
      <c r="J44" s="2133"/>
      <c r="K44" s="2137">
        <v>0</v>
      </c>
      <c r="L44" s="2133"/>
      <c r="M44" s="2137">
        <v>0</v>
      </c>
      <c r="N44" s="2133"/>
      <c r="O44" s="2137">
        <v>0</v>
      </c>
      <c r="P44" s="2128"/>
      <c r="Q44" s="2138">
        <f>K44+M44+O44</f>
        <v>0</v>
      </c>
      <c r="R44" s="2128"/>
      <c r="S44" s="2131" t="s">
        <v>2122</v>
      </c>
      <c r="T44" s="2103"/>
    </row>
    <row r="45" spans="1:20" ht="18.75" hidden="1" customHeight="1" x14ac:dyDescent="0.2">
      <c r="A45" s="2126" t="s">
        <v>2139</v>
      </c>
      <c r="B45" s="2114" t="s">
        <v>2140</v>
      </c>
      <c r="C45" s="2127">
        <v>10.582000000000001</v>
      </c>
      <c r="D45" s="2108"/>
      <c r="E45" s="2109" t="s">
        <v>2142</v>
      </c>
      <c r="F45" s="2109"/>
      <c r="G45" s="2137">
        <v>0</v>
      </c>
      <c r="H45" s="2128"/>
      <c r="I45" s="2206">
        <v>0</v>
      </c>
      <c r="J45" s="2133"/>
      <c r="K45" s="2137">
        <v>0</v>
      </c>
      <c r="L45" s="2133"/>
      <c r="M45" s="2137">
        <v>0</v>
      </c>
      <c r="N45" s="2133"/>
      <c r="O45" s="2137">
        <v>0</v>
      </c>
      <c r="P45" s="2128">
        <v>-2</v>
      </c>
      <c r="Q45" s="2138">
        <f>K45+M45+O45</f>
        <v>0</v>
      </c>
      <c r="R45" s="2128"/>
      <c r="S45" s="2131" t="s">
        <v>2122</v>
      </c>
      <c r="T45" s="2103"/>
    </row>
    <row r="46" spans="1:20" ht="7.5" customHeight="1" x14ac:dyDescent="0.2">
      <c r="A46" s="2126"/>
      <c r="B46" s="2108"/>
      <c r="C46" s="2108"/>
      <c r="D46" s="2108"/>
      <c r="E46" s="2108"/>
      <c r="F46" s="2109"/>
      <c r="G46" s="2128"/>
      <c r="H46" s="2128"/>
      <c r="I46" s="2188"/>
      <c r="J46" s="2129"/>
      <c r="K46" s="2128"/>
      <c r="L46" s="2128"/>
      <c r="M46" s="2128"/>
      <c r="N46" s="2128"/>
      <c r="O46" s="2128"/>
      <c r="P46" s="2129"/>
      <c r="Q46" s="2128"/>
      <c r="R46" s="2128"/>
      <c r="S46" s="2128"/>
      <c r="T46" s="2103"/>
    </row>
    <row r="47" spans="1:20" ht="15.75" customHeight="1" x14ac:dyDescent="0.2">
      <c r="A47" s="2125" t="s">
        <v>2278</v>
      </c>
      <c r="B47" s="2108"/>
      <c r="C47" s="2108"/>
      <c r="D47" s="2108"/>
      <c r="E47" s="2108"/>
      <c r="F47" s="2109"/>
      <c r="G47" s="2134">
        <f>+G40+G36+G32+G28</f>
        <v>268296</v>
      </c>
      <c r="H47" s="2134"/>
      <c r="I47" s="2134">
        <f>+I40+I36+I32+I28</f>
        <v>326516</v>
      </c>
      <c r="J47" s="2134"/>
      <c r="K47" s="2134">
        <f>+K40+K36+K32+K28</f>
        <v>338164</v>
      </c>
      <c r="L47" s="2134"/>
      <c r="M47" s="2134">
        <f>+M40+M36+M32+M28</f>
        <v>345860</v>
      </c>
      <c r="N47" s="2134"/>
      <c r="O47" s="2134">
        <f>+O40+O36+O32+O28</f>
        <v>0</v>
      </c>
      <c r="P47" s="2134"/>
      <c r="Q47" s="2134">
        <f>+Q40+Q36+Q32+Q28</f>
        <v>684024</v>
      </c>
      <c r="R47" s="2128"/>
      <c r="S47" s="2128"/>
      <c r="T47" s="2103"/>
    </row>
    <row r="48" spans="1:20" ht="9" customHeight="1" x14ac:dyDescent="0.2">
      <c r="A48" s="2126"/>
      <c r="B48" s="2108"/>
      <c r="C48" s="2108"/>
      <c r="D48" s="2108"/>
      <c r="E48" s="2108"/>
      <c r="F48" s="2109"/>
      <c r="G48" s="2128"/>
      <c r="H48" s="2128"/>
      <c r="I48" s="2188"/>
      <c r="J48" s="2129"/>
      <c r="K48" s="2128"/>
      <c r="L48" s="2128"/>
      <c r="M48" s="2128"/>
      <c r="N48" s="2128"/>
      <c r="O48" s="2128"/>
      <c r="P48" s="2129"/>
      <c r="Q48" s="2128"/>
      <c r="R48" s="2128"/>
      <c r="S48" s="2128"/>
      <c r="T48" s="2103"/>
    </row>
    <row r="49" spans="1:20" ht="15" customHeight="1" x14ac:dyDescent="0.2">
      <c r="A49" s="2125" t="s">
        <v>2143</v>
      </c>
      <c r="B49" s="2108"/>
      <c r="C49" s="2108"/>
      <c r="D49" s="2108"/>
      <c r="E49" s="2108"/>
      <c r="F49" s="2109"/>
      <c r="G49" s="2128"/>
      <c r="H49" s="2128"/>
      <c r="I49" s="2188" t="s">
        <v>1159</v>
      </c>
      <c r="J49" s="2129"/>
      <c r="K49" s="2128"/>
      <c r="L49" s="2128"/>
      <c r="M49" s="2128"/>
      <c r="N49" s="2128"/>
      <c r="O49" s="2128"/>
      <c r="P49" s="2129"/>
      <c r="Q49" s="2128"/>
      <c r="R49" s="2128"/>
      <c r="S49" s="2128"/>
      <c r="T49" s="2103"/>
    </row>
    <row r="50" spans="1:20" ht="15" customHeight="1" x14ac:dyDescent="0.2">
      <c r="A50" s="2125" t="s">
        <v>2118</v>
      </c>
      <c r="B50" s="2108"/>
      <c r="C50" s="2108"/>
      <c r="D50" s="2108"/>
      <c r="E50" s="2108"/>
      <c r="F50" s="2109"/>
      <c r="G50" s="2128"/>
      <c r="H50" s="2128"/>
      <c r="I50" s="2188" t="s">
        <v>1159</v>
      </c>
      <c r="J50" s="2129"/>
      <c r="K50" s="2128"/>
      <c r="L50" s="2128"/>
      <c r="M50" s="2128"/>
      <c r="N50" s="2128"/>
      <c r="O50" s="2128"/>
      <c r="P50" s="2129"/>
      <c r="Q50" s="2128"/>
      <c r="R50" s="2128"/>
      <c r="S50" s="2128"/>
      <c r="T50" s="2103"/>
    </row>
    <row r="51" spans="1:20" ht="15" customHeight="1" x14ac:dyDescent="0.2">
      <c r="A51" s="2125" t="s">
        <v>2119</v>
      </c>
      <c r="B51" s="2108"/>
      <c r="C51" s="2108"/>
      <c r="D51" s="2108"/>
      <c r="E51" s="2108"/>
      <c r="F51" s="2109"/>
      <c r="G51" s="2128"/>
      <c r="H51" s="2128"/>
      <c r="I51" s="2188" t="s">
        <v>1159</v>
      </c>
      <c r="J51" s="2129"/>
      <c r="K51" s="2128"/>
      <c r="L51" s="2128"/>
      <c r="M51" s="2128"/>
      <c r="N51" s="2128"/>
      <c r="O51" s="2128"/>
      <c r="P51" s="2129"/>
      <c r="Q51" s="2128"/>
      <c r="R51" s="2128"/>
      <c r="S51" s="2128"/>
      <c r="T51" s="2103"/>
    </row>
    <row r="52" spans="1:20" ht="6.75" customHeight="1" x14ac:dyDescent="0.2">
      <c r="A52" s="2126"/>
      <c r="B52" s="2108"/>
      <c r="C52" s="2108"/>
      <c r="D52" s="2108"/>
      <c r="E52" s="2108"/>
      <c r="F52" s="2109"/>
      <c r="G52" s="2128"/>
      <c r="H52" s="2128"/>
      <c r="I52" s="2188"/>
      <c r="J52" s="2129"/>
      <c r="K52" s="2128"/>
      <c r="L52" s="2128"/>
      <c r="M52" s="2128"/>
      <c r="N52" s="2128"/>
      <c r="O52" s="2128" t="s">
        <v>1159</v>
      </c>
      <c r="P52" s="2129"/>
      <c r="Q52" s="2128"/>
      <c r="R52" s="2128"/>
      <c r="S52" s="2128"/>
      <c r="T52" s="2103"/>
    </row>
    <row r="53" spans="1:20" ht="15" hidden="1" customHeight="1" x14ac:dyDescent="0.2">
      <c r="A53" s="2126"/>
      <c r="B53" s="2139" t="s">
        <v>2144</v>
      </c>
      <c r="C53" s="2140" t="s">
        <v>2145</v>
      </c>
      <c r="D53" s="2108"/>
      <c r="E53" s="2140" t="s">
        <v>2146</v>
      </c>
      <c r="F53" s="2109"/>
      <c r="G53" s="2141"/>
      <c r="H53" s="2129"/>
      <c r="I53" s="2188"/>
      <c r="J53" s="2128"/>
      <c r="K53" s="2141"/>
      <c r="L53" s="2128"/>
      <c r="M53" s="2141"/>
      <c r="N53" s="2128"/>
      <c r="O53" s="2128"/>
      <c r="P53" s="2132"/>
      <c r="Q53" s="2130">
        <f>O53+M53+K53</f>
        <v>0</v>
      </c>
      <c r="R53" s="2128"/>
      <c r="S53" s="2141"/>
      <c r="T53" s="2103"/>
    </row>
    <row r="54" spans="1:20" ht="15" hidden="1" customHeight="1" x14ac:dyDescent="0.2">
      <c r="A54" s="2126"/>
      <c r="B54" s="2139" t="s">
        <v>2144</v>
      </c>
      <c r="C54" s="2140" t="s">
        <v>2145</v>
      </c>
      <c r="D54" s="2108"/>
      <c r="E54" s="2140" t="s">
        <v>2147</v>
      </c>
      <c r="F54" s="2109"/>
      <c r="G54" s="2128"/>
      <c r="H54" s="2129"/>
      <c r="I54" s="2188"/>
      <c r="J54" s="2128"/>
      <c r="K54" s="2128"/>
      <c r="L54" s="2128"/>
      <c r="M54" s="2141"/>
      <c r="N54" s="2128"/>
      <c r="O54" s="2128"/>
      <c r="P54" s="2142" t="s">
        <v>2124</v>
      </c>
      <c r="Q54" s="2130">
        <f>O54+M54+K54</f>
        <v>0</v>
      </c>
      <c r="R54" s="2128"/>
      <c r="S54" s="2141"/>
      <c r="T54" s="2103"/>
    </row>
    <row r="55" spans="1:20" ht="15" hidden="1" customHeight="1" x14ac:dyDescent="0.2">
      <c r="A55" s="2126"/>
      <c r="B55" s="2108"/>
      <c r="C55" s="2108"/>
      <c r="D55" s="2108"/>
      <c r="E55" s="2108"/>
      <c r="F55" s="2109"/>
      <c r="G55" s="2128"/>
      <c r="H55" s="2128"/>
      <c r="I55" s="2188"/>
      <c r="J55" s="2129"/>
      <c r="K55" s="2128"/>
      <c r="L55" s="2128"/>
      <c r="M55" s="2128"/>
      <c r="N55" s="2128"/>
      <c r="O55" s="2128"/>
      <c r="P55" s="2129"/>
      <c r="Q55" s="2128"/>
      <c r="R55" s="2128"/>
      <c r="S55" s="2128"/>
      <c r="T55" s="2103"/>
    </row>
    <row r="56" spans="1:20" ht="15" customHeight="1" x14ac:dyDescent="0.2">
      <c r="A56" s="2126"/>
      <c r="B56" s="2114" t="s">
        <v>912</v>
      </c>
      <c r="C56" s="2127" t="s">
        <v>2148</v>
      </c>
      <c r="D56" s="2108"/>
      <c r="E56" s="2120" t="s">
        <v>2149</v>
      </c>
      <c r="F56" s="2109"/>
      <c r="G56" s="2128">
        <v>149682</v>
      </c>
      <c r="H56" s="2129"/>
      <c r="I56" s="2188">
        <v>120728</v>
      </c>
      <c r="J56" s="2128"/>
      <c r="K56" s="2128">
        <v>244113</v>
      </c>
      <c r="L56" s="2128"/>
      <c r="M56" s="2128">
        <v>26297</v>
      </c>
      <c r="N56" s="2129"/>
      <c r="O56" s="2128"/>
      <c r="Q56" s="2130">
        <f>O56+M56+K56</f>
        <v>270410</v>
      </c>
      <c r="R56" s="2128"/>
      <c r="S56" s="2128">
        <v>273823</v>
      </c>
      <c r="T56" s="2103"/>
    </row>
    <row r="57" spans="1:20" ht="15" customHeight="1" x14ac:dyDescent="0.2">
      <c r="A57" s="2126"/>
      <c r="B57" s="2114" t="s">
        <v>912</v>
      </c>
      <c r="C57" s="2127" t="s">
        <v>2148</v>
      </c>
      <c r="D57" s="2108"/>
      <c r="E57" s="2120" t="s">
        <v>2150</v>
      </c>
      <c r="G57" s="2128"/>
      <c r="H57" s="2128"/>
      <c r="I57" s="2188">
        <v>143635</v>
      </c>
      <c r="J57" s="2129"/>
      <c r="K57" s="2128"/>
      <c r="L57" s="2128"/>
      <c r="M57" s="2128">
        <v>201300</v>
      </c>
      <c r="N57" s="2128"/>
      <c r="O57" s="2128">
        <v>45697</v>
      </c>
      <c r="P57" s="2132" t="s">
        <v>2124</v>
      </c>
      <c r="Q57" s="2130">
        <f>O57+M57+K57</f>
        <v>246997</v>
      </c>
      <c r="R57" s="2128"/>
      <c r="S57" s="2128">
        <v>246997</v>
      </c>
      <c r="T57" s="2103"/>
    </row>
    <row r="58" spans="1:20" ht="7.15" customHeight="1" x14ac:dyDescent="0.2">
      <c r="A58" s="2126"/>
      <c r="B58" s="2114"/>
      <c r="C58" s="2127"/>
      <c r="D58" s="2108"/>
      <c r="E58" s="2120"/>
      <c r="F58" s="2109"/>
      <c r="G58" s="2128"/>
      <c r="H58" s="2128"/>
      <c r="I58" s="2188"/>
      <c r="J58" s="2129"/>
      <c r="K58" s="2128"/>
      <c r="L58" s="2128"/>
      <c r="M58" s="2128"/>
      <c r="N58" s="2128"/>
      <c r="O58" s="2128"/>
      <c r="P58" s="2129"/>
      <c r="Q58" s="2130"/>
      <c r="R58" s="2128"/>
      <c r="S58" s="2128"/>
      <c r="T58" s="2103"/>
    </row>
    <row r="59" spans="1:20" ht="15" hidden="1" customHeight="1" x14ac:dyDescent="0.2">
      <c r="A59" s="2126"/>
      <c r="B59" s="2144" t="s">
        <v>2151</v>
      </c>
      <c r="C59" s="2145">
        <v>84.01</v>
      </c>
      <c r="D59" s="2108"/>
      <c r="E59" s="2146" t="s">
        <v>2152</v>
      </c>
      <c r="G59" s="2141"/>
      <c r="H59" s="2129"/>
      <c r="I59" s="2188"/>
      <c r="J59" s="2128"/>
      <c r="K59" s="2141"/>
      <c r="L59" s="2128"/>
      <c r="M59" s="2141"/>
      <c r="N59" s="2128"/>
      <c r="O59" s="2128"/>
      <c r="P59" s="2132"/>
      <c r="Q59" s="2130">
        <f>O59+M59+K59</f>
        <v>0</v>
      </c>
      <c r="R59" s="2128"/>
      <c r="S59" s="2141"/>
      <c r="T59" s="2103"/>
    </row>
    <row r="60" spans="1:20" ht="15" customHeight="1" x14ac:dyDescent="0.2">
      <c r="A60" s="2126"/>
      <c r="B60" s="2114" t="s">
        <v>2151</v>
      </c>
      <c r="C60" s="2127">
        <v>84.01</v>
      </c>
      <c r="D60" s="2108"/>
      <c r="E60" s="2120" t="s">
        <v>2153</v>
      </c>
      <c r="G60" s="2133">
        <v>0</v>
      </c>
      <c r="H60" s="2129"/>
      <c r="I60" s="2202">
        <v>0</v>
      </c>
      <c r="J60" s="2128"/>
      <c r="K60" s="2133">
        <v>0</v>
      </c>
      <c r="L60" s="2128"/>
      <c r="M60" s="2133">
        <v>10799</v>
      </c>
      <c r="N60" s="2128"/>
      <c r="O60" s="2133">
        <v>0</v>
      </c>
      <c r="P60" s="2132" t="s">
        <v>2124</v>
      </c>
      <c r="Q60" s="2134">
        <f>O60+M60+K60</f>
        <v>10799</v>
      </c>
      <c r="R60" s="2128"/>
      <c r="S60" s="2128">
        <v>15000</v>
      </c>
      <c r="T60" s="2103"/>
    </row>
    <row r="61" spans="1:20" ht="15" customHeight="1" x14ac:dyDescent="0.2">
      <c r="A61" s="2126"/>
      <c r="B61" s="2114"/>
      <c r="C61" s="2127" t="s">
        <v>2154</v>
      </c>
      <c r="D61" s="2108"/>
      <c r="E61" s="2120"/>
      <c r="G61" s="2133">
        <f>SUM(G56:G60)</f>
        <v>149682</v>
      </c>
      <c r="H61" s="2129"/>
      <c r="I61" s="2202">
        <f>SUM(I56:I60)</f>
        <v>264363</v>
      </c>
      <c r="J61" s="2128"/>
      <c r="K61" s="2133">
        <f>SUM(K56:K60)</f>
        <v>244113</v>
      </c>
      <c r="L61" s="2128"/>
      <c r="M61" s="2133">
        <f>SUM(M56:M60)</f>
        <v>238396</v>
      </c>
      <c r="N61" s="2128"/>
      <c r="O61" s="2133">
        <f>SUM(O56:O60)</f>
        <v>45697</v>
      </c>
      <c r="P61" s="2132"/>
      <c r="Q61" s="2134">
        <f>SUM(Q56:Q60)</f>
        <v>528206</v>
      </c>
      <c r="R61" s="2128"/>
      <c r="S61" s="2128"/>
      <c r="T61" s="2103"/>
    </row>
    <row r="62" spans="1:20" ht="6.75" hidden="1" customHeight="1" x14ac:dyDescent="0.2">
      <c r="A62" s="2126"/>
      <c r="B62" s="2108"/>
      <c r="C62" s="2108"/>
      <c r="D62" s="2108"/>
      <c r="E62" s="2108"/>
      <c r="F62" s="2109"/>
      <c r="G62" s="2128"/>
      <c r="H62" s="2128"/>
      <c r="I62" s="2188"/>
      <c r="J62" s="2129"/>
      <c r="K62" s="2128"/>
      <c r="L62" s="2128"/>
      <c r="M62" s="2128"/>
      <c r="N62" s="2128"/>
      <c r="O62" s="2128" t="s">
        <v>1159</v>
      </c>
      <c r="P62" s="2129"/>
      <c r="Q62" s="2128"/>
      <c r="R62" s="2128"/>
      <c r="S62" s="2128"/>
      <c r="T62" s="2103"/>
    </row>
    <row r="63" spans="1:20" ht="15" hidden="1" customHeight="1" x14ac:dyDescent="0.2">
      <c r="A63" s="2126"/>
      <c r="B63" s="2108" t="s">
        <v>2155</v>
      </c>
      <c r="C63" s="2140" t="s">
        <v>2145</v>
      </c>
      <c r="D63" s="2108"/>
      <c r="E63" s="2109" t="s">
        <v>2156</v>
      </c>
      <c r="F63" s="2109"/>
      <c r="G63" s="2141"/>
      <c r="H63" s="2129"/>
      <c r="I63" s="2188"/>
      <c r="J63" s="2128"/>
      <c r="K63" s="2141"/>
      <c r="L63" s="2128"/>
      <c r="M63" s="2141"/>
      <c r="N63" s="2128"/>
      <c r="O63" s="2128"/>
      <c r="P63" s="2132"/>
      <c r="Q63" s="2130">
        <f>O63+M63+K63</f>
        <v>0</v>
      </c>
      <c r="R63" s="2128"/>
      <c r="S63" s="2141"/>
      <c r="T63" s="2103"/>
    </row>
    <row r="64" spans="1:20" ht="15" hidden="1" customHeight="1" x14ac:dyDescent="0.2">
      <c r="A64" s="2126"/>
      <c r="B64" s="2108" t="s">
        <v>2155</v>
      </c>
      <c r="C64" s="2109" t="s">
        <v>2145</v>
      </c>
      <c r="D64" s="2108"/>
      <c r="E64" s="2109" t="s">
        <v>2157</v>
      </c>
      <c r="F64" s="2109"/>
      <c r="G64" s="2128"/>
      <c r="H64" s="2129"/>
      <c r="I64" s="2188"/>
      <c r="J64" s="2128"/>
      <c r="K64" s="2128"/>
      <c r="L64" s="2128"/>
      <c r="M64" s="2128"/>
      <c r="N64" s="2128"/>
      <c r="O64" s="2128"/>
      <c r="P64" s="2132" t="s">
        <v>2124</v>
      </c>
      <c r="Q64" s="2130">
        <f>O64+M64+K64</f>
        <v>0</v>
      </c>
      <c r="R64" s="2128"/>
      <c r="S64" s="2128"/>
      <c r="T64" s="2103"/>
    </row>
    <row r="65" spans="1:20" ht="7.5" customHeight="1" x14ac:dyDescent="0.2">
      <c r="A65" s="2126"/>
      <c r="B65" s="2114"/>
      <c r="C65" s="2127"/>
      <c r="D65" s="2108"/>
      <c r="E65" s="2120"/>
      <c r="F65" s="2109"/>
      <c r="G65" s="2128"/>
      <c r="H65" s="2128"/>
      <c r="I65" s="2188"/>
      <c r="J65" s="2129"/>
      <c r="K65" s="2128"/>
      <c r="L65" s="2128"/>
      <c r="M65" s="2128"/>
      <c r="N65" s="2128"/>
      <c r="O65" s="2128"/>
      <c r="P65" s="2129"/>
      <c r="Q65" s="2130"/>
      <c r="R65" s="2128"/>
      <c r="S65" s="2128"/>
      <c r="T65" s="2103"/>
    </row>
    <row r="66" spans="1:20" ht="15" hidden="1" customHeight="1" x14ac:dyDescent="0.25">
      <c r="A66" s="2126"/>
      <c r="B66" s="2144" t="s">
        <v>2158</v>
      </c>
      <c r="C66" s="2145">
        <v>84.173000000000002</v>
      </c>
      <c r="D66" s="2147"/>
      <c r="E66" s="2140" t="s">
        <v>2159</v>
      </c>
      <c r="F66" s="2109"/>
      <c r="G66" s="2128"/>
      <c r="H66" s="2128"/>
      <c r="I66" s="2188"/>
      <c r="J66" s="2129"/>
      <c r="K66" s="2128"/>
      <c r="L66" s="2128"/>
      <c r="M66" s="2141"/>
      <c r="N66" s="2128"/>
      <c r="O66" s="2128"/>
      <c r="P66" s="2129"/>
      <c r="Q66" s="2130">
        <f>O66+M66+K66</f>
        <v>0</v>
      </c>
      <c r="R66" s="2128"/>
      <c r="S66" s="2141"/>
      <c r="T66" s="2103"/>
    </row>
    <row r="67" spans="1:20" ht="15" hidden="1" customHeight="1" x14ac:dyDescent="0.25">
      <c r="A67" s="2126"/>
      <c r="B67" s="2148" t="s">
        <v>2158</v>
      </c>
      <c r="C67" s="2149">
        <v>84.173000000000002</v>
      </c>
      <c r="D67" s="2147"/>
      <c r="E67" s="2150" t="s">
        <v>2160</v>
      </c>
      <c r="F67" s="2109"/>
      <c r="G67" s="2128"/>
      <c r="H67" s="2128"/>
      <c r="I67" s="2188"/>
      <c r="J67" s="2129"/>
      <c r="K67" s="2128"/>
      <c r="L67" s="2128"/>
      <c r="M67" s="2128"/>
      <c r="N67" s="2128"/>
      <c r="O67" s="2128"/>
      <c r="P67" s="2129"/>
      <c r="Q67" s="2130">
        <f>O67+M67+K67</f>
        <v>0</v>
      </c>
      <c r="R67" s="2128"/>
      <c r="S67" s="2128"/>
      <c r="T67" s="2103"/>
    </row>
    <row r="68" spans="1:20" ht="15" hidden="1" customHeight="1" x14ac:dyDescent="0.2">
      <c r="A68" s="2126"/>
      <c r="B68" s="2114"/>
      <c r="C68" s="2127"/>
      <c r="D68" s="2108"/>
      <c r="E68" s="2120"/>
      <c r="F68" s="2109"/>
      <c r="G68" s="2128"/>
      <c r="H68" s="2128"/>
      <c r="I68" s="2188"/>
      <c r="J68" s="2129"/>
      <c r="K68" s="2128"/>
      <c r="L68" s="2128"/>
      <c r="M68" s="2128"/>
      <c r="N68" s="2128"/>
      <c r="O68" s="2128"/>
      <c r="P68" s="2129"/>
      <c r="Q68" s="2130"/>
      <c r="R68" s="2128"/>
      <c r="S68" s="2128"/>
      <c r="T68" s="2103"/>
    </row>
    <row r="69" spans="1:20" ht="15" hidden="1" customHeight="1" x14ac:dyDescent="0.25">
      <c r="A69" s="2126"/>
      <c r="B69" s="2151" t="s">
        <v>2161</v>
      </c>
      <c r="C69" s="2149">
        <v>84.027000000000001</v>
      </c>
      <c r="D69" s="2111"/>
      <c r="E69" s="2152" t="s">
        <v>2162</v>
      </c>
      <c r="F69" s="2109"/>
      <c r="G69" s="2128"/>
      <c r="H69" s="2128"/>
      <c r="I69" s="2188"/>
      <c r="J69" s="2129"/>
      <c r="K69" s="2128"/>
      <c r="L69" s="2128"/>
      <c r="M69" s="2128"/>
      <c r="N69" s="2128"/>
      <c r="O69" s="2128"/>
      <c r="P69" s="2129"/>
      <c r="Q69" s="2130">
        <f>O69+M69+K69</f>
        <v>0</v>
      </c>
      <c r="R69" s="2128"/>
      <c r="S69" s="2128"/>
      <c r="T69" s="2103"/>
    </row>
    <row r="70" spans="1:20" ht="6.75" customHeight="1" x14ac:dyDescent="0.2">
      <c r="A70" s="2126"/>
      <c r="B70" s="2114"/>
      <c r="C70" s="2127"/>
      <c r="D70" s="2108"/>
      <c r="E70" s="2120"/>
      <c r="F70" s="2109"/>
      <c r="G70" s="2128"/>
      <c r="H70" s="2128"/>
      <c r="I70" s="2188"/>
      <c r="J70" s="2129"/>
      <c r="K70" s="2128"/>
      <c r="L70" s="2128"/>
      <c r="M70" s="2128"/>
      <c r="N70" s="2128"/>
      <c r="O70" s="2128"/>
      <c r="P70" s="2129"/>
      <c r="Q70" s="2130"/>
      <c r="R70" s="2128"/>
      <c r="S70" s="2128"/>
      <c r="T70" s="2103"/>
    </row>
    <row r="71" spans="1:20" ht="15" hidden="1" customHeight="1" x14ac:dyDescent="0.2">
      <c r="A71" s="2126"/>
      <c r="B71" s="2114" t="s">
        <v>2163</v>
      </c>
      <c r="C71" s="2127">
        <v>84.027000000000001</v>
      </c>
      <c r="D71" s="2108"/>
      <c r="E71" s="2109" t="s">
        <v>2164</v>
      </c>
      <c r="F71" s="2109"/>
      <c r="G71" s="2128"/>
      <c r="H71" s="2129"/>
      <c r="I71" s="2188"/>
      <c r="J71" s="2128"/>
      <c r="K71" s="2153"/>
      <c r="L71" s="2128"/>
      <c r="M71" s="2141"/>
      <c r="N71" s="2128"/>
      <c r="O71" s="2128"/>
      <c r="P71" s="2129"/>
      <c r="Q71" s="2130">
        <f>O71+M71+K71</f>
        <v>0</v>
      </c>
      <c r="R71" s="2128"/>
      <c r="S71" s="2154" t="s">
        <v>2122</v>
      </c>
      <c r="T71" s="2103"/>
    </row>
    <row r="72" spans="1:20" ht="15" hidden="1" customHeight="1" x14ac:dyDescent="0.2">
      <c r="A72" s="2126"/>
      <c r="B72" s="2114" t="s">
        <v>2163</v>
      </c>
      <c r="C72" s="2127">
        <v>84.027000000000001</v>
      </c>
      <c r="D72" s="2108"/>
      <c r="E72" s="2109" t="s">
        <v>2165</v>
      </c>
      <c r="F72" s="2109"/>
      <c r="G72" s="2128"/>
      <c r="H72" s="2128"/>
      <c r="I72" s="2188"/>
      <c r="J72" s="2129"/>
      <c r="K72" s="2128"/>
      <c r="L72" s="2128"/>
      <c r="M72" s="2153"/>
      <c r="N72" s="2128"/>
      <c r="O72" s="2128"/>
      <c r="P72" s="2142" t="s">
        <v>2124</v>
      </c>
      <c r="Q72" s="2130">
        <f>O72+M72+K72</f>
        <v>0</v>
      </c>
      <c r="R72" s="2128"/>
      <c r="S72" s="2154" t="s">
        <v>2122</v>
      </c>
      <c r="T72" s="2103"/>
    </row>
    <row r="73" spans="1:20" ht="6.75" hidden="1" customHeight="1" x14ac:dyDescent="0.2">
      <c r="A73" s="2126"/>
      <c r="B73" s="2114"/>
      <c r="C73" s="2127"/>
      <c r="D73" s="2108"/>
      <c r="E73" s="2120"/>
      <c r="F73" s="2109"/>
      <c r="G73" s="2128"/>
      <c r="H73" s="2128"/>
      <c r="I73" s="2188"/>
      <c r="J73" s="2129"/>
      <c r="K73" s="2128"/>
      <c r="L73" s="2128"/>
      <c r="M73" s="2128"/>
      <c r="N73" s="2128"/>
      <c r="O73" s="2128"/>
      <c r="P73" s="2129"/>
      <c r="Q73" s="2130"/>
      <c r="R73" s="2128"/>
      <c r="S73" s="2128"/>
      <c r="T73" s="2103"/>
    </row>
    <row r="74" spans="1:20" ht="12.75" customHeight="1" x14ac:dyDescent="0.2">
      <c r="A74" s="2126"/>
      <c r="B74" s="2114" t="s">
        <v>753</v>
      </c>
      <c r="C74" s="2127">
        <v>84.367000000000004</v>
      </c>
      <c r="D74" s="2108"/>
      <c r="E74" s="2109" t="s">
        <v>2171</v>
      </c>
      <c r="F74" s="2109"/>
      <c r="G74" s="2128"/>
      <c r="H74" s="2128"/>
      <c r="I74" s="2188">
        <v>0</v>
      </c>
      <c r="J74" s="2129"/>
      <c r="K74" s="2128"/>
      <c r="L74" s="2128"/>
      <c r="M74" s="2128">
        <v>3036</v>
      </c>
      <c r="N74" s="2128"/>
      <c r="O74" s="2128"/>
      <c r="P74" s="2129"/>
      <c r="Q74" s="2130">
        <f>O74+M74+K74</f>
        <v>3036</v>
      </c>
      <c r="R74" s="2128"/>
      <c r="S74" s="2128">
        <v>3036</v>
      </c>
    </row>
    <row r="75" spans="1:20" ht="7.5" customHeight="1" x14ac:dyDescent="0.2">
      <c r="A75" s="2126"/>
      <c r="B75" s="2114"/>
      <c r="C75" s="2127"/>
      <c r="D75" s="2108"/>
      <c r="E75" s="2109"/>
      <c r="F75" s="2109"/>
      <c r="G75" s="2128"/>
      <c r="H75" s="2128"/>
      <c r="I75" s="2188"/>
      <c r="J75" s="2129"/>
      <c r="K75" s="2128"/>
      <c r="L75" s="2128"/>
      <c r="M75" s="2128"/>
      <c r="N75" s="2128"/>
      <c r="O75" s="2128"/>
      <c r="P75" s="2129"/>
      <c r="Q75" s="2130"/>
      <c r="R75" s="2128"/>
      <c r="S75" s="2128"/>
      <c r="T75" s="2103"/>
    </row>
    <row r="76" spans="1:20" ht="15" customHeight="1" x14ac:dyDescent="0.2">
      <c r="A76" s="2126"/>
      <c r="B76" s="2114" t="s">
        <v>2172</v>
      </c>
      <c r="C76" s="2127" t="s">
        <v>2173</v>
      </c>
      <c r="D76" s="2108"/>
      <c r="E76" s="2109" t="s">
        <v>2174</v>
      </c>
      <c r="F76" s="2109"/>
      <c r="G76" s="2128">
        <v>0</v>
      </c>
      <c r="H76" s="2128"/>
      <c r="I76" s="2188">
        <v>0</v>
      </c>
      <c r="J76" s="2129"/>
      <c r="K76" s="2128">
        <v>0</v>
      </c>
      <c r="L76" s="2128"/>
      <c r="M76" s="2128">
        <v>78013</v>
      </c>
      <c r="N76" s="2128"/>
      <c r="O76" s="2128">
        <v>0</v>
      </c>
      <c r="P76" s="2132" t="s">
        <v>2124</v>
      </c>
      <c r="Q76" s="2130">
        <f>O76+M76+K76</f>
        <v>78013</v>
      </c>
      <c r="R76" s="2128"/>
      <c r="S76" s="2128">
        <v>169543</v>
      </c>
      <c r="T76" s="2103"/>
    </row>
    <row r="77" spans="1:20" ht="7.5" customHeight="1" x14ac:dyDescent="0.2">
      <c r="A77" s="2126"/>
      <c r="B77" s="2114"/>
      <c r="C77" s="2127"/>
      <c r="D77" s="2108"/>
      <c r="E77" s="2109"/>
      <c r="F77" s="2109"/>
      <c r="G77" s="2133"/>
      <c r="H77" s="2128"/>
      <c r="I77" s="2202"/>
      <c r="J77" s="2129"/>
      <c r="K77" s="2133"/>
      <c r="L77" s="2128"/>
      <c r="M77" s="2133"/>
      <c r="N77" s="2128"/>
      <c r="O77" s="2133"/>
      <c r="P77" s="2132"/>
      <c r="Q77" s="2134"/>
      <c r="R77" s="2128"/>
      <c r="S77" s="2128"/>
      <c r="T77" s="2103"/>
    </row>
    <row r="78" spans="1:20" ht="15" customHeight="1" x14ac:dyDescent="0.2">
      <c r="A78" s="2126"/>
      <c r="B78" s="2114" t="s">
        <v>2166</v>
      </c>
      <c r="C78" s="2127">
        <v>84.027000000000001</v>
      </c>
      <c r="D78" s="2108"/>
      <c r="E78" s="2109" t="s">
        <v>2167</v>
      </c>
      <c r="F78" s="2109"/>
      <c r="G78" s="2128"/>
      <c r="H78" s="2129"/>
      <c r="I78" s="2188">
        <v>3953</v>
      </c>
      <c r="J78" s="2128"/>
      <c r="K78" s="2155">
        <v>3953</v>
      </c>
      <c r="L78" s="2128"/>
      <c r="M78" s="2128"/>
      <c r="N78" s="2128"/>
      <c r="O78" s="2128"/>
      <c r="P78" s="2129"/>
      <c r="Q78" s="2130">
        <f>O78+M78+K78</f>
        <v>3953</v>
      </c>
      <c r="R78" s="2128"/>
      <c r="S78" s="2131" t="s">
        <v>2122</v>
      </c>
      <c r="T78" s="2103"/>
    </row>
    <row r="79" spans="1:20" ht="15" customHeight="1" x14ac:dyDescent="0.2">
      <c r="A79" s="2126" t="s">
        <v>2257</v>
      </c>
      <c r="B79" s="2114" t="s">
        <v>2166</v>
      </c>
      <c r="C79" s="2127">
        <v>84.027000000000001</v>
      </c>
      <c r="D79" s="2108"/>
      <c r="E79" s="2109" t="s">
        <v>2168</v>
      </c>
      <c r="F79" s="2109"/>
      <c r="G79" s="2128">
        <v>0</v>
      </c>
      <c r="H79" s="2128"/>
      <c r="I79" s="2188">
        <v>0</v>
      </c>
      <c r="J79" s="2129"/>
      <c r="K79" s="2128">
        <v>0</v>
      </c>
      <c r="L79" s="2128"/>
      <c r="M79" s="2155">
        <v>19218</v>
      </c>
      <c r="N79" s="2128"/>
      <c r="O79" s="2128">
        <v>0</v>
      </c>
      <c r="P79" s="2132" t="s">
        <v>2124</v>
      </c>
      <c r="Q79" s="2130">
        <f>O79+M79+K79</f>
        <v>19218</v>
      </c>
      <c r="R79" s="2128"/>
      <c r="S79" s="2131" t="s">
        <v>2122</v>
      </c>
      <c r="T79" s="2103"/>
    </row>
    <row r="80" spans="1:20" ht="3.75" customHeight="1" x14ac:dyDescent="0.2">
      <c r="A80" s="2126"/>
      <c r="B80" s="2114"/>
      <c r="C80" s="2127"/>
      <c r="D80" s="2108"/>
      <c r="E80" s="2109"/>
      <c r="F80" s="2109"/>
      <c r="G80" s="2128"/>
      <c r="H80" s="2128"/>
      <c r="I80" s="2188"/>
      <c r="J80" s="2129"/>
      <c r="K80" s="2128"/>
      <c r="L80" s="2128"/>
      <c r="M80" s="2155"/>
      <c r="N80" s="2128"/>
      <c r="O80" s="2128"/>
      <c r="P80" s="2129"/>
      <c r="Q80" s="2155"/>
      <c r="R80" s="2128"/>
      <c r="S80" s="2131"/>
      <c r="T80" s="2103"/>
    </row>
    <row r="81" spans="1:20" ht="15" hidden="1" customHeight="1" x14ac:dyDescent="0.2">
      <c r="A81" s="2126"/>
      <c r="B81" s="2114" t="s">
        <v>2163</v>
      </c>
      <c r="C81" s="2127">
        <v>84.027000000000001</v>
      </c>
      <c r="D81" s="2108"/>
      <c r="E81" s="2109" t="s">
        <v>2169</v>
      </c>
      <c r="F81" s="2109"/>
      <c r="G81" s="2128"/>
      <c r="H81" s="2128"/>
      <c r="I81" s="2188"/>
      <c r="J81" s="2156"/>
      <c r="K81" s="2141"/>
      <c r="L81" s="2128"/>
      <c r="M81" s="2155"/>
      <c r="N81" s="2128"/>
      <c r="O81" s="2128"/>
      <c r="P81" s="2129"/>
      <c r="Q81" s="2155">
        <f>O81+M81+K81</f>
        <v>0</v>
      </c>
      <c r="R81" s="2128"/>
      <c r="S81" s="2131" t="s">
        <v>2122</v>
      </c>
      <c r="T81" s="2103"/>
    </row>
    <row r="82" spans="1:20" ht="15" hidden="1" customHeight="1" x14ac:dyDescent="0.2">
      <c r="A82" s="2126"/>
      <c r="B82" s="2114" t="s">
        <v>2163</v>
      </c>
      <c r="C82" s="2127">
        <v>84.027000000000001</v>
      </c>
      <c r="D82" s="2108"/>
      <c r="E82" s="2109" t="s">
        <v>2170</v>
      </c>
      <c r="F82" s="2109"/>
      <c r="G82" s="2128"/>
      <c r="H82" s="2128"/>
      <c r="I82" s="2188"/>
      <c r="J82" s="2129"/>
      <c r="K82" s="2128"/>
      <c r="L82" s="2128"/>
      <c r="M82" s="2153"/>
      <c r="N82" s="2128"/>
      <c r="O82" s="2128"/>
      <c r="P82" s="2129"/>
      <c r="Q82" s="2155">
        <f>O82+M82+K82</f>
        <v>0</v>
      </c>
      <c r="R82" s="2128"/>
      <c r="S82" s="2131" t="s">
        <v>2122</v>
      </c>
      <c r="T82" s="2103"/>
    </row>
    <row r="83" spans="1:20" ht="7.5" customHeight="1" x14ac:dyDescent="0.2">
      <c r="A83" s="2126"/>
      <c r="B83" s="2114"/>
      <c r="C83" s="2127"/>
      <c r="D83" s="2108"/>
      <c r="E83" s="2109"/>
      <c r="F83" s="2109"/>
      <c r="G83" s="2128"/>
      <c r="H83" s="2128"/>
      <c r="I83" s="2188"/>
      <c r="J83" s="2129"/>
      <c r="K83" s="2128"/>
      <c r="L83" s="2128"/>
      <c r="M83" s="2128"/>
      <c r="N83" s="2128"/>
      <c r="O83" s="2128"/>
      <c r="P83" s="2129"/>
      <c r="Q83" s="2130"/>
      <c r="R83" s="2128"/>
      <c r="S83" s="2128"/>
      <c r="T83" s="2103"/>
    </row>
    <row r="84" spans="1:20" ht="15" customHeight="1" x14ac:dyDescent="0.2">
      <c r="A84" s="2126"/>
      <c r="B84" s="2125" t="s">
        <v>2175</v>
      </c>
      <c r="C84" s="2127"/>
      <c r="D84" s="2108"/>
      <c r="E84" s="2109"/>
      <c r="F84" s="2109"/>
      <c r="G84" s="2133"/>
      <c r="H84" s="2128"/>
      <c r="I84" s="2202"/>
      <c r="J84" s="2129"/>
      <c r="K84" s="2133"/>
      <c r="L84" s="2128"/>
      <c r="M84" s="2133"/>
      <c r="N84" s="2128"/>
      <c r="O84" s="2133"/>
      <c r="P84" s="2132"/>
      <c r="Q84" s="2134"/>
      <c r="R84" s="2128"/>
      <c r="S84" s="2128"/>
      <c r="T84" s="2103"/>
    </row>
    <row r="85" spans="1:20" ht="15" customHeight="1" x14ac:dyDescent="0.2">
      <c r="A85" s="2126"/>
      <c r="B85" s="2125" t="s">
        <v>2060</v>
      </c>
      <c r="C85" s="2127"/>
      <c r="D85" s="2108"/>
      <c r="E85" s="2109"/>
      <c r="F85" s="2109"/>
      <c r="G85" s="2133"/>
      <c r="H85" s="2128"/>
      <c r="I85" s="2202"/>
      <c r="J85" s="2129"/>
      <c r="K85" s="2133"/>
      <c r="L85" s="2128"/>
      <c r="M85" s="2133"/>
      <c r="N85" s="2128"/>
      <c r="O85" s="2133"/>
      <c r="P85" s="2132"/>
      <c r="Q85" s="2134"/>
      <c r="R85" s="2128"/>
      <c r="S85" s="2128"/>
      <c r="T85" s="2103"/>
    </row>
    <row r="86" spans="1:20" ht="10.5" customHeight="1" x14ac:dyDescent="0.2">
      <c r="A86" s="2126"/>
      <c r="B86" s="2125"/>
      <c r="C86" s="2127"/>
      <c r="D86" s="2108"/>
      <c r="E86" s="2109"/>
      <c r="F86" s="2109"/>
      <c r="G86" s="2133"/>
      <c r="H86" s="2128"/>
      <c r="I86" s="2202"/>
      <c r="J86" s="2129"/>
      <c r="K86" s="2133"/>
      <c r="L86" s="2128"/>
      <c r="M86" s="2133"/>
      <c r="N86" s="2128"/>
      <c r="O86" s="2133"/>
      <c r="P86" s="2132"/>
      <c r="Q86" s="2134"/>
      <c r="R86" s="2128"/>
      <c r="S86" s="2128"/>
      <c r="T86" s="2103"/>
    </row>
    <row r="87" spans="1:20" ht="15" customHeight="1" x14ac:dyDescent="0.2">
      <c r="A87" s="2126"/>
      <c r="B87" s="2114" t="s">
        <v>2161</v>
      </c>
      <c r="C87" s="2127">
        <v>84.027000000000001</v>
      </c>
      <c r="D87" s="2111"/>
      <c r="E87" s="2109" t="s">
        <v>2176</v>
      </c>
      <c r="F87" s="2109"/>
      <c r="G87" s="2128">
        <v>24890</v>
      </c>
      <c r="H87" s="2128"/>
      <c r="I87" s="2188">
        <v>4602</v>
      </c>
      <c r="J87" s="2129"/>
      <c r="K87" s="2128">
        <v>29492</v>
      </c>
      <c r="L87" s="2128"/>
      <c r="M87" s="2128"/>
      <c r="N87" s="2128"/>
      <c r="O87" s="2128"/>
      <c r="P87" s="2129"/>
      <c r="Q87" s="2130">
        <f>O87+M87+K87</f>
        <v>29492</v>
      </c>
      <c r="R87" s="2128"/>
      <c r="S87" s="2128">
        <v>38344</v>
      </c>
      <c r="T87" s="2103"/>
    </row>
    <row r="88" spans="1:20" ht="15" customHeight="1" x14ac:dyDescent="0.2">
      <c r="A88" s="2126" t="s">
        <v>2257</v>
      </c>
      <c r="B88" s="2114" t="s">
        <v>2161</v>
      </c>
      <c r="C88" s="2127">
        <v>84.027000000000001</v>
      </c>
      <c r="D88" s="2111"/>
      <c r="E88" s="2109" t="s">
        <v>2177</v>
      </c>
      <c r="F88" s="2109"/>
      <c r="G88" s="2133">
        <v>0</v>
      </c>
      <c r="H88" s="2128"/>
      <c r="I88" s="2202">
        <f>229557-4602</f>
        <v>224955</v>
      </c>
      <c r="J88" s="2129"/>
      <c r="K88" s="2133">
        <v>0</v>
      </c>
      <c r="L88" s="2128"/>
      <c r="M88" s="2133">
        <v>249012</v>
      </c>
      <c r="N88" s="2128"/>
      <c r="O88" s="2133">
        <v>0</v>
      </c>
      <c r="P88" s="2129"/>
      <c r="Q88" s="2134">
        <f>O88+M88+K88</f>
        <v>249012</v>
      </c>
      <c r="R88" s="2128"/>
      <c r="S88" s="2128">
        <v>249012</v>
      </c>
      <c r="T88" s="2103"/>
    </row>
    <row r="89" spans="1:20" ht="15" hidden="1" customHeight="1" x14ac:dyDescent="0.2">
      <c r="A89" s="2126"/>
      <c r="B89" s="2114"/>
      <c r="C89" s="2127"/>
      <c r="D89" s="2108"/>
      <c r="E89" s="2109"/>
      <c r="F89" s="2109"/>
      <c r="G89" s="2133"/>
      <c r="H89" s="2128"/>
      <c r="I89" s="2202"/>
      <c r="J89" s="2129"/>
      <c r="K89" s="2133"/>
      <c r="L89" s="2128"/>
      <c r="M89" s="2133"/>
      <c r="N89" s="2128"/>
      <c r="O89" s="2133"/>
      <c r="P89" s="2132"/>
      <c r="Q89" s="2134"/>
      <c r="R89" s="2128"/>
      <c r="S89" s="2128"/>
      <c r="T89" s="2103"/>
    </row>
    <row r="90" spans="1:20" ht="7.5" hidden="1" customHeight="1" x14ac:dyDescent="0.2">
      <c r="A90" s="2126"/>
      <c r="B90" s="2114"/>
      <c r="C90" s="2127"/>
      <c r="D90" s="2108"/>
      <c r="E90" s="2109"/>
      <c r="F90" s="2109"/>
      <c r="G90" s="2128"/>
      <c r="H90" s="2128"/>
      <c r="I90" s="2188"/>
      <c r="J90" s="2129"/>
      <c r="K90" s="2128"/>
      <c r="L90" s="2128"/>
      <c r="M90" s="2128"/>
      <c r="N90" s="2128"/>
      <c r="O90" s="2128"/>
      <c r="P90" s="2129"/>
      <c r="Q90" s="2130"/>
      <c r="R90" s="2128"/>
      <c r="S90" s="2128"/>
      <c r="T90" s="2103"/>
    </row>
    <row r="91" spans="1:20" ht="15" hidden="1" customHeight="1" x14ac:dyDescent="0.2">
      <c r="A91" s="2126"/>
      <c r="B91" s="2114" t="s">
        <v>2178</v>
      </c>
      <c r="C91" s="2127">
        <v>84.364999999999995</v>
      </c>
      <c r="D91" s="2108"/>
      <c r="E91" s="2109" t="s">
        <v>2179</v>
      </c>
      <c r="F91" s="2109"/>
      <c r="G91" s="2128"/>
      <c r="H91" s="2135"/>
      <c r="I91" s="2188">
        <v>0</v>
      </c>
      <c r="J91" s="2129"/>
      <c r="K91" s="2128"/>
      <c r="L91" s="2128"/>
      <c r="M91" s="2128">
        <v>0</v>
      </c>
      <c r="N91" s="2128"/>
      <c r="O91" s="2128"/>
      <c r="Q91" s="2130">
        <f>O91+M91+K91</f>
        <v>0</v>
      </c>
      <c r="R91" s="2128"/>
      <c r="S91" s="2128">
        <v>13800</v>
      </c>
      <c r="T91" s="2103"/>
    </row>
    <row r="92" spans="1:20" ht="15" hidden="1" customHeight="1" x14ac:dyDescent="0.2">
      <c r="A92" s="2126"/>
      <c r="B92" s="2114" t="s">
        <v>2178</v>
      </c>
      <c r="C92" s="2127">
        <v>84.364999999999995</v>
      </c>
      <c r="D92" s="2108"/>
      <c r="E92" s="2109" t="s">
        <v>2180</v>
      </c>
      <c r="F92" s="2109"/>
      <c r="G92" s="2136">
        <v>0</v>
      </c>
      <c r="H92" s="2135"/>
      <c r="I92" s="2204">
        <v>0</v>
      </c>
      <c r="J92" s="2129"/>
      <c r="K92" s="2136"/>
      <c r="L92" s="2128"/>
      <c r="M92" s="2134">
        <v>0</v>
      </c>
      <c r="N92" s="2128"/>
      <c r="O92" s="2136">
        <v>0</v>
      </c>
      <c r="P92" s="2132" t="s">
        <v>2124</v>
      </c>
      <c r="Q92" s="2134">
        <f>O92+M92+K92</f>
        <v>0</v>
      </c>
      <c r="R92" s="2128"/>
      <c r="S92" s="2128">
        <v>12000</v>
      </c>
      <c r="T92" s="2103"/>
    </row>
    <row r="93" spans="1:20" ht="9" hidden="1" customHeight="1" x14ac:dyDescent="0.2">
      <c r="B93" s="2108"/>
      <c r="C93" s="2108"/>
      <c r="D93" s="2108"/>
      <c r="E93" s="2108"/>
      <c r="F93" s="2109"/>
      <c r="G93" s="2128"/>
      <c r="H93" s="2128"/>
      <c r="I93" s="2188"/>
      <c r="J93" s="2129"/>
      <c r="K93" s="2128"/>
      <c r="L93" s="2128"/>
      <c r="M93" s="2128"/>
      <c r="N93" s="2128"/>
      <c r="O93" s="2128"/>
      <c r="P93" s="2129"/>
      <c r="Q93" s="2157" t="s">
        <v>1159</v>
      </c>
      <c r="R93" s="2128"/>
      <c r="S93" s="2128"/>
      <c r="T93" s="2103"/>
    </row>
    <row r="94" spans="1:20" ht="15" customHeight="1" x14ac:dyDescent="0.2">
      <c r="B94" s="2108"/>
      <c r="C94" s="2109" t="s">
        <v>2283</v>
      </c>
      <c r="D94" s="2108"/>
      <c r="E94" s="2108"/>
      <c r="F94" s="2109"/>
      <c r="G94" s="2133">
        <f>SUM(G78:G88)</f>
        <v>24890</v>
      </c>
      <c r="H94" s="2128"/>
      <c r="I94" s="2202">
        <f>SUM(I78:I88)</f>
        <v>233510</v>
      </c>
      <c r="J94" s="2129"/>
      <c r="K94" s="2133">
        <f>SUM(K78:K88)</f>
        <v>33445</v>
      </c>
      <c r="L94" s="2128"/>
      <c r="M94" s="2133">
        <f>SUM(M78:M88)</f>
        <v>268230</v>
      </c>
      <c r="N94" s="2128"/>
      <c r="O94" s="2133">
        <f>SUM(O78:O88)</f>
        <v>0</v>
      </c>
      <c r="P94" s="2129"/>
      <c r="Q94" s="2192">
        <f>SUM(Q78:Q88)</f>
        <v>301675</v>
      </c>
      <c r="R94" s="2128"/>
      <c r="S94" s="2128"/>
      <c r="T94" s="2103"/>
    </row>
    <row r="95" spans="1:20" ht="5.25" customHeight="1" x14ac:dyDescent="0.2">
      <c r="B95" s="2108"/>
      <c r="C95" s="2108"/>
      <c r="D95" s="2108"/>
      <c r="E95" s="2108"/>
      <c r="F95" s="2109"/>
      <c r="G95" s="2128"/>
      <c r="H95" s="2128"/>
      <c r="I95" s="2188"/>
      <c r="J95" s="2129"/>
      <c r="K95" s="2128"/>
      <c r="L95" s="2128"/>
      <c r="M95" s="2128"/>
      <c r="N95" s="2128"/>
      <c r="O95" s="2128"/>
      <c r="P95" s="2129"/>
      <c r="Q95" s="2157"/>
      <c r="R95" s="2128"/>
      <c r="S95" s="2128"/>
      <c r="T95" s="2103"/>
    </row>
    <row r="96" spans="1:20" ht="15" customHeight="1" x14ac:dyDescent="0.2">
      <c r="A96" s="2113" t="s">
        <v>2181</v>
      </c>
      <c r="C96" s="2158"/>
      <c r="D96" s="2108"/>
      <c r="E96" s="2108"/>
      <c r="F96" s="2109"/>
      <c r="G96" s="2134">
        <f>SUM(G74:G88)+G61+G53</f>
        <v>174572</v>
      </c>
      <c r="H96" s="2134"/>
      <c r="I96" s="2204">
        <f>SUM(I74:I88)++I61+I53+I54+I66</f>
        <v>497873</v>
      </c>
      <c r="J96" s="2134"/>
      <c r="K96" s="2134">
        <f>SUM(K74:K88)+K61+K53</f>
        <v>277558</v>
      </c>
      <c r="L96" s="2134"/>
      <c r="M96" s="2134">
        <f>SUM(M74:M89)+M61+M54+M53+M66</f>
        <v>587675</v>
      </c>
      <c r="N96" s="2134"/>
      <c r="O96" s="2134">
        <f>SUM(O74:O89)+O61</f>
        <v>45697</v>
      </c>
      <c r="P96" s="2134"/>
      <c r="Q96" s="2134">
        <f>SUM(Q74:Q89)+Q61+Q66+Q53+Q54</f>
        <v>910930</v>
      </c>
      <c r="R96" s="2157"/>
      <c r="S96" s="2157" t="s">
        <v>1159</v>
      </c>
      <c r="T96" s="2103"/>
    </row>
    <row r="97" spans="1:20" ht="15" customHeight="1" x14ac:dyDescent="0.2">
      <c r="A97" s="2113"/>
      <c r="C97" s="2158"/>
      <c r="D97" s="2108"/>
      <c r="E97" s="2108"/>
      <c r="F97" s="2109"/>
      <c r="G97" s="2134"/>
      <c r="H97" s="2134"/>
      <c r="I97" s="2204"/>
      <c r="J97" s="2134"/>
      <c r="K97" s="2134"/>
      <c r="L97" s="2134"/>
      <c r="M97" s="2134"/>
      <c r="N97" s="2134"/>
      <c r="O97" s="2134"/>
      <c r="P97" s="2134"/>
      <c r="Q97" s="2134"/>
      <c r="R97" s="2157"/>
      <c r="S97" s="2157"/>
      <c r="T97" s="2103"/>
    </row>
    <row r="98" spans="1:20" ht="15" hidden="1" customHeight="1" x14ac:dyDescent="0.2">
      <c r="A98" s="2125" t="s">
        <v>2143</v>
      </c>
      <c r="B98" s="2108"/>
      <c r="C98" s="2108"/>
      <c r="D98" s="2108"/>
      <c r="E98" s="2108"/>
      <c r="F98" s="2109"/>
      <c r="G98" s="2128"/>
      <c r="H98" s="2128"/>
      <c r="I98" s="2188"/>
      <c r="J98" s="2129"/>
      <c r="K98" s="2128"/>
      <c r="L98" s="2128"/>
      <c r="M98" s="2128"/>
      <c r="N98" s="2128"/>
      <c r="O98" s="2128"/>
      <c r="P98" s="2129"/>
      <c r="Q98" s="2128"/>
      <c r="R98" s="2128"/>
      <c r="S98" s="2128"/>
      <c r="T98" s="2103"/>
    </row>
    <row r="99" spans="1:20" ht="17.25" hidden="1" customHeight="1" x14ac:dyDescent="0.2">
      <c r="A99" s="2125" t="s">
        <v>2182</v>
      </c>
      <c r="B99" s="2108"/>
      <c r="C99" s="2108"/>
      <c r="D99" s="2108"/>
      <c r="E99" s="2108"/>
      <c r="F99" s="2109"/>
      <c r="G99" s="2128"/>
      <c r="H99" s="2128"/>
      <c r="I99" s="2188"/>
      <c r="J99" s="2129"/>
      <c r="K99" s="2128"/>
      <c r="L99" s="2128"/>
      <c r="M99" s="2128"/>
      <c r="N99" s="2128"/>
      <c r="O99" s="2128"/>
      <c r="P99" s="2129"/>
      <c r="Q99" s="2128"/>
      <c r="R99" s="2128"/>
      <c r="S99" s="2128"/>
      <c r="T99" s="2103"/>
    </row>
    <row r="100" spans="1:20" ht="17.25" hidden="1" customHeight="1" x14ac:dyDescent="0.2">
      <c r="A100" s="2125" t="s">
        <v>2183</v>
      </c>
      <c r="B100" s="2108"/>
      <c r="C100" s="2108"/>
      <c r="D100" s="2108"/>
      <c r="E100" s="2108"/>
      <c r="F100" s="2109"/>
      <c r="G100" s="2128"/>
      <c r="H100" s="2128"/>
      <c r="I100" s="2188"/>
      <c r="J100" s="2129"/>
      <c r="K100" s="2128"/>
      <c r="L100" s="2128"/>
      <c r="M100" s="2128"/>
      <c r="N100" s="2128"/>
      <c r="O100" s="2128"/>
      <c r="P100" s="2129"/>
      <c r="Q100" s="2128"/>
      <c r="R100" s="2128"/>
      <c r="S100" s="2128"/>
      <c r="T100" s="2103"/>
    </row>
    <row r="101" spans="1:20" ht="6.6" hidden="1" customHeight="1" x14ac:dyDescent="0.2">
      <c r="A101" s="2125"/>
      <c r="B101" s="2108"/>
      <c r="C101" s="2108"/>
      <c r="D101" s="2108"/>
      <c r="E101" s="2108"/>
      <c r="F101" s="2109"/>
      <c r="G101" s="2128"/>
      <c r="H101" s="2128"/>
      <c r="I101" s="2188"/>
      <c r="J101" s="2129"/>
      <c r="K101" s="2128"/>
      <c r="L101" s="2128"/>
      <c r="M101" s="2133"/>
      <c r="N101" s="2128"/>
      <c r="O101" s="2128"/>
      <c r="P101" s="2129"/>
      <c r="Q101" s="2130"/>
      <c r="R101" s="2128"/>
      <c r="S101" s="2128"/>
      <c r="T101" s="2103"/>
    </row>
    <row r="102" spans="1:20" ht="18.600000000000001" hidden="1" customHeight="1" x14ac:dyDescent="0.2">
      <c r="A102" s="2126"/>
      <c r="B102" s="2108" t="s">
        <v>2184</v>
      </c>
      <c r="C102" s="2127">
        <v>84.027000000000001</v>
      </c>
      <c r="D102" s="2108"/>
      <c r="E102" s="2108" t="s">
        <v>2185</v>
      </c>
      <c r="F102" s="2109"/>
      <c r="G102" s="2128"/>
      <c r="H102" s="2128"/>
      <c r="I102" s="2188"/>
      <c r="J102" s="2129"/>
      <c r="K102" s="2128"/>
      <c r="L102" s="2128"/>
      <c r="M102" s="2128"/>
      <c r="N102" s="2128"/>
      <c r="O102" s="2128" t="s">
        <v>1159</v>
      </c>
      <c r="P102" s="2129"/>
      <c r="Q102" s="2130">
        <f>O102+M102+K102</f>
        <v>0</v>
      </c>
      <c r="R102" s="2128"/>
      <c r="S102" s="2141">
        <v>1498</v>
      </c>
      <c r="T102" s="2103"/>
    </row>
    <row r="103" spans="1:20" ht="18" hidden="1" customHeight="1" x14ac:dyDescent="0.2">
      <c r="A103" s="2126"/>
      <c r="B103" s="2108" t="s">
        <v>2184</v>
      </c>
      <c r="C103" s="2127">
        <v>84.027000000000001</v>
      </c>
      <c r="D103" s="2108"/>
      <c r="E103" s="2108" t="s">
        <v>2186</v>
      </c>
      <c r="F103" s="2109"/>
      <c r="G103" s="2133">
        <v>0</v>
      </c>
      <c r="H103" s="2128"/>
      <c r="I103" s="2202">
        <v>0</v>
      </c>
      <c r="J103" s="2129"/>
      <c r="K103" s="2133">
        <v>0</v>
      </c>
      <c r="L103" s="2128"/>
      <c r="M103" s="2159"/>
      <c r="N103" s="2128"/>
      <c r="O103" s="2133">
        <v>0</v>
      </c>
      <c r="P103" s="2129"/>
      <c r="Q103" s="2134">
        <f>O103+M103+K103</f>
        <v>0</v>
      </c>
      <c r="R103" s="2128"/>
      <c r="S103" s="2128">
        <v>11314</v>
      </c>
      <c r="T103" s="2103"/>
    </row>
    <row r="104" spans="1:20" ht="18.75" hidden="1" customHeight="1" x14ac:dyDescent="0.2">
      <c r="A104" s="2113" t="s">
        <v>2187</v>
      </c>
      <c r="B104" s="2114"/>
      <c r="C104" s="2127"/>
      <c r="D104" s="2108"/>
      <c r="E104" s="2109"/>
      <c r="F104" s="2109"/>
      <c r="G104" s="2133">
        <f>SUM(G101:G103)</f>
        <v>0</v>
      </c>
      <c r="H104" s="2128"/>
      <c r="I104" s="2202">
        <f>SUM(I101:I103)</f>
        <v>0</v>
      </c>
      <c r="J104" s="2129"/>
      <c r="K104" s="2133">
        <f>SUM(K101:K103)</f>
        <v>0</v>
      </c>
      <c r="L104" s="2128"/>
      <c r="M104" s="2133">
        <f>SUM(M101:M103)</f>
        <v>0</v>
      </c>
      <c r="N104" s="2128"/>
      <c r="O104" s="2133">
        <f>SUM(O101:O103)</f>
        <v>0</v>
      </c>
      <c r="P104" s="2129"/>
      <c r="Q104" s="2133">
        <f>SUM(Q101:Q103)</f>
        <v>0</v>
      </c>
      <c r="R104" s="2128"/>
      <c r="S104" s="2131"/>
      <c r="T104" s="2103"/>
    </row>
    <row r="105" spans="1:20" ht="15" hidden="1" customHeight="1" x14ac:dyDescent="0.2">
      <c r="A105" s="2113"/>
      <c r="B105" s="2114"/>
      <c r="C105" s="2127"/>
      <c r="D105" s="2108"/>
      <c r="E105" s="2109"/>
      <c r="F105" s="2109"/>
      <c r="G105" s="2133"/>
      <c r="H105" s="2128"/>
      <c r="I105" s="2202"/>
      <c r="J105" s="2129"/>
      <c r="K105" s="2133"/>
      <c r="L105" s="2128"/>
      <c r="M105" s="2133"/>
      <c r="N105" s="2128"/>
      <c r="O105" s="2133"/>
      <c r="P105" s="2129"/>
      <c r="Q105" s="2133"/>
      <c r="R105" s="2128"/>
      <c r="S105" s="2131"/>
      <c r="T105" s="2103"/>
    </row>
    <row r="106" spans="1:20" ht="16.5" hidden="1" customHeight="1" x14ac:dyDescent="0.2">
      <c r="A106" s="2125" t="s">
        <v>2143</v>
      </c>
      <c r="C106" s="2158"/>
      <c r="D106" s="2108"/>
      <c r="E106" s="2108"/>
      <c r="F106" s="2109"/>
      <c r="G106" s="2134"/>
      <c r="H106" s="2134"/>
      <c r="I106" s="2204"/>
      <c r="J106" s="2134"/>
      <c r="K106" s="2134"/>
      <c r="L106" s="2134"/>
      <c r="M106" s="2134"/>
      <c r="N106" s="2134"/>
      <c r="O106" s="2134"/>
      <c r="P106" s="2134"/>
      <c r="Q106" s="2134"/>
      <c r="R106" s="2157"/>
      <c r="S106" s="2157"/>
      <c r="T106" s="2103"/>
    </row>
    <row r="107" spans="1:20" ht="15.75" hidden="1" customHeight="1" x14ac:dyDescent="0.2">
      <c r="A107" s="2125" t="s">
        <v>2188</v>
      </c>
      <c r="C107" s="2158"/>
      <c r="D107" s="2108"/>
      <c r="E107" s="2108"/>
      <c r="F107" s="2109"/>
      <c r="G107" s="2134"/>
      <c r="H107" s="2134"/>
      <c r="I107" s="2204"/>
      <c r="J107" s="2134"/>
      <c r="K107" s="2134"/>
      <c r="L107" s="2134"/>
      <c r="M107" s="2134"/>
      <c r="N107" s="2134"/>
      <c r="O107" s="2134"/>
      <c r="P107" s="2134"/>
      <c r="Q107" s="2134"/>
      <c r="R107" s="2157"/>
      <c r="S107" s="2157"/>
      <c r="T107" s="2103"/>
    </row>
    <row r="108" spans="1:20" ht="18" hidden="1" customHeight="1" x14ac:dyDescent="0.2">
      <c r="A108" s="2113"/>
      <c r="B108" s="2114" t="s">
        <v>2280</v>
      </c>
      <c r="C108" s="2127">
        <v>84.358000000000004</v>
      </c>
      <c r="D108" s="2108"/>
      <c r="E108" s="2109" t="s">
        <v>2189</v>
      </c>
      <c r="F108" s="2109"/>
      <c r="G108" s="2134"/>
      <c r="H108" s="2134"/>
      <c r="I108" s="2204">
        <v>0</v>
      </c>
      <c r="J108" s="2134"/>
      <c r="K108" s="2134"/>
      <c r="L108" s="2134"/>
      <c r="M108" s="2134">
        <v>0</v>
      </c>
      <c r="N108" s="2134"/>
      <c r="O108" s="2134">
        <v>0</v>
      </c>
      <c r="P108" s="2134"/>
      <c r="Q108" s="2134">
        <f>O108+M108+K108</f>
        <v>0</v>
      </c>
      <c r="R108" s="2157"/>
      <c r="S108" s="2131"/>
      <c r="T108" s="2103"/>
    </row>
    <row r="109" spans="1:20" ht="18" hidden="1" customHeight="1" x14ac:dyDescent="0.2">
      <c r="A109" s="2113" t="s">
        <v>2190</v>
      </c>
      <c r="B109" s="2114"/>
      <c r="C109" s="2127"/>
      <c r="D109" s="2108"/>
      <c r="E109" s="2109"/>
      <c r="F109" s="2109"/>
      <c r="G109" s="2133">
        <f>SUM(G106:G108)</f>
        <v>0</v>
      </c>
      <c r="H109" s="2128"/>
      <c r="I109" s="2202">
        <f>SUM(I106:I108)</f>
        <v>0</v>
      </c>
      <c r="J109" s="2129"/>
      <c r="K109" s="2133">
        <f>SUM(K106:K108)</f>
        <v>0</v>
      </c>
      <c r="L109" s="2128"/>
      <c r="M109" s="2133">
        <f>SUM(M106:M108)</f>
        <v>0</v>
      </c>
      <c r="N109" s="2128"/>
      <c r="O109" s="2133">
        <f>SUM(O106:O108)</f>
        <v>0</v>
      </c>
      <c r="P109" s="2129"/>
      <c r="Q109" s="2133">
        <f>SUM(Q106:Q108)</f>
        <v>0</v>
      </c>
      <c r="R109" s="2128"/>
      <c r="S109" s="2131"/>
      <c r="T109" s="2103"/>
    </row>
    <row r="110" spans="1:20" ht="15" hidden="1" customHeight="1" x14ac:dyDescent="0.2">
      <c r="A110" s="2113"/>
      <c r="C110" s="2158"/>
      <c r="D110" s="2108"/>
      <c r="E110" s="2108"/>
      <c r="F110" s="2109"/>
      <c r="G110" s="2134"/>
      <c r="H110" s="2134"/>
      <c r="I110" s="2204"/>
      <c r="J110" s="2134"/>
      <c r="K110" s="2134"/>
      <c r="L110" s="2134"/>
      <c r="M110" s="2134"/>
      <c r="N110" s="2134"/>
      <c r="O110" s="2134"/>
      <c r="P110" s="2134"/>
      <c r="Q110" s="2134"/>
      <c r="R110" s="2157"/>
      <c r="S110" s="2157"/>
      <c r="T110" s="2103"/>
    </row>
    <row r="111" spans="1:20" ht="18" hidden="1" customHeight="1" x14ac:dyDescent="0.2">
      <c r="A111" s="2125" t="s">
        <v>2143</v>
      </c>
      <c r="B111" s="2108"/>
      <c r="C111" s="2108"/>
      <c r="D111" s="2108"/>
      <c r="E111" s="2108"/>
      <c r="F111" s="2109"/>
      <c r="G111" s="2128"/>
      <c r="H111" s="2128"/>
      <c r="I111" s="2188" t="s">
        <v>1159</v>
      </c>
      <c r="J111" s="2129"/>
      <c r="K111" s="2128"/>
      <c r="L111" s="2128"/>
      <c r="M111" s="2128"/>
      <c r="N111" s="2128"/>
      <c r="O111" s="2128"/>
      <c r="P111" s="2129"/>
      <c r="Q111" s="2128"/>
      <c r="R111" s="2128"/>
      <c r="S111" s="2128"/>
      <c r="T111" s="2103"/>
    </row>
    <row r="112" spans="1:20" ht="17.25" hidden="1" customHeight="1" x14ac:dyDescent="0.2">
      <c r="A112" s="2125" t="s">
        <v>2182</v>
      </c>
      <c r="B112" s="2108"/>
      <c r="C112" s="2108"/>
      <c r="D112" s="2108"/>
      <c r="E112" s="2108"/>
      <c r="F112" s="2109"/>
      <c r="G112" s="2128"/>
      <c r="H112" s="2128"/>
      <c r="I112" s="2188"/>
      <c r="J112" s="2129"/>
      <c r="K112" s="2128"/>
      <c r="L112" s="2128"/>
      <c r="M112" s="2128"/>
      <c r="N112" s="2128"/>
      <c r="O112" s="2128"/>
      <c r="P112" s="2129"/>
      <c r="Q112" s="2128"/>
      <c r="R112" s="2128"/>
      <c r="S112" s="2128"/>
      <c r="T112" s="2103"/>
    </row>
    <row r="113" spans="1:20" ht="17.25" hidden="1" customHeight="1" x14ac:dyDescent="0.2">
      <c r="A113" s="2125" t="s">
        <v>2281</v>
      </c>
      <c r="B113" s="2108"/>
      <c r="C113" s="2108"/>
      <c r="D113" s="2108"/>
      <c r="E113" s="2108"/>
      <c r="F113" s="2109"/>
      <c r="G113" s="2128"/>
      <c r="H113" s="2128"/>
      <c r="I113" s="2188"/>
      <c r="J113" s="2129"/>
      <c r="K113" s="2128"/>
      <c r="L113" s="2128"/>
      <c r="M113" s="2128"/>
      <c r="N113" s="2128"/>
      <c r="O113" s="2128"/>
      <c r="P113" s="2129"/>
      <c r="Q113" s="2128"/>
      <c r="R113" s="2128"/>
      <c r="S113" s="2128"/>
      <c r="T113" s="2103"/>
    </row>
    <row r="114" spans="1:20" ht="15" hidden="1" customHeight="1" x14ac:dyDescent="0.2">
      <c r="A114" s="2125"/>
      <c r="B114" s="2108"/>
      <c r="C114" s="2108"/>
      <c r="D114" s="2108"/>
      <c r="E114" s="2108"/>
      <c r="F114" s="2109"/>
      <c r="G114" s="2128"/>
      <c r="H114" s="2128"/>
      <c r="I114" s="2188"/>
      <c r="J114" s="2129"/>
      <c r="K114" s="2128"/>
      <c r="L114" s="2128"/>
      <c r="M114" s="2133"/>
      <c r="N114" s="2128"/>
      <c r="O114" s="2128"/>
      <c r="P114" s="2129"/>
      <c r="Q114" s="2130"/>
      <c r="R114" s="2128"/>
      <c r="S114" s="2128"/>
      <c r="T114" s="2103"/>
    </row>
    <row r="115" spans="1:20" ht="15" hidden="1" customHeight="1" x14ac:dyDescent="0.2">
      <c r="A115" s="2125"/>
      <c r="B115" s="2108" t="s">
        <v>2191</v>
      </c>
      <c r="C115" s="2108" t="s">
        <v>2192</v>
      </c>
      <c r="D115" s="2108"/>
      <c r="E115" s="2108" t="s">
        <v>2193</v>
      </c>
      <c r="F115" s="2109"/>
      <c r="G115" s="2128"/>
      <c r="H115" s="2128"/>
      <c r="I115" s="2188"/>
      <c r="J115" s="2129"/>
      <c r="K115" s="2128"/>
      <c r="L115" s="2128"/>
      <c r="M115" s="2133"/>
      <c r="N115" s="2128"/>
      <c r="O115" s="2128"/>
      <c r="P115" s="2129"/>
      <c r="Q115" s="2130">
        <f>O115+M115+K115</f>
        <v>0</v>
      </c>
      <c r="R115" s="2128"/>
      <c r="S115" s="2128"/>
      <c r="T115" s="2103"/>
    </row>
    <row r="116" spans="1:20" ht="15" hidden="1" customHeight="1" x14ac:dyDescent="0.2">
      <c r="A116" s="2125"/>
      <c r="B116" s="2108" t="s">
        <v>2191</v>
      </c>
      <c r="C116" s="2108" t="s">
        <v>2192</v>
      </c>
      <c r="D116" s="2108"/>
      <c r="E116" s="2108" t="s">
        <v>2194</v>
      </c>
      <c r="F116" s="2109"/>
      <c r="G116" s="2128"/>
      <c r="H116" s="2128"/>
      <c r="I116" s="2188"/>
      <c r="J116" s="2129"/>
      <c r="K116" s="2128"/>
      <c r="L116" s="2128"/>
      <c r="M116" s="2160"/>
      <c r="N116" s="2128"/>
      <c r="O116" s="2128"/>
      <c r="P116" s="2129"/>
      <c r="Q116" s="2130">
        <f>O116+M116+K116</f>
        <v>0</v>
      </c>
      <c r="R116" s="2128"/>
      <c r="S116" s="2128"/>
      <c r="T116" s="2103"/>
    </row>
    <row r="117" spans="1:20" ht="15" hidden="1" customHeight="1" x14ac:dyDescent="0.2">
      <c r="A117" s="2125"/>
      <c r="B117" s="2108"/>
      <c r="C117" s="2108"/>
      <c r="D117" s="2108"/>
      <c r="E117" s="2108"/>
      <c r="F117" s="2109"/>
      <c r="G117" s="2128"/>
      <c r="H117" s="2128"/>
      <c r="I117" s="2188"/>
      <c r="J117" s="2129"/>
      <c r="K117" s="2133"/>
      <c r="L117" s="2128"/>
      <c r="M117" s="2133"/>
      <c r="N117" s="2128"/>
      <c r="O117" s="2128"/>
      <c r="P117" s="2129"/>
      <c r="Q117" s="2130"/>
      <c r="R117" s="2128"/>
      <c r="S117" s="2128"/>
      <c r="T117" s="2103"/>
    </row>
    <row r="118" spans="1:20" ht="17.25" hidden="1" customHeight="1" x14ac:dyDescent="0.2">
      <c r="A118" s="2125"/>
      <c r="B118" s="2114" t="s">
        <v>2195</v>
      </c>
      <c r="C118" s="2127">
        <v>84.242999999999995</v>
      </c>
      <c r="D118" s="2108"/>
      <c r="E118" s="2109" t="s">
        <v>2196</v>
      </c>
      <c r="F118" s="2109"/>
      <c r="G118" s="2136"/>
      <c r="H118" s="2128"/>
      <c r="I118" s="2205"/>
      <c r="J118" s="2129"/>
      <c r="K118" s="2136"/>
      <c r="L118" s="2128"/>
      <c r="M118" s="2161"/>
      <c r="N118" s="2128"/>
      <c r="O118" s="2136"/>
      <c r="P118" s="2129"/>
      <c r="Q118" s="2162">
        <f>O118+M118+K118</f>
        <v>0</v>
      </c>
      <c r="R118" s="2128"/>
      <c r="S118" s="2131"/>
      <c r="T118" s="2103"/>
    </row>
    <row r="119" spans="1:20" ht="18" hidden="1" customHeight="1" x14ac:dyDescent="0.2">
      <c r="A119" s="2113" t="s">
        <v>2197</v>
      </c>
      <c r="B119" s="2114"/>
      <c r="C119" s="2127"/>
      <c r="D119" s="2108"/>
      <c r="E119" s="2109"/>
      <c r="F119" s="2109"/>
      <c r="G119" s="2133">
        <f>SUM(G114:G118)</f>
        <v>0</v>
      </c>
      <c r="H119" s="2128"/>
      <c r="I119" s="2202">
        <f>SUM(I114:I118)</f>
        <v>0</v>
      </c>
      <c r="J119" s="2129"/>
      <c r="K119" s="2133">
        <f>SUM(K114:K118)</f>
        <v>0</v>
      </c>
      <c r="L119" s="2128"/>
      <c r="M119" s="2133">
        <f>SUM(M114:M118)</f>
        <v>0</v>
      </c>
      <c r="N119" s="2128"/>
      <c r="O119" s="2133">
        <f>SUM(O114:O118)</f>
        <v>0</v>
      </c>
      <c r="P119" s="2129"/>
      <c r="Q119" s="2133">
        <f>SUM(Q114:Q118)</f>
        <v>0</v>
      </c>
      <c r="R119" s="2128"/>
      <c r="S119" s="2131"/>
      <c r="T119" s="2103"/>
    </row>
    <row r="120" spans="1:20" ht="15" hidden="1" customHeight="1" x14ac:dyDescent="0.2">
      <c r="A120" s="2113"/>
      <c r="B120" s="2114"/>
      <c r="C120" s="2127"/>
      <c r="D120" s="2108"/>
      <c r="E120" s="2109"/>
      <c r="F120" s="2109"/>
      <c r="G120" s="2133"/>
      <c r="H120" s="2128"/>
      <c r="I120" s="2202"/>
      <c r="J120" s="2129"/>
      <c r="K120" s="2133"/>
      <c r="L120" s="2128"/>
      <c r="M120" s="2133"/>
      <c r="N120" s="2128"/>
      <c r="O120" s="2133"/>
      <c r="P120" s="2129"/>
      <c r="Q120" s="2134"/>
      <c r="R120" s="2128"/>
      <c r="S120" s="2131"/>
      <c r="T120" s="2103"/>
    </row>
    <row r="121" spans="1:20" ht="18" customHeight="1" x14ac:dyDescent="0.2">
      <c r="A121" s="2113" t="s">
        <v>2198</v>
      </c>
      <c r="B121" s="2114"/>
      <c r="C121" s="2127"/>
      <c r="D121" s="2108"/>
      <c r="E121" s="2109"/>
      <c r="F121" s="2109"/>
      <c r="G121" s="2133">
        <f>SUM(G96,G104,G109,G119)</f>
        <v>174572</v>
      </c>
      <c r="H121" s="2128"/>
      <c r="I121" s="2202">
        <f>SUM(I96,I104,I109,I119)</f>
        <v>497873</v>
      </c>
      <c r="J121" s="2129"/>
      <c r="K121" s="2133">
        <f>SUM(K96,K104,K109,K119)</f>
        <v>277558</v>
      </c>
      <c r="L121" s="2128"/>
      <c r="M121" s="2133">
        <f>SUM(M96,M104,M109,M119)</f>
        <v>587675</v>
      </c>
      <c r="N121" s="2128"/>
      <c r="O121" s="2133">
        <f>SUM(O96,O104,O109,O119)</f>
        <v>45697</v>
      </c>
      <c r="P121" s="2129"/>
      <c r="Q121" s="2133">
        <f>SUM(Q96,Q104,Q109,Q119)</f>
        <v>910930</v>
      </c>
      <c r="R121" s="2128"/>
      <c r="S121" s="2131"/>
      <c r="T121" s="2103"/>
    </row>
    <row r="122" spans="1:20" ht="9.75" customHeight="1" x14ac:dyDescent="0.2">
      <c r="A122" s="2125"/>
      <c r="B122" s="2108"/>
      <c r="C122" s="2108"/>
      <c r="D122" s="2108"/>
      <c r="E122" s="2108"/>
      <c r="F122" s="2109"/>
      <c r="G122" s="2133"/>
      <c r="H122" s="2128"/>
      <c r="I122" s="2202"/>
      <c r="J122" s="2133"/>
      <c r="K122" s="2133"/>
      <c r="L122" s="2133"/>
      <c r="M122" s="2133"/>
      <c r="N122" s="2133"/>
      <c r="O122" s="2133"/>
      <c r="P122" s="2133"/>
      <c r="Q122" s="2133"/>
      <c r="R122" s="2128"/>
      <c r="S122" s="2128"/>
      <c r="T122" s="2103"/>
    </row>
    <row r="123" spans="1:20" ht="15" customHeight="1" x14ac:dyDescent="0.2">
      <c r="A123" s="2125" t="s">
        <v>2199</v>
      </c>
      <c r="B123" s="2108"/>
      <c r="C123" s="2108"/>
      <c r="D123" s="2108"/>
      <c r="E123" s="2108"/>
      <c r="F123" s="2109"/>
      <c r="G123" s="2128"/>
      <c r="H123" s="2128"/>
      <c r="I123" s="2188"/>
      <c r="J123" s="2129"/>
      <c r="K123" s="2128"/>
      <c r="L123" s="2128"/>
      <c r="M123" s="2128"/>
      <c r="N123" s="2128"/>
      <c r="O123" s="2128"/>
      <c r="P123" s="2129"/>
      <c r="Q123" s="2128"/>
      <c r="R123" s="2128"/>
      <c r="S123" s="2128"/>
      <c r="T123" s="2103"/>
    </row>
    <row r="124" spans="1:20" ht="15" customHeight="1" x14ac:dyDescent="0.2">
      <c r="A124" s="2125" t="s">
        <v>2182</v>
      </c>
      <c r="B124" s="2108"/>
      <c r="C124" s="2108"/>
      <c r="D124" s="2108"/>
      <c r="E124" s="2108"/>
      <c r="F124" s="2109"/>
      <c r="G124" s="2128"/>
      <c r="H124" s="2128"/>
      <c r="I124" s="2188"/>
      <c r="J124" s="2129"/>
      <c r="K124" s="2128"/>
      <c r="L124" s="2128"/>
      <c r="M124" s="2128"/>
      <c r="N124" s="2128"/>
      <c r="O124" s="2128"/>
      <c r="P124" s="2129"/>
      <c r="Q124" s="2128"/>
      <c r="R124" s="2128"/>
      <c r="S124" s="2128"/>
      <c r="T124" s="2103"/>
    </row>
    <row r="125" spans="1:20" ht="15" customHeight="1" x14ac:dyDescent="0.2">
      <c r="A125" s="2125" t="s">
        <v>2200</v>
      </c>
      <c r="B125" s="2108"/>
      <c r="C125" s="2108"/>
      <c r="D125" s="2108"/>
      <c r="E125" s="2108"/>
      <c r="F125" s="2109"/>
      <c r="G125" s="2128"/>
      <c r="H125" s="2128"/>
      <c r="I125" s="2188"/>
      <c r="J125" s="2129"/>
      <c r="K125" s="2128"/>
      <c r="L125" s="2128"/>
      <c r="M125" s="2128"/>
      <c r="N125" s="2128"/>
      <c r="O125" s="2128"/>
      <c r="P125" s="2129"/>
      <c r="Q125" s="2128"/>
      <c r="R125" s="2128"/>
      <c r="S125" s="2128"/>
      <c r="T125" s="2103"/>
    </row>
    <row r="126" spans="1:20" ht="15" customHeight="1" x14ac:dyDescent="0.2">
      <c r="A126" s="2125"/>
      <c r="B126" s="2114" t="s">
        <v>2201</v>
      </c>
      <c r="C126" s="2127">
        <v>93.778000000000006</v>
      </c>
      <c r="D126" s="2108"/>
      <c r="E126" s="2109" t="s">
        <v>2202</v>
      </c>
      <c r="F126" s="2109"/>
      <c r="G126" s="2128">
        <v>4966</v>
      </c>
      <c r="H126" s="2128"/>
      <c r="I126" s="2188">
        <v>1648</v>
      </c>
      <c r="J126" s="2129"/>
      <c r="K126" s="2128">
        <v>6890</v>
      </c>
      <c r="L126" s="2128"/>
      <c r="M126" s="2128"/>
      <c r="N126" s="2128"/>
      <c r="O126" s="2128"/>
      <c r="P126" s="2129"/>
      <c r="Q126" s="2130">
        <f>O126+M126+K126</f>
        <v>6890</v>
      </c>
      <c r="R126" s="2128"/>
      <c r="S126" s="2131" t="s">
        <v>2122</v>
      </c>
      <c r="T126" s="2103"/>
    </row>
    <row r="127" spans="1:20" ht="15" customHeight="1" x14ac:dyDescent="0.2">
      <c r="A127" s="2125"/>
      <c r="B127" s="2114" t="s">
        <v>2201</v>
      </c>
      <c r="C127" s="2127">
        <v>93.778000000000006</v>
      </c>
      <c r="D127" s="2108"/>
      <c r="E127" s="2109" t="s">
        <v>2203</v>
      </c>
      <c r="F127" s="2109"/>
      <c r="G127" s="2133">
        <v>0</v>
      </c>
      <c r="H127" s="2128"/>
      <c r="I127" s="2202">
        <v>4406</v>
      </c>
      <c r="J127" s="2129"/>
      <c r="K127" s="2133">
        <v>0</v>
      </c>
      <c r="L127" s="2128"/>
      <c r="M127" s="2163">
        <v>6168</v>
      </c>
      <c r="N127" s="2128"/>
      <c r="O127" s="2133">
        <v>0</v>
      </c>
      <c r="P127" s="2129"/>
      <c r="Q127" s="2134">
        <f>O127+M127+K127</f>
        <v>6168</v>
      </c>
      <c r="R127" s="2128"/>
      <c r="S127" s="2131" t="s">
        <v>2122</v>
      </c>
      <c r="T127" s="2103"/>
    </row>
    <row r="128" spans="1:20" ht="7.15" customHeight="1" x14ac:dyDescent="0.2">
      <c r="A128" s="2125"/>
      <c r="B128" s="2108"/>
      <c r="C128" s="2108"/>
      <c r="D128" s="2108"/>
      <c r="E128" s="2108"/>
      <c r="F128" s="2109"/>
      <c r="G128" s="2128"/>
      <c r="H128" s="2128"/>
      <c r="I128" s="2188"/>
      <c r="J128" s="2129"/>
      <c r="K128" s="2128"/>
      <c r="L128" s="2128"/>
      <c r="M128" s="2128"/>
      <c r="N128" s="2128"/>
      <c r="O128" s="2128"/>
      <c r="P128" s="2129"/>
      <c r="Q128" s="2128"/>
      <c r="R128" s="2128"/>
      <c r="S128" s="2128"/>
      <c r="T128" s="2103"/>
    </row>
    <row r="129" spans="1:20" ht="6.6" customHeight="1" x14ac:dyDescent="0.2">
      <c r="A129" s="2126"/>
      <c r="B129" s="2114"/>
      <c r="C129" s="2127"/>
      <c r="D129" s="2108"/>
      <c r="E129" s="2109"/>
      <c r="F129" s="2109"/>
      <c r="G129" s="2133"/>
      <c r="H129" s="2128"/>
      <c r="I129" s="2202"/>
      <c r="J129" s="2129"/>
      <c r="K129" s="2133"/>
      <c r="L129" s="2128"/>
      <c r="M129" s="2133"/>
      <c r="N129" s="2128"/>
      <c r="O129" s="2133"/>
      <c r="P129" s="2129"/>
      <c r="Q129" s="2133"/>
      <c r="R129" s="2128"/>
      <c r="S129" s="2131"/>
      <c r="T129" s="2103"/>
    </row>
    <row r="130" spans="1:20" ht="18" customHeight="1" x14ac:dyDescent="0.2">
      <c r="A130" s="2113" t="s">
        <v>2204</v>
      </c>
      <c r="B130" s="2114"/>
      <c r="C130" s="2127"/>
      <c r="D130" s="2108"/>
      <c r="E130" s="2109"/>
      <c r="F130" s="2109"/>
      <c r="G130" s="2134">
        <f>SUM(G125:G129)</f>
        <v>4966</v>
      </c>
      <c r="H130" s="2134"/>
      <c r="I130" s="2204">
        <f>SUM(I125:I129)</f>
        <v>6054</v>
      </c>
      <c r="J130" s="2134"/>
      <c r="K130" s="2134">
        <f>SUM(K125:K129)</f>
        <v>6890</v>
      </c>
      <c r="L130" s="2134"/>
      <c r="M130" s="2134">
        <f>SUM(M125:M129)</f>
        <v>6168</v>
      </c>
      <c r="N130" s="2134"/>
      <c r="O130" s="2134">
        <f>SUM(O125:O129)</f>
        <v>0</v>
      </c>
      <c r="P130" s="2134"/>
      <c r="Q130" s="2134">
        <f>SUM(Q125:Q129)</f>
        <v>13058</v>
      </c>
      <c r="R130" s="2128"/>
      <c r="S130" s="2131"/>
      <c r="T130" s="2103"/>
    </row>
    <row r="131" spans="1:20" ht="7.5" customHeight="1" x14ac:dyDescent="0.2">
      <c r="A131" s="2113"/>
      <c r="B131" s="2114"/>
      <c r="C131" s="2127"/>
      <c r="D131" s="2108"/>
      <c r="E131" s="2109"/>
      <c r="F131" s="2109"/>
      <c r="G131" s="2134"/>
      <c r="H131" s="2134"/>
      <c r="I131" s="2204"/>
      <c r="J131" s="2134"/>
      <c r="K131" s="2134"/>
      <c r="L131" s="2134"/>
      <c r="M131" s="2134"/>
      <c r="N131" s="2134"/>
      <c r="O131" s="2134"/>
      <c r="P131" s="2134"/>
      <c r="Q131" s="2134"/>
      <c r="R131" s="2128"/>
      <c r="S131" s="2131"/>
      <c r="T131" s="2103"/>
    </row>
    <row r="132" spans="1:20" ht="21" customHeight="1" x14ac:dyDescent="0.2">
      <c r="A132" s="2113" t="s">
        <v>2205</v>
      </c>
      <c r="C132" s="2164"/>
      <c r="D132" s="2108"/>
      <c r="E132" s="2108"/>
      <c r="F132" s="2109"/>
      <c r="G132" s="2165">
        <f>G47+G121+G130</f>
        <v>447834</v>
      </c>
      <c r="H132" s="2165"/>
      <c r="I132" s="2207">
        <f>I47+I121+I130</f>
        <v>830443</v>
      </c>
      <c r="J132" s="2165"/>
      <c r="K132" s="2165">
        <f>K47+K121+K130</f>
        <v>622612</v>
      </c>
      <c r="L132" s="2165"/>
      <c r="M132" s="2165">
        <f>M47+M121+M130</f>
        <v>939703</v>
      </c>
      <c r="N132" s="2165"/>
      <c r="O132" s="2165">
        <f>O47+O121+O130</f>
        <v>45697</v>
      </c>
      <c r="P132" s="2165"/>
      <c r="Q132" s="2165">
        <f>Q47+Q121+Q130</f>
        <v>1608012</v>
      </c>
      <c r="R132" s="2166"/>
      <c r="S132" s="2128"/>
      <c r="T132" s="2103"/>
    </row>
    <row r="133" spans="1:20" ht="15" customHeight="1" x14ac:dyDescent="0.2">
      <c r="B133" s="2108"/>
      <c r="C133" s="2164"/>
      <c r="D133" s="2108"/>
      <c r="E133" s="2108"/>
      <c r="F133" s="2109"/>
      <c r="G133" s="2167"/>
      <c r="H133" s="2128"/>
      <c r="I133" s="2208"/>
      <c r="J133" s="2129"/>
      <c r="K133" s="2167"/>
      <c r="L133" s="2157"/>
      <c r="M133" s="2167"/>
      <c r="N133" s="2157"/>
      <c r="O133" s="2167"/>
      <c r="P133" s="2129"/>
      <c r="Q133" s="2167"/>
      <c r="R133" s="2157"/>
      <c r="S133" s="2128"/>
      <c r="T133" s="2103"/>
    </row>
    <row r="134" spans="1:20" x14ac:dyDescent="0.2">
      <c r="B134" s="2108"/>
      <c r="C134" s="2164"/>
      <c r="D134" s="2108"/>
      <c r="E134" s="2108"/>
      <c r="F134" s="2109"/>
      <c r="G134" s="2167"/>
      <c r="H134" s="2128"/>
      <c r="I134" s="2208"/>
      <c r="J134" s="2129"/>
      <c r="K134" s="2167"/>
      <c r="L134" s="2157"/>
      <c r="M134" s="2167"/>
      <c r="N134" s="2157"/>
      <c r="O134" s="2167"/>
      <c r="P134" s="2129"/>
      <c r="Q134" s="2167"/>
      <c r="R134" s="2157"/>
      <c r="S134" s="2128"/>
      <c r="T134" s="2103"/>
    </row>
    <row r="135" spans="1:20" ht="18" customHeight="1" x14ac:dyDescent="0.2">
      <c r="A135" s="2113" t="s">
        <v>2206</v>
      </c>
      <c r="B135" s="2108"/>
      <c r="C135" s="2164"/>
      <c r="D135" s="2108"/>
      <c r="E135" s="2108"/>
      <c r="F135" s="2109"/>
      <c r="G135" s="2130">
        <f>SUM(G74:G92)+SUM(G53:G60)+G47</f>
        <v>442868</v>
      </c>
      <c r="H135" s="2130"/>
      <c r="I135" s="2130">
        <f>SUM(I74:I92)+SUM(I53:I60)+I47</f>
        <v>824389</v>
      </c>
      <c r="J135" s="2130"/>
      <c r="K135" s="2130">
        <f>SUM(K74:K92)+SUM(K53:K60)+K47</f>
        <v>615722</v>
      </c>
      <c r="L135" s="2130"/>
      <c r="M135" s="2130">
        <f>SUM(M74:M92)+SUM(M53:M60)+M47</f>
        <v>933535</v>
      </c>
      <c r="N135" s="2130"/>
      <c r="O135" s="2130">
        <f>SUM(O74:O92)+SUM(O53:O60)+O47</f>
        <v>45697</v>
      </c>
      <c r="P135" s="2130"/>
      <c r="Q135" s="2130">
        <f>SUM(Q74:Q92)+SUM(Q53:Q60)+Q47</f>
        <v>1594954</v>
      </c>
      <c r="R135" s="2157"/>
      <c r="S135" s="2128"/>
      <c r="T135" s="2103"/>
    </row>
    <row r="136" spans="1:20" ht="6" customHeight="1" x14ac:dyDescent="0.2">
      <c r="A136" s="2113"/>
      <c r="B136" s="2108"/>
      <c r="C136" s="2164"/>
      <c r="D136" s="2108"/>
      <c r="E136" s="2108"/>
      <c r="F136" s="2109"/>
      <c r="G136" s="2167"/>
      <c r="H136" s="2128"/>
      <c r="I136" s="2208"/>
      <c r="J136" s="2129"/>
      <c r="K136" s="2167"/>
      <c r="L136" s="2157"/>
      <c r="M136" s="2167"/>
      <c r="N136" s="2157"/>
      <c r="O136" s="2167"/>
      <c r="P136" s="2129"/>
      <c r="Q136" s="2167"/>
      <c r="R136" s="2157"/>
      <c r="S136" s="2128"/>
      <c r="T136" s="2103"/>
    </row>
    <row r="137" spans="1:20" ht="20.25" customHeight="1" x14ac:dyDescent="0.2">
      <c r="A137" s="2113" t="s">
        <v>2282</v>
      </c>
      <c r="B137" s="2108"/>
      <c r="C137" s="2164"/>
      <c r="D137" s="2108"/>
      <c r="E137" s="2108"/>
      <c r="F137" s="2109"/>
      <c r="G137" s="2134">
        <f>SUM(G104,G109,G119,G130)</f>
        <v>4966</v>
      </c>
      <c r="H137" s="2134"/>
      <c r="I137" s="2204">
        <f>SUM(I104,I109,I119,I130)</f>
        <v>6054</v>
      </c>
      <c r="J137" s="2134"/>
      <c r="K137" s="2134">
        <f>SUM(K104,K109,K119,K130)</f>
        <v>6890</v>
      </c>
      <c r="L137" s="2134"/>
      <c r="M137" s="2134">
        <f>SUM(M104,M109,M119,M130)</f>
        <v>6168</v>
      </c>
      <c r="N137" s="2134"/>
      <c r="O137" s="2134">
        <v>0</v>
      </c>
      <c r="P137" s="2134"/>
      <c r="Q137" s="2134">
        <f>SUM(Q104,Q109,Q119,Q130)</f>
        <v>13058</v>
      </c>
      <c r="R137" s="2157"/>
      <c r="S137" s="2128"/>
      <c r="T137" s="2103"/>
    </row>
    <row r="138" spans="1:20" ht="0.75" customHeight="1" x14ac:dyDescent="0.2">
      <c r="A138" s="2113"/>
      <c r="B138" s="2108"/>
      <c r="C138" s="2164"/>
      <c r="D138" s="2108"/>
      <c r="E138" s="2108"/>
      <c r="F138" s="2109"/>
      <c r="G138" s="2167"/>
      <c r="H138" s="2128"/>
      <c r="I138" s="2208"/>
      <c r="J138" s="2129"/>
      <c r="K138" s="2167"/>
      <c r="L138" s="2157"/>
      <c r="M138" s="2167"/>
      <c r="N138" s="2157"/>
      <c r="O138" s="2167"/>
      <c r="P138" s="2129"/>
      <c r="Q138" s="2167"/>
      <c r="R138" s="2157"/>
      <c r="S138" s="2128"/>
      <c r="T138" s="2103"/>
    </row>
    <row r="139" spans="1:20" s="2168" customFormat="1" ht="21" customHeight="1" x14ac:dyDescent="0.2">
      <c r="A139" s="2113" t="s">
        <v>2205</v>
      </c>
      <c r="B139" s="2108"/>
      <c r="C139" s="2164"/>
      <c r="D139" s="2108"/>
      <c r="E139" s="2108"/>
      <c r="F139" s="2109"/>
      <c r="G139" s="2165">
        <f>G135+G137</f>
        <v>447834</v>
      </c>
      <c r="H139" s="2165"/>
      <c r="I139" s="2207">
        <f>I135+I137</f>
        <v>830443</v>
      </c>
      <c r="J139" s="2165"/>
      <c r="K139" s="2165">
        <f t="shared" ref="K139:Q139" si="0">K135+K137</f>
        <v>622612</v>
      </c>
      <c r="L139" s="2165"/>
      <c r="M139" s="2165">
        <f t="shared" si="0"/>
        <v>939703</v>
      </c>
      <c r="N139" s="2165"/>
      <c r="O139" s="2165">
        <f t="shared" si="0"/>
        <v>45697</v>
      </c>
      <c r="P139" s="2165"/>
      <c r="Q139" s="2165">
        <f t="shared" si="0"/>
        <v>1608012</v>
      </c>
      <c r="R139" s="2157"/>
      <c r="S139" s="2128"/>
      <c r="T139" s="2103"/>
    </row>
    <row r="140" spans="1:20" s="2169" customFormat="1" ht="15" customHeight="1" x14ac:dyDescent="0.2">
      <c r="A140" s="2109"/>
      <c r="B140" s="2108"/>
      <c r="C140" s="2164"/>
      <c r="D140" s="2108"/>
      <c r="E140" s="2108"/>
      <c r="F140" s="2109"/>
      <c r="G140" s="2167"/>
      <c r="H140" s="2167"/>
      <c r="I140" s="2208"/>
      <c r="J140" s="2167"/>
      <c r="K140" s="2167"/>
      <c r="L140" s="2167"/>
      <c r="M140" s="2167"/>
      <c r="N140" s="2167"/>
      <c r="O140" s="2167"/>
      <c r="P140" s="2167"/>
      <c r="Q140" s="2167">
        <f>Q139-Q132</f>
        <v>0</v>
      </c>
      <c r="R140" s="2157"/>
      <c r="S140" s="2128"/>
      <c r="T140" s="2103"/>
    </row>
    <row r="141" spans="1:20" s="2169" customFormat="1" ht="15" customHeight="1" x14ac:dyDescent="0.2">
      <c r="A141" s="2108" t="s">
        <v>2207</v>
      </c>
      <c r="B141" s="2110"/>
      <c r="C141" s="2108"/>
      <c r="D141" s="2108"/>
      <c r="E141" s="2108"/>
      <c r="F141" s="2109"/>
      <c r="G141" s="2128"/>
      <c r="H141" s="2128"/>
      <c r="I141" s="2188"/>
      <c r="J141" s="2129"/>
      <c r="K141" s="2128"/>
      <c r="L141" s="2128"/>
      <c r="M141" s="2128"/>
      <c r="N141" s="2128"/>
      <c r="O141" s="2128"/>
      <c r="P141" s="2129"/>
      <c r="Q141" s="2128"/>
      <c r="R141" s="2128"/>
      <c r="S141" s="2128"/>
      <c r="T141" s="2103"/>
    </row>
    <row r="142" spans="1:20" s="2169" customFormat="1" ht="15" customHeight="1" x14ac:dyDescent="0.2">
      <c r="A142" s="2108" t="s">
        <v>2208</v>
      </c>
      <c r="B142" s="2110"/>
      <c r="C142" s="2108"/>
      <c r="D142" s="2108"/>
      <c r="E142" s="2108"/>
      <c r="F142" s="2109"/>
      <c r="G142" s="2128"/>
      <c r="H142" s="2128"/>
      <c r="I142" s="2188"/>
      <c r="J142" s="2129"/>
      <c r="K142" s="2128"/>
      <c r="L142" s="2128"/>
      <c r="M142" s="2128"/>
      <c r="N142" s="2128"/>
      <c r="O142" s="2128"/>
      <c r="P142" s="2129"/>
      <c r="Q142" s="2128"/>
      <c r="R142" s="2128"/>
      <c r="S142" s="2128"/>
      <c r="T142" s="2103"/>
    </row>
    <row r="143" spans="1:20" s="2169" customFormat="1" ht="15" customHeight="1" x14ac:dyDescent="0.2">
      <c r="A143" s="2170" t="s">
        <v>2209</v>
      </c>
      <c r="B143" s="2110"/>
      <c r="C143" s="2108"/>
      <c r="D143" s="2108"/>
      <c r="E143" s="2108"/>
      <c r="F143" s="2109"/>
      <c r="G143" s="2128"/>
      <c r="H143" s="2128"/>
      <c r="I143" s="2188"/>
      <c r="J143" s="2129"/>
      <c r="K143" s="2128"/>
      <c r="L143" s="2128"/>
      <c r="M143" s="2128"/>
      <c r="N143" s="2128"/>
      <c r="O143" s="2128"/>
      <c r="P143" s="2129"/>
      <c r="Q143" s="2128"/>
      <c r="R143" s="2128"/>
      <c r="S143" s="2128"/>
      <c r="T143" s="2103"/>
    </row>
    <row r="144" spans="1:20" s="2169" customFormat="1" ht="15" customHeight="1" x14ac:dyDescent="0.2">
      <c r="A144" s="2114" t="s">
        <v>2210</v>
      </c>
      <c r="B144" s="2114"/>
      <c r="C144" s="2108"/>
      <c r="D144" s="2108"/>
      <c r="E144" s="2108"/>
      <c r="F144" s="2109"/>
      <c r="G144" s="2128"/>
      <c r="H144" s="2128"/>
      <c r="I144" s="2188"/>
      <c r="J144" s="2129"/>
      <c r="K144" s="2128"/>
      <c r="L144" s="2128"/>
      <c r="M144" s="2128"/>
      <c r="N144" s="2128"/>
      <c r="O144" s="2128"/>
      <c r="P144" s="2129"/>
      <c r="Q144" s="2128"/>
      <c r="R144" s="2128"/>
      <c r="S144" s="2128"/>
      <c r="T144" s="2103"/>
    </row>
    <row r="145" spans="1:21" s="2169" customFormat="1" ht="13.5" customHeight="1" x14ac:dyDescent="0.2">
      <c r="A145" s="2171" t="s">
        <v>2211</v>
      </c>
      <c r="B145" s="2171"/>
      <c r="C145" s="2103"/>
      <c r="D145" s="2103"/>
      <c r="E145" s="2103"/>
      <c r="F145" s="2102"/>
      <c r="G145" s="2172"/>
      <c r="H145" s="2172"/>
      <c r="I145" s="2209"/>
      <c r="J145" s="2173"/>
      <c r="K145" s="2172"/>
      <c r="L145" s="2172"/>
      <c r="M145" s="2172"/>
      <c r="N145" s="2172"/>
      <c r="O145" s="2172"/>
      <c r="P145" s="2173"/>
      <c r="Q145" s="2172"/>
      <c r="R145" s="2172"/>
      <c r="S145" s="2172"/>
      <c r="T145" s="2103"/>
    </row>
    <row r="146" spans="1:21" s="2169" customFormat="1" ht="15" customHeight="1" x14ac:dyDescent="0.2">
      <c r="A146" s="2174" t="s">
        <v>2212</v>
      </c>
      <c r="B146" s="2175"/>
      <c r="C146" s="2176"/>
      <c r="D146" s="2177"/>
      <c r="E146" s="2177"/>
      <c r="F146" s="2177"/>
      <c r="G146" s="2177"/>
      <c r="H146" s="2177"/>
      <c r="I146" s="2210"/>
      <c r="J146" s="2177"/>
      <c r="T146" s="2103"/>
    </row>
    <row r="147" spans="1:21" s="2169" customFormat="1" ht="15" customHeight="1" x14ac:dyDescent="0.2">
      <c r="A147" s="2177" t="s">
        <v>2213</v>
      </c>
      <c r="B147" s="2178"/>
      <c r="C147" s="2179"/>
      <c r="I147" s="2211"/>
      <c r="T147" s="2103"/>
    </row>
    <row r="148" spans="1:21" s="2169" customFormat="1" ht="15" customHeight="1" x14ac:dyDescent="0.2">
      <c r="A148" s="2177" t="s">
        <v>2214</v>
      </c>
      <c r="B148" s="2178"/>
      <c r="C148" s="2179"/>
      <c r="I148" s="2211"/>
      <c r="T148" s="2103"/>
    </row>
    <row r="149" spans="1:21" s="2169" customFormat="1" ht="15" customHeight="1" x14ac:dyDescent="0.2">
      <c r="A149" s="2177" t="s">
        <v>2215</v>
      </c>
      <c r="B149" s="2178"/>
      <c r="C149" s="2179"/>
      <c r="I149" s="2211"/>
      <c r="T149" s="2103"/>
    </row>
    <row r="150" spans="1:21" s="2182" customFormat="1" ht="15" customHeight="1" x14ac:dyDescent="0.15">
      <c r="B150" s="2180"/>
      <c r="C150" s="2181"/>
      <c r="F150" s="2183"/>
      <c r="G150" s="2183"/>
      <c r="H150" s="2183"/>
      <c r="I150" s="2212"/>
      <c r="J150" s="2184"/>
    </row>
    <row r="151" spans="1:21" ht="15" customHeight="1" x14ac:dyDescent="0.2"/>
    <row r="152" spans="1:21" ht="15" customHeight="1" x14ac:dyDescent="0.2"/>
    <row r="153" spans="1:21" ht="15" customHeight="1" x14ac:dyDescent="0.2"/>
    <row r="154" spans="1:21" ht="15" customHeight="1" x14ac:dyDescent="0.2"/>
    <row r="155" spans="1:21" ht="15" customHeight="1" x14ac:dyDescent="0.2">
      <c r="T155" s="2103">
        <v>622361</v>
      </c>
      <c r="U155" s="2110" t="s">
        <v>2216</v>
      </c>
    </row>
    <row r="156" spans="1:21" ht="15" customHeight="1" x14ac:dyDescent="0.2">
      <c r="T156" s="2103">
        <v>842924</v>
      </c>
      <c r="U156" s="2110" t="s">
        <v>2216</v>
      </c>
    </row>
    <row r="157" spans="1:21" ht="15" customHeight="1" x14ac:dyDescent="0.2">
      <c r="B157" s="2171"/>
      <c r="C157" s="2185"/>
      <c r="D157" s="2103"/>
      <c r="E157" s="2186"/>
      <c r="F157" s="2102"/>
      <c r="G157" s="2172"/>
      <c r="H157" s="2172"/>
      <c r="I157" s="2209"/>
      <c r="J157" s="2173"/>
      <c r="K157" s="2172"/>
      <c r="L157" s="2172"/>
      <c r="M157" s="2172"/>
      <c r="N157" s="2172"/>
      <c r="O157" s="2172"/>
      <c r="P157" s="2173"/>
      <c r="Q157" s="2187"/>
      <c r="R157" s="2172"/>
      <c r="S157" s="2172"/>
      <c r="T157" s="2103"/>
    </row>
    <row r="158" spans="1:21" ht="15" customHeight="1" x14ac:dyDescent="0.2"/>
    <row r="159" spans="1:21" ht="15" customHeight="1" x14ac:dyDescent="0.2"/>
    <row r="160" spans="1:21"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sheetData>
  <mergeCells count="4">
    <mergeCell ref="A5:S5"/>
    <mergeCell ref="A6:S6"/>
    <mergeCell ref="A7:S7"/>
    <mergeCell ref="A8:S8"/>
  </mergeCells>
  <printOptions horizontalCentered="1" gridLinesSet="0"/>
  <pageMargins left="0.4" right="0.3" top="0.5" bottom="0" header="0.5" footer="0"/>
  <pageSetup scale="75" fitToHeight="2" orientation="landscape" horizontalDpi="1200" verticalDpi="1200" r:id="rId1"/>
  <headerFooter alignWithMargins="0">
    <oddFooter>&amp;L&amp;"Times New Roman,Regular"See the accompanying notes to the Schedule of Expenditures of Federal Awards.</oddFooter>
  </headerFooter>
  <rowBreaks count="1" manualBreakCount="1">
    <brk id="83" max="1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821" t="str">
        <f>'Single Audit Cover'!A7</f>
        <v xml:space="preserve">   Peoria Heights CUSD 325</v>
      </c>
      <c r="C1" s="2847"/>
      <c r="D1" s="2847"/>
      <c r="E1" s="2847"/>
      <c r="F1" s="2847"/>
      <c r="G1" s="2847"/>
      <c r="H1" s="2847"/>
      <c r="I1" s="2847"/>
      <c r="J1" s="2847"/>
      <c r="K1" s="2847"/>
      <c r="L1" s="2847"/>
      <c r="M1" s="2847"/>
    </row>
    <row r="2" spans="2:14" ht="15" x14ac:dyDescent="0.2">
      <c r="B2" s="2848">
        <f>'Single Audit Cover'!E7</f>
        <v>48072325026</v>
      </c>
      <c r="C2" s="2848"/>
      <c r="D2" s="2848"/>
      <c r="E2" s="2848"/>
      <c r="F2" s="2848"/>
      <c r="G2" s="2848"/>
      <c r="H2" s="2848"/>
      <c r="I2" s="2848"/>
      <c r="J2" s="2848"/>
      <c r="K2" s="2848"/>
      <c r="L2" s="2848"/>
      <c r="M2" s="2848"/>
      <c r="N2" s="1078"/>
    </row>
    <row r="3" spans="2:14" ht="15" x14ac:dyDescent="0.2">
      <c r="B3" s="2849" t="s">
        <v>1208</v>
      </c>
      <c r="C3" s="2849"/>
      <c r="D3" s="2849"/>
      <c r="E3" s="2849"/>
      <c r="F3" s="2849"/>
      <c r="G3" s="2849"/>
      <c r="H3" s="2849"/>
      <c r="I3" s="2849"/>
      <c r="J3" s="2849"/>
      <c r="K3" s="2849"/>
      <c r="L3" s="2849"/>
      <c r="M3" s="2849"/>
      <c r="N3" s="1078"/>
    </row>
    <row r="4" spans="2:14" ht="15" x14ac:dyDescent="0.2">
      <c r="B4" s="2850" t="str">
        <f>'Single Audit Cover'!A4</f>
        <v>Year Ending June 30, 2020</v>
      </c>
      <c r="C4" s="2850"/>
      <c r="D4" s="2850"/>
      <c r="E4" s="2850"/>
      <c r="F4" s="2850"/>
      <c r="G4" s="2850"/>
      <c r="H4" s="2850"/>
      <c r="I4" s="2850"/>
      <c r="J4" s="2850"/>
      <c r="K4" s="2850"/>
      <c r="L4" s="2850"/>
      <c r="M4" s="2850"/>
      <c r="N4" s="1078"/>
    </row>
    <row r="5" spans="2:14" x14ac:dyDescent="0.2">
      <c r="H5" s="1916"/>
      <c r="J5" s="1916"/>
    </row>
    <row r="6" spans="2:14" x14ac:dyDescent="0.2">
      <c r="B6" s="1079"/>
      <c r="C6" s="1080"/>
      <c r="D6" s="1081" t="s">
        <v>1254</v>
      </c>
      <c r="E6" s="1082" t="s">
        <v>524</v>
      </c>
      <c r="F6" s="1083"/>
      <c r="G6" s="1084" t="s">
        <v>1707</v>
      </c>
      <c r="H6" s="1082"/>
      <c r="I6" s="1082"/>
      <c r="J6" s="1917"/>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15" t="str">
        <f>"7/1/"&amp;MID('AFR20'!$E$2,3,2)-2&amp;"-6/30/"&amp;MID('AFR20'!$E$2,3,2)-1</f>
        <v>7/1/18-6/30/19</v>
      </c>
      <c r="F9" s="1915" t="str">
        <f>"7/1/"&amp;MID('AFR20'!$E$2,3,2)-1&amp;"-6/30/"&amp;MID('AFR20'!$E$2,3,2)</f>
        <v>7/1/19-6/30/20</v>
      </c>
      <c r="G9" s="1915" t="str">
        <f>"7/1/"&amp;MID('AFR20'!$E$2,3,2)-2&amp;"-6/30/"&amp;MID('AFR20'!$E$2,3,2)-1</f>
        <v>7/1/18-6/30/19</v>
      </c>
      <c r="H9" s="1093" t="s">
        <v>1564</v>
      </c>
      <c r="I9" s="1915"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2055</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429" t="s">
        <v>1158</v>
      </c>
      <c r="B2" s="2429"/>
      <c r="C2" s="2429"/>
      <c r="D2" s="2429"/>
      <c r="E2" s="2429"/>
      <c r="F2" s="2429"/>
      <c r="G2" s="2429"/>
      <c r="H2" s="2429"/>
      <c r="I2" s="2429"/>
      <c r="J2" s="2429"/>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t="s">
        <v>2047</v>
      </c>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443" t="s">
        <v>1615</v>
      </c>
      <c r="B35" s="2444"/>
      <c r="C35" s="2444"/>
      <c r="D35" s="2444"/>
      <c r="E35" s="2445"/>
      <c r="F35" s="2445"/>
      <c r="G35" s="2445"/>
      <c r="H35" s="2445"/>
      <c r="I35" s="244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443" t="s">
        <v>310</v>
      </c>
      <c r="B47" s="2446"/>
      <c r="C47" s="2446"/>
      <c r="D47" s="2446"/>
      <c r="E47" s="2447"/>
      <c r="F47" s="2447"/>
      <c r="G47" s="2447"/>
      <c r="H47" s="2447"/>
      <c r="I47" s="244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2047</v>
      </c>
      <c r="C50" s="222">
        <v>20</v>
      </c>
      <c r="D50" s="238" t="s">
        <v>1621</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450"/>
      <c r="C57" s="2451"/>
      <c r="D57" s="2451"/>
      <c r="E57" s="2451"/>
      <c r="F57" s="2451"/>
      <c r="G57" s="2451"/>
      <c r="H57" s="2451"/>
      <c r="I57" s="2451"/>
      <c r="J57" s="2452"/>
    </row>
    <row r="58" spans="1:10" s="176" customFormat="1" x14ac:dyDescent="0.2">
      <c r="A58" s="248"/>
      <c r="B58" s="2453"/>
      <c r="C58" s="2454"/>
      <c r="D58" s="2454"/>
      <c r="E58" s="2454"/>
      <c r="F58" s="2454"/>
      <c r="G58" s="2454"/>
      <c r="H58" s="2454"/>
      <c r="I58" s="2454"/>
      <c r="J58" s="2455"/>
    </row>
    <row r="59" spans="1:10" s="176" customFormat="1" x14ac:dyDescent="0.2">
      <c r="A59" s="248"/>
      <c r="B59" s="2453"/>
      <c r="C59" s="2454"/>
      <c r="D59" s="2454"/>
      <c r="E59" s="2454"/>
      <c r="F59" s="2454"/>
      <c r="G59" s="2454"/>
      <c r="H59" s="2454"/>
      <c r="I59" s="2454"/>
      <c r="J59" s="2455"/>
    </row>
    <row r="60" spans="1:10" s="176" customFormat="1" x14ac:dyDescent="0.2">
      <c r="A60" s="248"/>
      <c r="B60" s="2453"/>
      <c r="C60" s="2454"/>
      <c r="D60" s="2454"/>
      <c r="E60" s="2454"/>
      <c r="F60" s="2454"/>
      <c r="G60" s="2454"/>
      <c r="H60" s="2454"/>
      <c r="I60" s="2454"/>
      <c r="J60" s="2455"/>
    </row>
    <row r="61" spans="1:10" s="176" customFormat="1" x14ac:dyDescent="0.2">
      <c r="A61" s="248"/>
      <c r="B61" s="2453"/>
      <c r="C61" s="2454"/>
      <c r="D61" s="2454"/>
      <c r="E61" s="2454"/>
      <c r="F61" s="2454"/>
      <c r="G61" s="2454"/>
      <c r="H61" s="2454"/>
      <c r="I61" s="2454"/>
      <c r="J61" s="2455"/>
    </row>
    <row r="62" spans="1:10" s="176" customFormat="1" x14ac:dyDescent="0.2">
      <c r="A62" s="248"/>
      <c r="B62" s="2453"/>
      <c r="C62" s="2454"/>
      <c r="D62" s="2454"/>
      <c r="E62" s="2454"/>
      <c r="F62" s="2454"/>
      <c r="G62" s="2454"/>
      <c r="H62" s="2454"/>
      <c r="I62" s="2454"/>
      <c r="J62" s="2455"/>
    </row>
    <row r="63" spans="1:10" s="176" customFormat="1" x14ac:dyDescent="0.2">
      <c r="A63" s="248"/>
      <c r="B63" s="2453"/>
      <c r="C63" s="2454"/>
      <c r="D63" s="2454"/>
      <c r="E63" s="2454"/>
      <c r="F63" s="2454"/>
      <c r="G63" s="2454"/>
      <c r="H63" s="2454"/>
      <c r="I63" s="2454"/>
      <c r="J63" s="2455"/>
    </row>
    <row r="64" spans="1:10" s="176" customFormat="1" x14ac:dyDescent="0.2">
      <c r="A64" s="248"/>
      <c r="B64" s="2453"/>
      <c r="C64" s="2454"/>
      <c r="D64" s="2454"/>
      <c r="E64" s="2454"/>
      <c r="F64" s="2454"/>
      <c r="G64" s="2454"/>
      <c r="H64" s="2454"/>
      <c r="I64" s="2454"/>
      <c r="J64" s="2455"/>
    </row>
    <row r="65" spans="1:11" s="176" customFormat="1" x14ac:dyDescent="0.2">
      <c r="A65" s="248"/>
      <c r="B65" s="2453"/>
      <c r="C65" s="2454"/>
      <c r="D65" s="2454"/>
      <c r="E65" s="2454"/>
      <c r="F65" s="2454"/>
      <c r="G65" s="2454"/>
      <c r="H65" s="2454"/>
      <c r="I65" s="2454"/>
      <c r="J65" s="2455"/>
    </row>
    <row r="66" spans="1:11" s="176" customFormat="1" x14ac:dyDescent="0.2">
      <c r="A66" s="248"/>
      <c r="B66" s="2453"/>
      <c r="C66" s="2454"/>
      <c r="D66" s="2454"/>
      <c r="E66" s="2454"/>
      <c r="F66" s="2454"/>
      <c r="G66" s="2454"/>
      <c r="H66" s="2454"/>
      <c r="I66" s="2454"/>
      <c r="J66" s="2455"/>
    </row>
    <row r="67" spans="1:11" s="176" customFormat="1" ht="9" customHeight="1" x14ac:dyDescent="0.2">
      <c r="A67" s="249"/>
      <c r="B67" s="2456"/>
      <c r="C67" s="2457"/>
      <c r="D67" s="2457"/>
      <c r="E67" s="2457"/>
      <c r="F67" s="2457"/>
      <c r="G67" s="2457"/>
      <c r="H67" s="2457"/>
      <c r="I67" s="2457"/>
      <c r="J67" s="245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443" t="s">
        <v>1312</v>
      </c>
      <c r="B70" s="2446"/>
      <c r="C70" s="2446"/>
      <c r="D70" s="2446"/>
      <c r="E70" s="2447"/>
      <c r="F70" s="2447"/>
      <c r="G70" s="2447"/>
      <c r="H70" s="2447"/>
      <c r="I70" s="244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1627</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448" t="s">
        <v>1309</v>
      </c>
      <c r="B83" s="2448"/>
      <c r="C83" s="2448"/>
      <c r="D83" s="244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459" t="s">
        <v>1985</v>
      </c>
      <c r="B85" s="2459"/>
      <c r="C85" s="2459"/>
      <c r="D85" s="2460"/>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461" t="s">
        <v>1985</v>
      </c>
      <c r="B88" s="2462"/>
      <c r="C88" s="2462"/>
      <c r="D88" s="2463"/>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1159</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430" t="s">
        <v>2265</v>
      </c>
      <c r="C102" s="2431"/>
      <c r="D102" s="2431"/>
      <c r="E102" s="2431"/>
      <c r="F102" s="2431"/>
      <c r="G102" s="2431"/>
      <c r="H102" s="2431"/>
      <c r="I102" s="2432"/>
    </row>
    <row r="103" spans="1:9" s="176" customFormat="1" ht="11.25" customHeight="1" x14ac:dyDescent="0.2">
      <c r="A103" s="294"/>
      <c r="B103" s="2433"/>
      <c r="C103" s="2434"/>
      <c r="D103" s="2434"/>
      <c r="E103" s="2434"/>
      <c r="F103" s="2434"/>
      <c r="G103" s="2434"/>
      <c r="H103" s="2434"/>
      <c r="I103" s="2435"/>
    </row>
    <row r="104" spans="1:9" s="176" customFormat="1" ht="11.25" customHeight="1" x14ac:dyDescent="0.2">
      <c r="A104" s="294"/>
      <c r="B104" s="2433"/>
      <c r="C104" s="2434"/>
      <c r="D104" s="2434"/>
      <c r="E104" s="2434"/>
      <c r="F104" s="2434"/>
      <c r="G104" s="2434"/>
      <c r="H104" s="2434"/>
      <c r="I104" s="2435"/>
    </row>
    <row r="105" spans="1:9" s="176" customFormat="1" x14ac:dyDescent="0.2">
      <c r="A105" s="294"/>
      <c r="B105" s="2433"/>
      <c r="C105" s="2434"/>
      <c r="D105" s="2434"/>
      <c r="E105" s="2434"/>
      <c r="F105" s="2434"/>
      <c r="G105" s="2434"/>
      <c r="H105" s="2434"/>
      <c r="I105" s="2435"/>
    </row>
    <row r="106" spans="1:9" s="176" customFormat="1" ht="11.25" customHeight="1" x14ac:dyDescent="0.2">
      <c r="A106" s="294"/>
      <c r="B106" s="2433"/>
      <c r="C106" s="2434"/>
      <c r="D106" s="2434"/>
      <c r="E106" s="2434"/>
      <c r="F106" s="2434"/>
      <c r="G106" s="2434"/>
      <c r="H106" s="2434"/>
      <c r="I106" s="2435"/>
    </row>
    <row r="107" spans="1:9" s="176" customFormat="1" ht="11.25" customHeight="1" x14ac:dyDescent="0.2">
      <c r="A107" s="294"/>
      <c r="B107" s="2433"/>
      <c r="C107" s="2434"/>
      <c r="D107" s="2434"/>
      <c r="E107" s="2434"/>
      <c r="F107" s="2434"/>
      <c r="G107" s="2434"/>
      <c r="H107" s="2434"/>
      <c r="I107" s="2435"/>
    </row>
    <row r="108" spans="1:9" s="176" customFormat="1" ht="11.25" customHeight="1" x14ac:dyDescent="0.2">
      <c r="A108" s="294"/>
      <c r="B108" s="2433"/>
      <c r="C108" s="2434"/>
      <c r="D108" s="2434"/>
      <c r="E108" s="2434"/>
      <c r="F108" s="2434"/>
      <c r="G108" s="2434"/>
      <c r="H108" s="2434"/>
      <c r="I108" s="2435"/>
    </row>
    <row r="109" spans="1:9" s="176" customFormat="1" ht="11.25" customHeight="1" x14ac:dyDescent="0.2">
      <c r="A109" s="294"/>
      <c r="B109" s="2433"/>
      <c r="C109" s="2434"/>
      <c r="D109" s="2434"/>
      <c r="E109" s="2434"/>
      <c r="F109" s="2434"/>
      <c r="G109" s="2434"/>
      <c r="H109" s="2434"/>
      <c r="I109" s="2435"/>
    </row>
    <row r="110" spans="1:9" s="176" customFormat="1" ht="11.25" customHeight="1" x14ac:dyDescent="0.2">
      <c r="A110" s="294"/>
      <c r="B110" s="2433"/>
      <c r="C110" s="2434"/>
      <c r="D110" s="2434"/>
      <c r="E110" s="2434"/>
      <c r="F110" s="2434"/>
      <c r="G110" s="2434"/>
      <c r="H110" s="2434"/>
      <c r="I110" s="2435"/>
    </row>
    <row r="111" spans="1:9" s="176" customFormat="1" ht="11.25" customHeight="1" x14ac:dyDescent="0.2">
      <c r="A111" s="294"/>
      <c r="B111" s="2433"/>
      <c r="C111" s="2434"/>
      <c r="D111" s="2434"/>
      <c r="E111" s="2434"/>
      <c r="F111" s="2434"/>
      <c r="G111" s="2434"/>
      <c r="H111" s="2434"/>
      <c r="I111" s="2435"/>
    </row>
    <row r="112" spans="1:9" s="176" customFormat="1" ht="11.25" customHeight="1" x14ac:dyDescent="0.2">
      <c r="A112" s="294"/>
      <c r="B112" s="2436"/>
      <c r="C112" s="2437"/>
      <c r="D112" s="2437"/>
      <c r="E112" s="2437"/>
      <c r="F112" s="2437"/>
      <c r="G112" s="2437"/>
      <c r="H112" s="2437"/>
      <c r="I112" s="243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439" t="s">
        <v>2048</v>
      </c>
      <c r="D114" s="243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440" t="s">
        <v>1319</v>
      </c>
      <c r="D117" s="2441"/>
      <c r="E117" s="2442"/>
      <c r="F117" s="2442"/>
      <c r="G117" s="2442"/>
      <c r="H117" s="2442"/>
      <c r="I117" s="282"/>
    </row>
    <row r="118" spans="1:9" s="176" customFormat="1" ht="24" customHeight="1" x14ac:dyDescent="0.2">
      <c r="A118" s="294"/>
      <c r="B118" s="294"/>
      <c r="C118" s="294"/>
      <c r="D118" s="301" t="s">
        <v>2324</v>
      </c>
      <c r="E118" s="300"/>
      <c r="F118" s="302"/>
      <c r="G118" s="1473"/>
      <c r="H118" s="300"/>
      <c r="I118" s="282"/>
    </row>
    <row r="119" spans="1:9" s="176" customFormat="1" ht="11.25" customHeight="1" x14ac:dyDescent="0.2">
      <c r="A119" s="303"/>
      <c r="B119" s="303"/>
      <c r="C119" s="304"/>
      <c r="D119" s="305" t="s">
        <v>358</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861" t="str">
        <f>'Single Audit Cover'!A7</f>
        <v xml:space="preserve">   Peoria Heights CUSD 325</v>
      </c>
      <c r="B1" s="2861"/>
      <c r="C1" s="2861"/>
      <c r="D1" s="2861"/>
      <c r="E1" s="2861"/>
      <c r="F1" s="2861"/>
    </row>
    <row r="2" spans="1:7" ht="13.5" customHeight="1" x14ac:dyDescent="0.2">
      <c r="A2" s="2848">
        <f>'Single Audit Cover'!E7</f>
        <v>48072325026</v>
      </c>
      <c r="B2" s="2848"/>
      <c r="C2" s="2848"/>
      <c r="D2" s="2848"/>
      <c r="E2" s="2848"/>
      <c r="F2" s="2848"/>
      <c r="G2" s="1051"/>
    </row>
    <row r="3" spans="1:7" ht="15.75" customHeight="1" x14ac:dyDescent="0.2">
      <c r="A3" s="2862" t="s">
        <v>1260</v>
      </c>
      <c r="B3" s="2862"/>
      <c r="C3" s="2862"/>
      <c r="D3" s="2862"/>
      <c r="E3" s="2862"/>
      <c r="F3" s="2862"/>
    </row>
    <row r="4" spans="1:7" ht="13.5" customHeight="1" x14ac:dyDescent="0.2">
      <c r="A4" s="2863" t="str">
        <f>'Single Audit Cover'!A4</f>
        <v>Year Ending June 30, 2020</v>
      </c>
      <c r="B4" s="2863"/>
      <c r="C4" s="2863"/>
      <c r="D4" s="2863"/>
      <c r="E4" s="2863"/>
      <c r="F4" s="2863"/>
    </row>
    <row r="5" spans="1:7" ht="8.25" customHeight="1" x14ac:dyDescent="0.2">
      <c r="C5" s="295"/>
      <c r="D5" s="295"/>
    </row>
    <row r="6" spans="1:7" ht="13.5" customHeight="1" x14ac:dyDescent="0.2">
      <c r="A6" s="1052" t="s">
        <v>1704</v>
      </c>
      <c r="C6" s="295"/>
      <c r="D6" s="295"/>
    </row>
    <row r="7" spans="1:7" ht="60.95" customHeight="1" x14ac:dyDescent="0.2">
      <c r="A7" s="2860" t="s">
        <v>2225</v>
      </c>
      <c r="B7" s="2860"/>
      <c r="C7" s="2860"/>
      <c r="D7" s="2860"/>
      <c r="E7" s="2860"/>
      <c r="F7" s="2860"/>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1530</v>
      </c>
      <c r="B10" s="1056"/>
      <c r="C10" s="1057"/>
      <c r="D10" s="1056" t="s">
        <v>1531</v>
      </c>
      <c r="E10" s="1057" t="s">
        <v>2047</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21" customHeight="1" x14ac:dyDescent="0.2">
      <c r="A13" s="2860" t="s">
        <v>2230</v>
      </c>
      <c r="B13" s="2860"/>
      <c r="C13" s="2860"/>
      <c r="D13" s="2860"/>
      <c r="E13" s="2860"/>
      <c r="F13" s="2860"/>
    </row>
    <row r="14" spans="1:7" ht="9.75" customHeight="1" x14ac:dyDescent="0.2">
      <c r="C14" s="1036"/>
      <c r="D14" s="1036"/>
    </row>
    <row r="15" spans="1:7" ht="13.5" customHeight="1" x14ac:dyDescent="0.2">
      <c r="C15" s="1476" t="s">
        <v>1259</v>
      </c>
      <c r="D15" s="2858" t="s">
        <v>1258</v>
      </c>
      <c r="E15" s="2858"/>
      <c r="F15" s="2858"/>
    </row>
    <row r="16" spans="1:7" ht="13.5" customHeight="1" x14ac:dyDescent="0.2">
      <c r="A16" s="1058"/>
      <c r="B16" s="1052" t="s">
        <v>1257</v>
      </c>
      <c r="C16" s="1476" t="s">
        <v>1256</v>
      </c>
      <c r="D16" s="2859" t="s">
        <v>1570</v>
      </c>
      <c r="E16" s="2859"/>
      <c r="F16" s="2859"/>
    </row>
    <row r="17" spans="1:6" ht="20.45" customHeight="1" x14ac:dyDescent="0.2">
      <c r="A17" s="1059"/>
      <c r="B17" s="1060" t="s">
        <v>2226</v>
      </c>
      <c r="C17" s="1061"/>
      <c r="D17" s="2852"/>
      <c r="E17" s="2852"/>
      <c r="F17" s="2852"/>
    </row>
    <row r="18" spans="1:6" ht="20.65" hidden="1" customHeight="1" x14ac:dyDescent="0.2">
      <c r="A18" s="1059"/>
      <c r="B18" s="1060"/>
      <c r="C18" s="1061"/>
      <c r="D18" s="2852"/>
      <c r="E18" s="2852"/>
      <c r="F18" s="2852"/>
    </row>
    <row r="19" spans="1:6" ht="20.65" hidden="1" customHeight="1" x14ac:dyDescent="0.2">
      <c r="A19" s="1059"/>
      <c r="B19" s="1060"/>
      <c r="C19" s="1061"/>
      <c r="D19" s="2852"/>
      <c r="E19" s="2852"/>
      <c r="F19" s="2852"/>
    </row>
    <row r="20" spans="1:6" ht="20.65" hidden="1" customHeight="1" x14ac:dyDescent="0.2">
      <c r="A20" s="1059"/>
      <c r="B20" s="1060"/>
      <c r="C20" s="1061"/>
      <c r="D20" s="2852"/>
      <c r="E20" s="2852"/>
      <c r="F20" s="2852"/>
    </row>
    <row r="21" spans="1:6" ht="20.65" hidden="1" customHeight="1" x14ac:dyDescent="0.2">
      <c r="A21" s="1059"/>
      <c r="B21" s="1060"/>
      <c r="C21" s="1061"/>
      <c r="D21" s="2852"/>
      <c r="E21" s="2852"/>
      <c r="F21" s="2852"/>
    </row>
    <row r="22" spans="1:6" ht="20.65" hidden="1" customHeight="1" x14ac:dyDescent="0.2">
      <c r="A22" s="1059"/>
      <c r="B22" s="1060"/>
      <c r="C22" s="1061"/>
      <c r="D22" s="2852"/>
      <c r="E22" s="2852"/>
      <c r="F22" s="2852"/>
    </row>
    <row r="23" spans="1:6" ht="20.65" hidden="1" customHeight="1" x14ac:dyDescent="0.2">
      <c r="A23" s="1059"/>
      <c r="B23" s="1060"/>
      <c r="C23" s="1061"/>
      <c r="D23" s="2852"/>
      <c r="E23" s="2852"/>
      <c r="F23" s="2852"/>
    </row>
    <row r="24" spans="1:6" ht="20.65" hidden="1" customHeight="1" x14ac:dyDescent="0.2">
      <c r="A24" s="1059"/>
      <c r="B24" s="1060"/>
      <c r="C24" s="1061"/>
      <c r="D24" s="2852"/>
      <c r="E24" s="2852"/>
      <c r="F24" s="2852"/>
    </row>
    <row r="25" spans="1:6" ht="20.65" hidden="1" customHeight="1" x14ac:dyDescent="0.2">
      <c r="A25" s="1059"/>
      <c r="B25" s="1060"/>
      <c r="C25" s="1061"/>
      <c r="D25" s="2852"/>
      <c r="E25" s="2852"/>
      <c r="F25" s="2852"/>
    </row>
    <row r="26" spans="1:6" ht="20.65" hidden="1" customHeight="1" x14ac:dyDescent="0.2">
      <c r="A26" s="1059"/>
      <c r="B26" s="1060"/>
      <c r="C26" s="1061"/>
      <c r="D26" s="2852"/>
      <c r="E26" s="2852"/>
      <c r="F26" s="2852"/>
    </row>
    <row r="27" spans="1:6" ht="20.65" hidden="1" customHeight="1" x14ac:dyDescent="0.2">
      <c r="A27" s="1059"/>
      <c r="B27" s="1060"/>
      <c r="C27" s="1061"/>
      <c r="D27" s="2852"/>
      <c r="E27" s="2852"/>
      <c r="F27" s="2852"/>
    </row>
    <row r="28" spans="1:6" ht="20.65" hidden="1" customHeight="1" x14ac:dyDescent="0.2">
      <c r="A28" s="1059"/>
      <c r="B28" s="1060"/>
      <c r="C28" s="1061"/>
      <c r="D28" s="2852"/>
      <c r="E28" s="2852"/>
      <c r="F28" s="2852"/>
    </row>
    <row r="29" spans="1:6" ht="20.65" hidden="1" customHeight="1" x14ac:dyDescent="0.2">
      <c r="A29" s="1059"/>
      <c r="B29" s="1060"/>
      <c r="C29" s="1061"/>
      <c r="D29" s="2852"/>
      <c r="E29" s="2852"/>
      <c r="F29" s="285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853" t="s">
        <v>2274</v>
      </c>
      <c r="B32" s="2853"/>
      <c r="C32" s="2853"/>
      <c r="D32" s="2853"/>
      <c r="E32" s="2853"/>
      <c r="F32" s="2853"/>
    </row>
    <row r="33" spans="1:6" ht="13.5" customHeight="1" x14ac:dyDescent="0.2">
      <c r="A33" s="306" t="s">
        <v>1417</v>
      </c>
      <c r="B33" s="306"/>
      <c r="C33" s="1064">
        <f>'SEFA 20'!M24</f>
        <v>8940</v>
      </c>
      <c r="D33" s="1526"/>
      <c r="E33" s="1062"/>
    </row>
    <row r="34" spans="1:6" ht="13.5" customHeight="1" x14ac:dyDescent="0.2">
      <c r="A34" s="306" t="s">
        <v>1807</v>
      </c>
      <c r="B34" s="306"/>
      <c r="C34" s="1065">
        <f>'SEFA 20'!M27</f>
        <v>17656</v>
      </c>
      <c r="D34" s="1526" t="s">
        <v>1571</v>
      </c>
      <c r="E34" s="2854">
        <f>+C33+C34</f>
        <v>26596</v>
      </c>
      <c r="F34" s="2855"/>
    </row>
    <row r="35" spans="1:6" ht="13.5" customHeight="1" x14ac:dyDescent="0.2">
      <c r="A35" s="306"/>
      <c r="B35" s="306"/>
      <c r="C35" s="2189"/>
      <c r="D35" s="1526"/>
      <c r="E35" s="2190"/>
      <c r="F35" s="2191"/>
    </row>
    <row r="36" spans="1:6" ht="13.5" customHeight="1" x14ac:dyDescent="0.2">
      <c r="A36" s="1063" t="s">
        <v>2227</v>
      </c>
      <c r="B36" s="306"/>
      <c r="C36" s="2189"/>
      <c r="D36" s="1526"/>
      <c r="E36" s="2190"/>
      <c r="F36" s="2191"/>
    </row>
    <row r="37" spans="1:6" ht="13.5" customHeight="1" x14ac:dyDescent="0.2">
      <c r="A37" s="2857" t="s">
        <v>2229</v>
      </c>
      <c r="B37" s="2857"/>
      <c r="C37" s="2857"/>
      <c r="D37" s="2857"/>
      <c r="E37" s="2857"/>
      <c r="F37" s="2857"/>
    </row>
    <row r="38" spans="1:6" ht="13.5" customHeight="1" x14ac:dyDescent="0.2">
      <c r="A38" s="2857"/>
      <c r="B38" s="2857"/>
      <c r="C38" s="2857"/>
      <c r="D38" s="2857"/>
      <c r="E38" s="2857"/>
      <c r="F38" s="2857"/>
    </row>
    <row r="39" spans="1:6" ht="13.5" customHeight="1" x14ac:dyDescent="0.2">
      <c r="A39" s="2857"/>
      <c r="B39" s="2857"/>
      <c r="C39" s="2857"/>
      <c r="D39" s="2857"/>
      <c r="E39" s="2857"/>
      <c r="F39" s="2857"/>
    </row>
    <row r="40" spans="1:6" ht="12" customHeight="1" x14ac:dyDescent="0.2">
      <c r="A40" s="306"/>
      <c r="B40" s="306"/>
      <c r="C40" s="1527"/>
      <c r="D40" s="1526"/>
      <c r="E40" s="1066"/>
      <c r="F40" s="1067"/>
    </row>
    <row r="41" spans="1:6" ht="13.5" customHeight="1" x14ac:dyDescent="0.2">
      <c r="A41" s="1063" t="s">
        <v>2228</v>
      </c>
      <c r="B41" s="306"/>
      <c r="C41" s="1233"/>
      <c r="D41" s="1526"/>
      <c r="E41" s="1062"/>
    </row>
    <row r="42" spans="1:6" ht="14.25" customHeight="1" x14ac:dyDescent="0.2">
      <c r="A42" s="306" t="s">
        <v>1467</v>
      </c>
      <c r="B42" s="306"/>
      <c r="C42" s="1528"/>
      <c r="D42" s="1526"/>
      <c r="E42" s="1062"/>
    </row>
    <row r="43" spans="1:6" ht="14.25" customHeight="1" x14ac:dyDescent="0.2">
      <c r="A43" s="306"/>
      <c r="B43" s="306" t="s">
        <v>1418</v>
      </c>
      <c r="C43" s="1068" t="s">
        <v>380</v>
      </c>
      <c r="D43" s="1526"/>
      <c r="E43" s="1062"/>
    </row>
    <row r="44" spans="1:6" ht="14.25" customHeight="1" x14ac:dyDescent="0.2">
      <c r="A44" s="306"/>
      <c r="B44" s="306" t="s">
        <v>1419</v>
      </c>
      <c r="C44" s="1068" t="s">
        <v>380</v>
      </c>
      <c r="D44" s="1526"/>
      <c r="E44" s="1062"/>
    </row>
    <row r="45" spans="1:6" ht="14.25" customHeight="1" x14ac:dyDescent="0.2">
      <c r="A45" s="306"/>
      <c r="B45" s="306" t="s">
        <v>1420</v>
      </c>
      <c r="C45" s="1068" t="s">
        <v>380</v>
      </c>
      <c r="D45" s="1526"/>
      <c r="E45" s="1062"/>
    </row>
    <row r="46" spans="1:6" ht="14.25" customHeight="1" x14ac:dyDescent="0.2">
      <c r="A46" s="306"/>
      <c r="B46" s="306" t="s">
        <v>1421</v>
      </c>
      <c r="C46" s="1068" t="s">
        <v>380</v>
      </c>
      <c r="D46" s="1526"/>
      <c r="E46" s="1062"/>
    </row>
    <row r="47" spans="1:6" ht="14.25" customHeight="1" x14ac:dyDescent="0.2">
      <c r="A47" s="306" t="s">
        <v>1422</v>
      </c>
      <c r="B47" s="306"/>
      <c r="C47" s="1524" t="s">
        <v>380</v>
      </c>
      <c r="D47" s="1526"/>
      <c r="E47" s="1062"/>
    </row>
    <row r="48" spans="1:6" ht="14.25" customHeight="1" x14ac:dyDescent="0.2">
      <c r="A48" s="306" t="s">
        <v>1423</v>
      </c>
      <c r="B48" s="306"/>
      <c r="C48" s="1069" t="s">
        <v>380</v>
      </c>
      <c r="D48" s="1526"/>
      <c r="E48" s="1062"/>
    </row>
    <row r="49" spans="1:6" ht="14.25" customHeight="1" x14ac:dyDescent="0.2">
      <c r="A49" s="306"/>
      <c r="B49" s="306"/>
      <c r="C49" s="1528" t="s">
        <v>1424</v>
      </c>
      <c r="D49" s="1526"/>
      <c r="E49" s="1062"/>
    </row>
    <row r="50" spans="1:6" ht="13.5" customHeight="1" x14ac:dyDescent="0.2">
      <c r="B50" s="300"/>
      <c r="C50" s="1070"/>
      <c r="D50" s="1070"/>
    </row>
    <row r="51" spans="1:6" x14ac:dyDescent="0.2">
      <c r="A51" s="1071" t="s">
        <v>1706</v>
      </c>
      <c r="C51" s="295"/>
      <c r="D51" s="295"/>
    </row>
    <row r="52" spans="1:6" s="300" customFormat="1" ht="11.25" customHeight="1" x14ac:dyDescent="0.2">
      <c r="A52" s="1072"/>
      <c r="B52" s="1073"/>
      <c r="C52" s="1073"/>
      <c r="D52" s="1073"/>
      <c r="E52" s="1073"/>
      <c r="F52" s="1073"/>
    </row>
    <row r="53" spans="1:6" s="300" customFormat="1" ht="6" customHeight="1" x14ac:dyDescent="0.2">
      <c r="A53" s="1074"/>
    </row>
    <row r="54" spans="1:6" s="1076" customFormat="1" ht="23.25" customHeight="1" x14ac:dyDescent="0.2">
      <c r="A54" s="1075">
        <v>5</v>
      </c>
      <c r="B54" s="2856" t="s">
        <v>1572</v>
      </c>
      <c r="C54" s="2856"/>
      <c r="D54" s="2856"/>
      <c r="E54" s="1168"/>
    </row>
    <row r="55" spans="1:6" s="1076" customFormat="1" ht="3.75" customHeight="1" x14ac:dyDescent="0.2">
      <c r="A55" s="1075"/>
      <c r="B55" s="1475"/>
      <c r="C55" s="1475"/>
      <c r="D55" s="1475"/>
      <c r="E55" s="1168"/>
    </row>
    <row r="56" spans="1:6" s="1076" customFormat="1" ht="20.25" customHeight="1" x14ac:dyDescent="0.2">
      <c r="A56" s="1077">
        <v>6</v>
      </c>
      <c r="B56" s="2851" t="s">
        <v>1533</v>
      </c>
      <c r="C56" s="2851"/>
      <c r="D56" s="2851"/>
    </row>
    <row r="57" spans="1:6" ht="14.25" customHeight="1" x14ac:dyDescent="0.2">
      <c r="A57" s="1077"/>
      <c r="B57" s="2851"/>
      <c r="C57" s="2851"/>
      <c r="D57" s="2851"/>
    </row>
  </sheetData>
  <mergeCells count="27">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6:D56"/>
    <mergeCell ref="B57:D57"/>
    <mergeCell ref="D27:F27"/>
    <mergeCell ref="D28:F28"/>
    <mergeCell ref="D29:F29"/>
    <mergeCell ref="A32:F32"/>
    <mergeCell ref="E34:F34"/>
    <mergeCell ref="B54:D54"/>
    <mergeCell ref="A37:F39"/>
  </mergeCells>
  <printOptions horizontalCentered="1"/>
  <pageMargins left="0.27" right="0.27" top="0.43" bottom="0" header="0.26" footer="0.5"/>
  <pageSetup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38" sqref="G38:I38"/>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875" t="str">
        <f>'Single Audit Cover'!A7</f>
        <v xml:space="preserve">   Peoria Heights CUSD 325</v>
      </c>
      <c r="C1" s="2876"/>
      <c r="D1" s="2876"/>
      <c r="E1" s="2876"/>
      <c r="F1" s="2876"/>
      <c r="G1" s="2876"/>
      <c r="H1" s="2876"/>
      <c r="I1" s="2876"/>
      <c r="J1" s="1178"/>
    </row>
    <row r="2" spans="2:10" s="295" customFormat="1" ht="12.75" customHeight="1" x14ac:dyDescent="0.2">
      <c r="B2" s="2877">
        <f>'Single Audit Cover'!E7</f>
        <v>48072325026</v>
      </c>
      <c r="C2" s="2878"/>
      <c r="D2" s="2878"/>
      <c r="E2" s="2878"/>
      <c r="F2" s="2878"/>
      <c r="G2" s="2878"/>
      <c r="H2" s="2878"/>
      <c r="I2" s="2878"/>
      <c r="J2" s="1178"/>
    </row>
    <row r="3" spans="2:10" s="295" customFormat="1" ht="12.75" customHeight="1" x14ac:dyDescent="0.2">
      <c r="B3" s="2879" t="s">
        <v>1274</v>
      </c>
      <c r="C3" s="2880"/>
      <c r="D3" s="2880"/>
      <c r="E3" s="2880"/>
      <c r="F3" s="2880"/>
      <c r="G3" s="2880"/>
      <c r="H3" s="2880"/>
      <c r="I3" s="2880"/>
      <c r="J3" s="1179"/>
    </row>
    <row r="4" spans="2:10" s="295" customFormat="1" ht="12.75" customHeight="1" x14ac:dyDescent="0.2">
      <c r="B4" s="2879" t="str">
        <f>'Single Audit Cover'!A4</f>
        <v>Year Ending June 30, 2020</v>
      </c>
      <c r="C4" s="2880"/>
      <c r="D4" s="2880"/>
      <c r="E4" s="2880"/>
      <c r="F4" s="2880"/>
      <c r="G4" s="2880"/>
      <c r="H4" s="2880"/>
      <c r="I4" s="288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879" t="s">
        <v>1273</v>
      </c>
      <c r="C7" s="2880"/>
      <c r="D7" s="2880"/>
      <c r="E7" s="2880"/>
      <c r="F7" s="2880"/>
      <c r="G7" s="2880"/>
      <c r="H7" s="2880"/>
      <c r="I7" s="288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881" t="s">
        <v>2231</v>
      </c>
      <c r="D11" s="288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2047</v>
      </c>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2047</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879</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t="s">
        <v>2047</v>
      </c>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2047</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882" t="s">
        <v>2232</v>
      </c>
      <c r="E29" s="2882"/>
      <c r="F29" s="2882"/>
      <c r="G29" s="2882"/>
      <c r="H29" s="2882"/>
      <c r="I29" s="2882"/>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1534</v>
      </c>
      <c r="C33" s="1058"/>
      <c r="E33" s="1194" t="s">
        <v>2047</v>
      </c>
      <c r="F33" s="1076" t="s">
        <v>879</v>
      </c>
      <c r="G33" s="1194"/>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883" t="s">
        <v>1724</v>
      </c>
      <c r="D37" s="2884"/>
      <c r="E37" s="2884"/>
      <c r="F37" s="2885"/>
      <c r="G37" s="2883" t="s">
        <v>1574</v>
      </c>
      <c r="H37" s="2884"/>
      <c r="I37" s="2885"/>
    </row>
    <row r="38" spans="2:9" ht="16.5" customHeight="1" x14ac:dyDescent="0.2">
      <c r="B38" s="1200" t="s">
        <v>2233</v>
      </c>
      <c r="C38" s="2871" t="s">
        <v>2091</v>
      </c>
      <c r="D38" s="2872"/>
      <c r="E38" s="2872"/>
      <c r="F38" s="2873"/>
      <c r="G38" s="2886">
        <f>'SEFA 20'!M47</f>
        <v>345860</v>
      </c>
      <c r="H38" s="2887"/>
      <c r="I38" s="2888"/>
    </row>
    <row r="39" spans="2:9" ht="16.5" customHeight="1" x14ac:dyDescent="0.2">
      <c r="B39" s="1200">
        <v>84.027000000000001</v>
      </c>
      <c r="C39" s="2871" t="s">
        <v>2092</v>
      </c>
      <c r="D39" s="2872"/>
      <c r="E39" s="2872"/>
      <c r="F39" s="2873"/>
      <c r="G39" s="2874">
        <f>'SEFA 20'!M94</f>
        <v>268230</v>
      </c>
      <c r="H39" s="2874"/>
      <c r="I39" s="2874"/>
    </row>
    <row r="40" spans="2:9" ht="16.5" hidden="1" customHeight="1" x14ac:dyDescent="0.2">
      <c r="B40" s="1200"/>
      <c r="C40" s="2871"/>
      <c r="D40" s="2872"/>
      <c r="E40" s="2872"/>
      <c r="F40" s="2873"/>
      <c r="G40" s="2874"/>
      <c r="H40" s="2874"/>
      <c r="I40" s="2874"/>
    </row>
    <row r="41" spans="2:9" ht="16.5" hidden="1" customHeight="1" x14ac:dyDescent="0.2">
      <c r="B41" s="1200"/>
      <c r="C41" s="2871"/>
      <c r="D41" s="2872"/>
      <c r="E41" s="2872"/>
      <c r="F41" s="2873"/>
      <c r="G41" s="2874"/>
      <c r="H41" s="2874"/>
      <c r="I41" s="2874"/>
    </row>
    <row r="42" spans="2:9" ht="16.5" hidden="1" customHeight="1" x14ac:dyDescent="0.2">
      <c r="B42" s="1200"/>
      <c r="C42" s="2871"/>
      <c r="D42" s="2872"/>
      <c r="E42" s="2872"/>
      <c r="F42" s="2873"/>
      <c r="G42" s="2874"/>
      <c r="H42" s="2874"/>
      <c r="I42" s="2874"/>
    </row>
    <row r="43" spans="2:9" ht="16.5" customHeight="1" x14ac:dyDescent="0.2">
      <c r="B43" s="1200"/>
      <c r="C43" s="2864" t="s">
        <v>1575</v>
      </c>
      <c r="D43" s="2865"/>
      <c r="E43" s="2865"/>
      <c r="F43" s="2866"/>
      <c r="G43" s="2867">
        <f>SUM(G38:I42)</f>
        <v>614090</v>
      </c>
      <c r="H43" s="2867"/>
      <c r="I43" s="2867"/>
    </row>
    <row r="44" spans="2:9" ht="12.75" customHeight="1" x14ac:dyDescent="0.2"/>
    <row r="45" spans="2:9" ht="12.75" customHeight="1" x14ac:dyDescent="0.2">
      <c r="B45" s="1918" t="str">
        <f>"Total Federal Expenditures for 7/1/"&amp;MID('AFR20'!E2,3,2)-1&amp;"-6/30/"&amp;MID('AFR20'!E2,3,2)</f>
        <v>Total Federal Expenditures for 7/1/19-6/30/20</v>
      </c>
      <c r="C45" s="1919"/>
      <c r="D45" s="2868">
        <f>'SEFA 20'!M132</f>
        <v>939703</v>
      </c>
      <c r="E45" s="2869"/>
    </row>
    <row r="46" spans="2:9" ht="5.25" customHeight="1" x14ac:dyDescent="0.2">
      <c r="B46" s="1201"/>
      <c r="D46" s="1202"/>
      <c r="E46" s="1203"/>
    </row>
    <row r="47" spans="2:9" ht="12.75" customHeight="1" x14ac:dyDescent="0.2">
      <c r="B47" s="1076" t="s">
        <v>1576</v>
      </c>
      <c r="C47" s="1076"/>
      <c r="D47" s="1204">
        <f>+G43/D45</f>
        <v>0.65349371024674818</v>
      </c>
      <c r="E47" s="1205"/>
      <c r="F47" s="1206"/>
      <c r="I47" s="1207"/>
    </row>
    <row r="48" spans="2:9" ht="9.9499999999999993" customHeight="1" x14ac:dyDescent="0.2"/>
    <row r="49" spans="1:9" x14ac:dyDescent="0.2">
      <c r="B49" s="1138" t="s">
        <v>1262</v>
      </c>
      <c r="C49" s="1058"/>
      <c r="D49" s="1058"/>
      <c r="E49" s="2870">
        <v>750000</v>
      </c>
      <c r="F49" s="2870"/>
      <c r="G49" s="2870"/>
      <c r="H49" s="300"/>
    </row>
    <row r="51" spans="1:9" ht="13.5" customHeight="1" x14ac:dyDescent="0.2">
      <c r="B51" s="1138" t="s">
        <v>1261</v>
      </c>
      <c r="C51" s="1058"/>
      <c r="E51" s="1194"/>
      <c r="F51" s="1076" t="s">
        <v>879</v>
      </c>
      <c r="G51" s="1194" t="s">
        <v>2047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93" t="str">
        <f>'Single Audit Cover'!A7</f>
        <v xml:space="preserve">   Peoria Heights CUSD 325</v>
      </c>
      <c r="C1" s="2893"/>
      <c r="D1" s="2893"/>
      <c r="E1" s="2893"/>
      <c r="F1" s="2893"/>
      <c r="G1" s="2893"/>
      <c r="H1" s="2893"/>
      <c r="I1" s="2893"/>
      <c r="J1" s="2893"/>
      <c r="K1" s="2893"/>
      <c r="L1" s="1221"/>
    </row>
    <row r="2" spans="1:12" ht="12.75" customHeight="1" x14ac:dyDescent="0.2">
      <c r="B2" s="2894">
        <f>'Single Audit Cover'!E7</f>
        <v>48072325026</v>
      </c>
      <c r="C2" s="2894"/>
      <c r="D2" s="2894"/>
      <c r="E2" s="2894"/>
      <c r="F2" s="2894"/>
      <c r="G2" s="2894"/>
      <c r="H2" s="2894"/>
      <c r="I2" s="2894"/>
      <c r="J2" s="2894"/>
      <c r="K2" s="2894"/>
      <c r="L2" s="1222"/>
    </row>
    <row r="3" spans="1:12" ht="12.75" customHeight="1" x14ac:dyDescent="0.2">
      <c r="B3" s="2895" t="s">
        <v>1274</v>
      </c>
      <c r="C3" s="2895"/>
      <c r="D3" s="2895"/>
      <c r="E3" s="2895"/>
      <c r="F3" s="2895"/>
      <c r="G3" s="2895"/>
      <c r="H3" s="2895"/>
      <c r="I3" s="2895"/>
      <c r="J3" s="2895"/>
      <c r="K3" s="2895"/>
      <c r="L3" s="1147"/>
    </row>
    <row r="4" spans="1:12" ht="12.75" customHeight="1" x14ac:dyDescent="0.2">
      <c r="B4" s="2895" t="str">
        <f>'Single Audit Cover'!A4</f>
        <v>Year Ending June 30, 2020</v>
      </c>
      <c r="C4" s="2895"/>
      <c r="D4" s="2895"/>
      <c r="E4" s="2895"/>
      <c r="F4" s="2895"/>
      <c r="G4" s="2895"/>
      <c r="H4" s="2895"/>
      <c r="I4" s="2895"/>
      <c r="J4" s="2895"/>
      <c r="K4" s="2895"/>
      <c r="L4" s="1147"/>
    </row>
    <row r="5" spans="1:12" ht="5.25" customHeight="1" x14ac:dyDescent="0.2">
      <c r="B5" s="1036" t="s">
        <v>1159</v>
      </c>
      <c r="C5" s="1036"/>
      <c r="L5" s="300"/>
    </row>
    <row r="6" spans="1:12" ht="30.75" customHeight="1" x14ac:dyDescent="0.2">
      <c r="A6" s="300"/>
      <c r="B6" s="2896" t="s">
        <v>1297</v>
      </c>
      <c r="C6" s="2896"/>
      <c r="D6" s="2896"/>
      <c r="E6" s="2896"/>
      <c r="F6" s="2896"/>
      <c r="G6" s="2896"/>
      <c r="H6" s="2896"/>
      <c r="I6" s="2896"/>
      <c r="J6" s="2896"/>
      <c r="K6" s="2896"/>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882"/>
      <c r="G12" s="2882"/>
      <c r="H12" s="2882"/>
      <c r="I12" s="2882"/>
      <c r="J12" s="2882"/>
      <c r="K12" s="288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890"/>
      <c r="E14" s="2890"/>
      <c r="F14" s="2890"/>
      <c r="H14" s="1230" t="s">
        <v>1292</v>
      </c>
      <c r="I14" s="2891"/>
      <c r="J14" s="2891"/>
      <c r="K14" s="289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891"/>
      <c r="E16" s="2891"/>
      <c r="F16" s="2891"/>
      <c r="G16" s="2891"/>
      <c r="H16" s="2891"/>
      <c r="I16" s="2891"/>
      <c r="J16" s="2891"/>
      <c r="K16" s="2891"/>
      <c r="L16" s="300"/>
    </row>
    <row r="17" spans="2:12" ht="13.5" customHeight="1" x14ac:dyDescent="0.2">
      <c r="B17" s="1156" t="s">
        <v>1290</v>
      </c>
      <c r="C17" s="1156"/>
      <c r="D17" s="2892"/>
      <c r="E17" s="2892"/>
      <c r="F17" s="2892"/>
      <c r="G17" s="2892"/>
      <c r="H17" s="2892"/>
      <c r="I17" s="2892"/>
      <c r="J17" s="2892"/>
      <c r="K17" s="289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889"/>
      <c r="C20" s="2889"/>
      <c r="D20" s="2889"/>
      <c r="E20" s="2889"/>
      <c r="F20" s="2889"/>
      <c r="G20" s="2889"/>
      <c r="H20" s="2889"/>
      <c r="I20" s="2889"/>
      <c r="J20" s="2889"/>
      <c r="K20" s="288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889"/>
      <c r="C23" s="2889"/>
      <c r="D23" s="2889"/>
      <c r="E23" s="2889"/>
      <c r="F23" s="2889"/>
      <c r="G23" s="2889"/>
      <c r="H23" s="2889"/>
      <c r="I23" s="2889"/>
      <c r="J23" s="2889"/>
      <c r="K23" s="288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889"/>
      <c r="C26" s="2889"/>
      <c r="D26" s="2889"/>
      <c r="E26" s="2889"/>
      <c r="F26" s="2889"/>
      <c r="G26" s="2889"/>
      <c r="H26" s="2889"/>
      <c r="I26" s="2889"/>
      <c r="J26" s="2889"/>
      <c r="K26" s="288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889"/>
      <c r="C29" s="2889"/>
      <c r="D29" s="2889"/>
      <c r="E29" s="2889"/>
      <c r="F29" s="2889"/>
      <c r="G29" s="2889"/>
      <c r="H29" s="2889"/>
      <c r="I29" s="2889"/>
      <c r="J29" s="2889"/>
      <c r="K29" s="288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889"/>
      <c r="C32" s="2889"/>
      <c r="D32" s="2889"/>
      <c r="E32" s="2889"/>
      <c r="F32" s="2889"/>
      <c r="G32" s="2889"/>
      <c r="H32" s="2889"/>
      <c r="I32" s="2889"/>
      <c r="J32" s="2889"/>
      <c r="K32" s="288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889"/>
      <c r="C35" s="2889"/>
      <c r="D35" s="2889"/>
      <c r="E35" s="2889"/>
      <c r="F35" s="2889"/>
      <c r="G35" s="2889"/>
      <c r="H35" s="2889"/>
      <c r="I35" s="2889"/>
      <c r="J35" s="2889"/>
      <c r="K35" s="288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889"/>
      <c r="C38" s="2889"/>
      <c r="D38" s="2889"/>
      <c r="E38" s="2889"/>
      <c r="F38" s="2889"/>
      <c r="G38" s="2889"/>
      <c r="H38" s="2889"/>
      <c r="I38" s="2889"/>
      <c r="J38" s="2889"/>
      <c r="K38" s="288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889"/>
      <c r="C41" s="2889"/>
      <c r="D41" s="2889"/>
      <c r="E41" s="2889"/>
      <c r="F41" s="2889"/>
      <c r="G41" s="2889"/>
      <c r="H41" s="2889"/>
      <c r="I41" s="2889"/>
      <c r="J41" s="2889"/>
      <c r="K41" s="288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875" t="str">
        <f>'Single Audit Cover'!A7</f>
        <v xml:space="preserve">   Peoria Heights CUSD 325</v>
      </c>
      <c r="C1" s="2875"/>
      <c r="D1" s="2875"/>
      <c r="E1" s="2875"/>
      <c r="F1" s="2875"/>
      <c r="G1" s="2875"/>
      <c r="H1" s="2875"/>
      <c r="I1" s="2875"/>
      <c r="J1" s="2875"/>
      <c r="K1" s="2875"/>
      <c r="L1" s="1144"/>
      <c r="M1" s="1144"/>
    </row>
    <row r="2" spans="1:13" ht="12" customHeight="1" x14ac:dyDescent="0.2">
      <c r="B2" s="2877">
        <f>'Single Audit Cover'!E7</f>
        <v>48072325026</v>
      </c>
      <c r="C2" s="2877"/>
      <c r="D2" s="2877"/>
      <c r="E2" s="2877"/>
      <c r="F2" s="2877"/>
      <c r="G2" s="2877"/>
      <c r="H2" s="2877"/>
      <c r="I2" s="2877"/>
      <c r="J2" s="2877"/>
      <c r="K2" s="2877"/>
      <c r="L2" s="1145"/>
      <c r="M2" s="1146"/>
    </row>
    <row r="3" spans="1:13" ht="10.35" customHeight="1" x14ac:dyDescent="0.2">
      <c r="B3" s="2895" t="s">
        <v>1274</v>
      </c>
      <c r="C3" s="2895"/>
      <c r="D3" s="2895"/>
      <c r="E3" s="2895"/>
      <c r="F3" s="2895"/>
      <c r="G3" s="2895"/>
      <c r="H3" s="2895"/>
      <c r="I3" s="2895"/>
      <c r="J3" s="2895"/>
      <c r="K3" s="2895"/>
      <c r="L3" s="1147"/>
      <c r="M3" s="1147"/>
    </row>
    <row r="4" spans="1:13" ht="14.25" customHeight="1" x14ac:dyDescent="0.2">
      <c r="B4" s="2898" t="str">
        <f>'Single Audit Cover'!A4</f>
        <v>Year Ending June 30, 2020</v>
      </c>
      <c r="C4" s="2898"/>
      <c r="D4" s="2898"/>
      <c r="E4" s="2898"/>
      <c r="F4" s="2898"/>
      <c r="G4" s="2898"/>
      <c r="H4" s="2898"/>
      <c r="I4" s="2898"/>
      <c r="J4" s="2898"/>
      <c r="K4" s="289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898" t="s">
        <v>1285</v>
      </c>
      <c r="C7" s="2898"/>
      <c r="D7" s="2899"/>
      <c r="E7" s="2899"/>
      <c r="F7" s="2899"/>
      <c r="G7" s="2899"/>
      <c r="H7" s="2899"/>
      <c r="I7" s="2899"/>
      <c r="J7" s="2899"/>
      <c r="K7" s="289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20" t="str">
        <f>'AFR20'!$E$2&amp;"-"</f>
        <v>2020-</v>
      </c>
      <c r="D10" s="1155">
        <v>1</v>
      </c>
      <c r="E10" s="300"/>
      <c r="F10" s="1156" t="s">
        <v>1284</v>
      </c>
      <c r="G10" s="1157"/>
      <c r="H10" s="1158" t="s">
        <v>1283</v>
      </c>
      <c r="I10" s="1157" t="s">
        <v>2047</v>
      </c>
      <c r="J10" s="1159" t="s">
        <v>1282</v>
      </c>
      <c r="K10" s="300"/>
      <c r="L10" s="1151"/>
    </row>
    <row r="11" spans="1:13" ht="13.5" customHeight="1" x14ac:dyDescent="0.2">
      <c r="B11" s="300"/>
      <c r="C11" s="300"/>
      <c r="D11" s="300"/>
      <c r="E11" s="300"/>
      <c r="F11" s="300"/>
      <c r="G11" s="1153"/>
      <c r="H11" s="300"/>
      <c r="I11" s="1160" t="s">
        <v>1281</v>
      </c>
      <c r="J11" s="300"/>
      <c r="K11" s="1161">
        <v>2012</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52.15" customHeight="1" x14ac:dyDescent="0.2">
      <c r="B14" s="2889" t="s">
        <v>2284</v>
      </c>
      <c r="C14" s="2889"/>
      <c r="D14" s="2889"/>
      <c r="E14" s="2889"/>
      <c r="F14" s="2889"/>
      <c r="G14" s="2889"/>
      <c r="H14" s="2889"/>
      <c r="I14" s="2889"/>
      <c r="J14" s="2889"/>
      <c r="K14" s="288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889" t="s">
        <v>2073</v>
      </c>
      <c r="C17" s="2889"/>
      <c r="D17" s="2889"/>
      <c r="E17" s="2889"/>
      <c r="F17" s="2889"/>
      <c r="G17" s="2889"/>
      <c r="H17" s="2889"/>
      <c r="I17" s="2889"/>
      <c r="J17" s="2889"/>
      <c r="K17" s="2889"/>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37.9" customHeight="1" x14ac:dyDescent="0.2">
      <c r="B20" s="2900" t="s">
        <v>2074</v>
      </c>
      <c r="C20" s="2900"/>
      <c r="D20" s="2889"/>
      <c r="E20" s="2889"/>
      <c r="F20" s="2889"/>
      <c r="G20" s="2889"/>
      <c r="H20" s="2889"/>
      <c r="I20" s="2889"/>
      <c r="J20" s="2889"/>
      <c r="K20" s="288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0.15" customHeight="1" x14ac:dyDescent="0.2">
      <c r="B23" s="2889" t="s">
        <v>2285</v>
      </c>
      <c r="C23" s="2889"/>
      <c r="D23" s="2889"/>
      <c r="E23" s="2889"/>
      <c r="F23" s="2889"/>
      <c r="G23" s="2889"/>
      <c r="H23" s="2889"/>
      <c r="I23" s="2889"/>
      <c r="J23" s="2889"/>
      <c r="K23" s="288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889" t="s">
        <v>2286</v>
      </c>
      <c r="C26" s="2889"/>
      <c r="D26" s="2889"/>
      <c r="E26" s="2889"/>
      <c r="F26" s="2889"/>
      <c r="G26" s="2889"/>
      <c r="H26" s="2889"/>
      <c r="I26" s="2889"/>
      <c r="J26" s="2889"/>
      <c r="K26" s="288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897" t="s">
        <v>2287</v>
      </c>
      <c r="C29" s="2897"/>
      <c r="D29" s="2889"/>
      <c r="E29" s="2889"/>
      <c r="F29" s="2889"/>
      <c r="G29" s="2889"/>
      <c r="H29" s="2889"/>
      <c r="I29" s="2889"/>
      <c r="J29" s="2889"/>
      <c r="K29" s="288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897" t="s">
        <v>2288</v>
      </c>
      <c r="C32" s="2897"/>
      <c r="D32" s="2889"/>
      <c r="E32" s="2889"/>
      <c r="F32" s="2889"/>
      <c r="G32" s="2889"/>
      <c r="H32" s="2889"/>
      <c r="I32" s="2889"/>
      <c r="J32" s="2889"/>
      <c r="K32" s="288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1275</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F4C26-F7A3-4520-B510-DC2E8377DD76}">
  <dimension ref="A1:M40"/>
  <sheetViews>
    <sheetView showGridLines="0" zoomScale="110" zoomScaleNormal="110" workbookViewId="0"/>
  </sheetViews>
  <sheetFormatPr defaultColWidth="9.140625" defaultRowHeight="12" x14ac:dyDescent="0.2"/>
  <cols>
    <col min="1" max="1" width="1.5703125" style="991" customWidth="1"/>
    <col min="2" max="2" width="21.42578125" style="991" customWidth="1"/>
    <col min="3" max="3" width="6.140625" style="991" customWidth="1"/>
    <col min="4" max="4" width="4.42578125" style="991" customWidth="1"/>
    <col min="5" max="5" width="3.5703125" style="991" customWidth="1"/>
    <col min="6" max="6" width="20.140625" style="991" customWidth="1"/>
    <col min="7" max="7" width="3.5703125" style="2063" customWidth="1"/>
    <col min="8" max="8" width="10.5703125" style="991" customWidth="1"/>
    <col min="9" max="9" width="3.42578125" style="2063" customWidth="1"/>
    <col min="10" max="10" width="15.42578125" style="991" customWidth="1"/>
    <col min="11" max="11" width="8.5703125" style="991" customWidth="1"/>
    <col min="12" max="12" width="1.42578125" style="991" customWidth="1"/>
    <col min="13" max="13" width="3.42578125" style="991" customWidth="1"/>
    <col min="14" max="16384" width="9.140625" style="991"/>
  </cols>
  <sheetData>
    <row r="1" spans="2:13" ht="11.1" customHeight="1" x14ac:dyDescent="0.2">
      <c r="B1" s="2901" t="str">
        <f>'Finding 2020-001'!B1</f>
        <v xml:space="preserve">   Peoria Heights CUSD 325</v>
      </c>
      <c r="C1" s="2901"/>
      <c r="D1" s="2901"/>
      <c r="E1" s="2901"/>
      <c r="F1" s="2901"/>
      <c r="G1" s="2901"/>
      <c r="H1" s="2901"/>
      <c r="I1" s="2901"/>
      <c r="J1" s="2901"/>
      <c r="K1" s="2901"/>
      <c r="L1" s="2059"/>
      <c r="M1" s="2059"/>
    </row>
    <row r="2" spans="2:13" ht="12" customHeight="1" x14ac:dyDescent="0.2">
      <c r="B2" s="2902">
        <f>'Finding 2020-001'!B2</f>
        <v>48072325026</v>
      </c>
      <c r="C2" s="2902"/>
      <c r="D2" s="2902"/>
      <c r="E2" s="2902"/>
      <c r="F2" s="2902"/>
      <c r="G2" s="2902"/>
      <c r="H2" s="2902"/>
      <c r="I2" s="2902"/>
      <c r="J2" s="2902"/>
      <c r="K2" s="2902"/>
      <c r="L2" s="2060"/>
      <c r="M2" s="2061"/>
    </row>
    <row r="3" spans="2:13" ht="10.35" customHeight="1" x14ac:dyDescent="0.2">
      <c r="B3" s="2903" t="s">
        <v>1274</v>
      </c>
      <c r="C3" s="2903"/>
      <c r="D3" s="2903"/>
      <c r="E3" s="2903"/>
      <c r="F3" s="2903"/>
      <c r="G3" s="2903"/>
      <c r="H3" s="2903"/>
      <c r="I3" s="2903"/>
      <c r="J3" s="2903"/>
      <c r="K3" s="2903"/>
      <c r="L3" s="2036"/>
      <c r="M3" s="2036"/>
    </row>
    <row r="4" spans="2:13" ht="14.25" customHeight="1" x14ac:dyDescent="0.2">
      <c r="B4" s="2903" t="s">
        <v>2087</v>
      </c>
      <c r="C4" s="2903"/>
      <c r="D4" s="2903"/>
      <c r="E4" s="2903"/>
      <c r="F4" s="2903"/>
      <c r="G4" s="2903"/>
      <c r="H4" s="2903"/>
      <c r="I4" s="2903"/>
      <c r="J4" s="2903"/>
      <c r="K4" s="2903"/>
      <c r="L4" s="2036"/>
      <c r="M4" s="2036"/>
    </row>
    <row r="5" spans="2:13" ht="7.5" customHeight="1" x14ac:dyDescent="0.2">
      <c r="B5" s="2062" t="s">
        <v>1159</v>
      </c>
      <c r="C5" s="2062"/>
    </row>
    <row r="6" spans="2:13" ht="7.5" customHeight="1" x14ac:dyDescent="0.2">
      <c r="B6" s="2064"/>
      <c r="C6" s="2064"/>
      <c r="D6" s="2065"/>
      <c r="E6" s="2065"/>
      <c r="F6" s="2065"/>
      <c r="G6" s="2066"/>
      <c r="H6" s="2065"/>
      <c r="I6" s="2066"/>
      <c r="J6" s="2065"/>
      <c r="K6" s="2065"/>
    </row>
    <row r="7" spans="2:13" ht="12.75" customHeight="1" x14ac:dyDescent="0.2">
      <c r="B7" s="2903" t="s">
        <v>1285</v>
      </c>
      <c r="C7" s="2903"/>
      <c r="D7" s="2880"/>
      <c r="E7" s="2880"/>
      <c r="F7" s="2880"/>
      <c r="G7" s="2880"/>
      <c r="H7" s="2880"/>
      <c r="I7" s="2880"/>
      <c r="J7" s="2880"/>
      <c r="K7" s="2880"/>
      <c r="L7" s="2067"/>
    </row>
    <row r="8" spans="2:13" ht="7.5" customHeight="1" x14ac:dyDescent="0.2"/>
    <row r="9" spans="2:13" ht="9.6" customHeight="1" x14ac:dyDescent="0.2">
      <c r="B9" s="2065"/>
      <c r="C9" s="2065"/>
      <c r="D9" s="2065"/>
      <c r="E9" s="2065"/>
      <c r="F9" s="2065"/>
      <c r="G9" s="2066"/>
      <c r="H9" s="2065"/>
      <c r="I9" s="2066"/>
      <c r="J9" s="2065"/>
      <c r="K9" s="2065"/>
    </row>
    <row r="10" spans="2:13" ht="16.5" customHeight="1" x14ac:dyDescent="0.2">
      <c r="B10" s="995" t="s">
        <v>1715</v>
      </c>
      <c r="C10" s="2068" t="s">
        <v>2078</v>
      </c>
      <c r="D10" s="2069">
        <v>2</v>
      </c>
      <c r="F10" s="995" t="s">
        <v>1284</v>
      </c>
      <c r="G10" s="2070"/>
      <c r="H10" s="2071" t="s">
        <v>1283</v>
      </c>
      <c r="I10" s="2070" t="s">
        <v>2047</v>
      </c>
      <c r="J10" s="2072" t="s">
        <v>1282</v>
      </c>
    </row>
    <row r="11" spans="2:13" ht="13.5" customHeight="1" x14ac:dyDescent="0.2">
      <c r="I11" s="2073" t="s">
        <v>1281</v>
      </c>
      <c r="K11" s="2074">
        <v>2012</v>
      </c>
    </row>
    <row r="12" spans="2:13" ht="13.5" customHeight="1" x14ac:dyDescent="0.2">
      <c r="B12" s="2062"/>
      <c r="C12" s="2062"/>
    </row>
    <row r="13" spans="2:13" ht="13.5" customHeight="1" x14ac:dyDescent="0.2">
      <c r="B13" s="2075" t="s">
        <v>1280</v>
      </c>
      <c r="C13" s="2076"/>
      <c r="D13" s="2065"/>
      <c r="E13" s="2065"/>
      <c r="F13" s="2065"/>
      <c r="G13" s="2066"/>
      <c r="H13" s="2065"/>
      <c r="I13" s="2066"/>
      <c r="J13" s="2065"/>
      <c r="K13" s="2065"/>
    </row>
    <row r="14" spans="2:13" ht="66.75" customHeight="1" x14ac:dyDescent="0.2">
      <c r="B14" s="2889" t="s">
        <v>2290</v>
      </c>
      <c r="C14" s="2889"/>
      <c r="D14" s="2889"/>
      <c r="E14" s="2889"/>
      <c r="F14" s="2889"/>
      <c r="G14" s="2889"/>
      <c r="H14" s="2889"/>
      <c r="I14" s="2889"/>
      <c r="J14" s="2889"/>
      <c r="K14" s="2889"/>
    </row>
    <row r="15" spans="2:13" ht="4.5" customHeight="1" x14ac:dyDescent="0.2">
      <c r="B15" s="2077"/>
      <c r="C15" s="2077"/>
    </row>
    <row r="16" spans="2:13" ht="13.5" customHeight="1" x14ac:dyDescent="0.2">
      <c r="B16" s="2075" t="s">
        <v>1279</v>
      </c>
      <c r="C16" s="2076"/>
      <c r="D16" s="2065"/>
      <c r="E16" s="2065"/>
      <c r="F16" s="2065"/>
      <c r="G16" s="2066"/>
      <c r="H16" s="2065"/>
      <c r="I16" s="2066"/>
      <c r="J16" s="2065"/>
      <c r="K16" s="2065"/>
    </row>
    <row r="17" spans="2:11" ht="53.25" customHeight="1" x14ac:dyDescent="0.2">
      <c r="B17" s="2889" t="s">
        <v>2319</v>
      </c>
      <c r="C17" s="2889"/>
      <c r="D17" s="2889"/>
      <c r="E17" s="2889"/>
      <c r="F17" s="2889"/>
      <c r="G17" s="2889"/>
      <c r="H17" s="2889"/>
      <c r="I17" s="2889"/>
      <c r="J17" s="2889"/>
      <c r="K17" s="2889"/>
    </row>
    <row r="18" spans="2:11" ht="4.5" customHeight="1" x14ac:dyDescent="0.2">
      <c r="B18" s="2077"/>
      <c r="C18" s="2077"/>
    </row>
    <row r="19" spans="2:11" ht="13.5" customHeight="1" x14ac:dyDescent="0.2">
      <c r="B19" s="2075" t="s">
        <v>1716</v>
      </c>
      <c r="C19" s="2076"/>
      <c r="D19" s="2065"/>
      <c r="E19" s="2065"/>
      <c r="F19" s="2065"/>
      <c r="G19" s="2066"/>
      <c r="H19" s="2065"/>
      <c r="I19" s="2066"/>
      <c r="J19" s="2065"/>
      <c r="K19" s="2065"/>
    </row>
    <row r="20" spans="2:11" ht="45.6" customHeight="1" x14ac:dyDescent="0.2">
      <c r="B20" s="2900" t="s">
        <v>2318</v>
      </c>
      <c r="C20" s="2900"/>
      <c r="D20" s="2889"/>
      <c r="E20" s="2889"/>
      <c r="F20" s="2889"/>
      <c r="G20" s="2889"/>
      <c r="H20" s="2889"/>
      <c r="I20" s="2889"/>
      <c r="J20" s="2889"/>
      <c r="K20" s="2889"/>
    </row>
    <row r="21" spans="2:11" ht="4.5" customHeight="1" x14ac:dyDescent="0.2">
      <c r="B21" s="2078"/>
      <c r="C21" s="2078"/>
    </row>
    <row r="22" spans="2:11" ht="13.5" customHeight="1" x14ac:dyDescent="0.2">
      <c r="B22" s="2075" t="s">
        <v>1278</v>
      </c>
      <c r="C22" s="2076"/>
      <c r="D22" s="2065"/>
      <c r="E22" s="2065"/>
      <c r="F22" s="2065"/>
      <c r="G22" s="2066"/>
      <c r="H22" s="2065"/>
      <c r="I22" s="2066"/>
      <c r="J22" s="2065"/>
      <c r="K22" s="2065"/>
    </row>
    <row r="23" spans="2:11" ht="47.45" customHeight="1" x14ac:dyDescent="0.2">
      <c r="B23" s="2889" t="s">
        <v>2320</v>
      </c>
      <c r="C23" s="2889"/>
      <c r="D23" s="2889"/>
      <c r="E23" s="2889"/>
      <c r="F23" s="2889"/>
      <c r="G23" s="2889"/>
      <c r="H23" s="2889"/>
      <c r="I23" s="2889"/>
      <c r="J23" s="2889"/>
      <c r="K23" s="2889"/>
    </row>
    <row r="24" spans="2:11" ht="4.5" customHeight="1" x14ac:dyDescent="0.2">
      <c r="B24" s="2077"/>
      <c r="C24" s="2077"/>
    </row>
    <row r="25" spans="2:11" ht="13.5" customHeight="1" x14ac:dyDescent="0.2">
      <c r="B25" s="2075" t="s">
        <v>1277</v>
      </c>
      <c r="C25" s="2076"/>
      <c r="D25" s="2065"/>
      <c r="E25" s="2065"/>
      <c r="F25" s="2065"/>
      <c r="G25" s="2066"/>
      <c r="H25" s="2065"/>
      <c r="I25" s="2066"/>
      <c r="J25" s="2065"/>
      <c r="K25" s="2065"/>
    </row>
    <row r="26" spans="2:11" ht="45.75" customHeight="1" x14ac:dyDescent="0.2">
      <c r="B26" s="2889" t="s">
        <v>2289</v>
      </c>
      <c r="C26" s="2889"/>
      <c r="D26" s="2889"/>
      <c r="E26" s="2889"/>
      <c r="F26" s="2889"/>
      <c r="G26" s="2889"/>
      <c r="H26" s="2889"/>
      <c r="I26" s="2889"/>
      <c r="J26" s="2889"/>
      <c r="K26" s="2889"/>
    </row>
    <row r="27" spans="2:11" ht="4.5" customHeight="1" x14ac:dyDescent="0.2">
      <c r="B27" s="2077"/>
      <c r="C27" s="2077"/>
    </row>
    <row r="28" spans="2:11" ht="13.5" customHeight="1" x14ac:dyDescent="0.2">
      <c r="B28" s="2079" t="s">
        <v>1276</v>
      </c>
      <c r="C28" s="2064"/>
      <c r="D28" s="2065"/>
      <c r="E28" s="2065"/>
      <c r="F28" s="2065"/>
      <c r="G28" s="2066"/>
      <c r="H28" s="2065"/>
      <c r="I28" s="2066"/>
      <c r="J28" s="2065"/>
      <c r="K28" s="2065"/>
    </row>
    <row r="29" spans="2:11" ht="37.5" customHeight="1" x14ac:dyDescent="0.2">
      <c r="B29" s="2889" t="s">
        <v>2321</v>
      </c>
      <c r="C29" s="2889"/>
      <c r="D29" s="2889"/>
      <c r="E29" s="2889"/>
      <c r="F29" s="2889"/>
      <c r="G29" s="2889"/>
      <c r="H29" s="2889"/>
      <c r="I29" s="2889"/>
      <c r="J29" s="2889"/>
      <c r="K29" s="2889"/>
    </row>
    <row r="30" spans="2:11" ht="4.5" customHeight="1" x14ac:dyDescent="0.2">
      <c r="B30" s="2077"/>
      <c r="C30" s="2077"/>
    </row>
    <row r="31" spans="2:11" ht="13.5" customHeight="1" x14ac:dyDescent="0.2">
      <c r="B31" s="2080" t="s">
        <v>1717</v>
      </c>
      <c r="C31" s="2081"/>
      <c r="D31" s="2064"/>
      <c r="E31" s="2065"/>
      <c r="F31" s="2065"/>
      <c r="G31" s="2066"/>
      <c r="H31" s="2065"/>
      <c r="I31" s="2066"/>
      <c r="J31" s="2065"/>
      <c r="K31" s="2065"/>
    </row>
    <row r="32" spans="2:11" ht="58.5" customHeight="1" x14ac:dyDescent="0.2">
      <c r="B32" s="2889" t="s">
        <v>2322</v>
      </c>
      <c r="C32" s="2889"/>
      <c r="D32" s="2889"/>
      <c r="E32" s="2889"/>
      <c r="F32" s="2889"/>
      <c r="G32" s="2889"/>
      <c r="H32" s="2889"/>
      <c r="I32" s="2889"/>
      <c r="J32" s="2889"/>
      <c r="K32" s="2889"/>
    </row>
    <row r="33" spans="1:13" ht="8.25" customHeight="1" x14ac:dyDescent="0.2">
      <c r="A33" s="2082"/>
      <c r="B33" s="2082"/>
      <c r="C33" s="2082"/>
      <c r="D33" s="2082"/>
      <c r="E33" s="2082"/>
      <c r="F33" s="2082"/>
      <c r="G33" s="2083"/>
      <c r="H33" s="2082"/>
      <c r="I33" s="2083"/>
      <c r="J33" s="2082"/>
      <c r="K33" s="2082"/>
    </row>
    <row r="34" spans="1:13" ht="11.85" customHeight="1" x14ac:dyDescent="0.2">
      <c r="B34" s="2084" t="s">
        <v>1718</v>
      </c>
      <c r="C34" s="2085"/>
    </row>
    <row r="35" spans="1:13" ht="9.6" customHeight="1" x14ac:dyDescent="0.2">
      <c r="B35" s="998" t="s">
        <v>2088</v>
      </c>
    </row>
    <row r="36" spans="1:13" ht="9.6" customHeight="1" x14ac:dyDescent="0.2">
      <c r="B36" s="998" t="s">
        <v>2089</v>
      </c>
    </row>
    <row r="37" spans="1:13" ht="11.85" customHeight="1" x14ac:dyDescent="0.2">
      <c r="B37" s="2084" t="s">
        <v>1719</v>
      </c>
      <c r="C37" s="2085"/>
    </row>
    <row r="38" spans="1:13" ht="9.6" customHeight="1" x14ac:dyDescent="0.2">
      <c r="B38" s="998" t="s">
        <v>1275</v>
      </c>
      <c r="M38" s="2086"/>
    </row>
    <row r="39" spans="1:13" ht="12.6" customHeight="1" x14ac:dyDescent="0.2">
      <c r="B39" s="2084" t="s">
        <v>1720</v>
      </c>
      <c r="C39" s="2085"/>
      <c r="M39" s="2086"/>
    </row>
    <row r="40" spans="1:13" ht="9.6" customHeight="1" x14ac:dyDescent="0.2">
      <c r="M40" s="2086"/>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C68DE-390F-4D76-8604-C671CB95F44B}">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90" customWidth="1"/>
    <col min="8" max="8" width="10.5703125" style="294" customWidth="1"/>
    <col min="9" max="9" width="3.42578125" style="2090"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901" t="str">
        <f>'Finding 2020-002'!B1</f>
        <v xml:space="preserve">   Peoria Heights CUSD 325</v>
      </c>
      <c r="C1" s="2901"/>
      <c r="D1" s="2901"/>
      <c r="E1" s="2901"/>
      <c r="F1" s="2901"/>
      <c r="G1" s="2901"/>
      <c r="H1" s="2901"/>
      <c r="I1" s="2901"/>
      <c r="J1" s="2901"/>
      <c r="K1" s="2901"/>
      <c r="L1" s="2087"/>
      <c r="M1" s="2087"/>
    </row>
    <row r="2" spans="1:13" ht="12" customHeight="1" x14ac:dyDescent="0.2">
      <c r="B2" s="2902">
        <f>'Finding 2020-001'!B2</f>
        <v>48072325026</v>
      </c>
      <c r="C2" s="2902"/>
      <c r="D2" s="2902"/>
      <c r="E2" s="2902"/>
      <c r="F2" s="2902"/>
      <c r="G2" s="2902"/>
      <c r="H2" s="2902"/>
      <c r="I2" s="2902"/>
      <c r="J2" s="2902"/>
      <c r="K2" s="2902"/>
      <c r="L2" s="2060"/>
      <c r="M2" s="2088"/>
    </row>
    <row r="3" spans="1:13" ht="10.35" customHeight="1" x14ac:dyDescent="0.2">
      <c r="B3" s="2903" t="s">
        <v>1274</v>
      </c>
      <c r="C3" s="2903"/>
      <c r="D3" s="2903"/>
      <c r="E3" s="2903"/>
      <c r="F3" s="2903"/>
      <c r="G3" s="2903"/>
      <c r="H3" s="2903"/>
      <c r="I3" s="2903"/>
      <c r="J3" s="2903"/>
      <c r="K3" s="2903"/>
      <c r="L3" s="2036"/>
      <c r="M3" s="2036"/>
    </row>
    <row r="4" spans="1:13" ht="14.25" customHeight="1" x14ac:dyDescent="0.2">
      <c r="B4" s="2903" t="s">
        <v>2087</v>
      </c>
      <c r="C4" s="2903"/>
      <c r="D4" s="2903"/>
      <c r="E4" s="2903"/>
      <c r="F4" s="2903"/>
      <c r="G4" s="2903"/>
      <c r="H4" s="2903"/>
      <c r="I4" s="2903"/>
      <c r="J4" s="2903"/>
      <c r="K4" s="2903"/>
      <c r="L4" s="2036"/>
      <c r="M4" s="2036"/>
    </row>
    <row r="5" spans="1:13" ht="7.5" customHeight="1" x14ac:dyDescent="0.2">
      <c r="B5" s="2089" t="s">
        <v>1159</v>
      </c>
      <c r="C5" s="2089"/>
    </row>
    <row r="6" spans="1:13" ht="7.5" customHeight="1" x14ac:dyDescent="0.2">
      <c r="B6" s="2091"/>
      <c r="C6" s="2091"/>
      <c r="D6" s="2092"/>
      <c r="E6" s="2092"/>
      <c r="F6" s="2092"/>
      <c r="G6" s="2093"/>
      <c r="H6" s="2092"/>
      <c r="I6" s="2093"/>
      <c r="J6" s="2092"/>
      <c r="K6" s="2092"/>
    </row>
    <row r="7" spans="1:13" ht="12.75" customHeight="1" x14ac:dyDescent="0.2">
      <c r="A7" s="991"/>
      <c r="B7" s="2903" t="s">
        <v>1285</v>
      </c>
      <c r="C7" s="2903"/>
      <c r="D7" s="2878"/>
      <c r="E7" s="2878"/>
      <c r="F7" s="2878"/>
      <c r="G7" s="2878"/>
      <c r="H7" s="2878"/>
      <c r="I7" s="2878"/>
      <c r="J7" s="2878"/>
      <c r="K7" s="2878"/>
      <c r="L7" s="2094"/>
    </row>
    <row r="8" spans="1:13" ht="7.5" customHeight="1" x14ac:dyDescent="0.2"/>
    <row r="9" spans="1:13" ht="9.6" customHeight="1" x14ac:dyDescent="0.2">
      <c r="B9" s="2092"/>
      <c r="C9" s="2092"/>
      <c r="D9" s="2092"/>
      <c r="E9" s="2092"/>
      <c r="F9" s="2092"/>
      <c r="G9" s="2093"/>
      <c r="H9" s="2092"/>
      <c r="I9" s="2093"/>
      <c r="J9" s="2092"/>
      <c r="K9" s="2092"/>
    </row>
    <row r="10" spans="1:13" ht="16.5" customHeight="1" x14ac:dyDescent="0.2">
      <c r="B10" s="995" t="s">
        <v>1715</v>
      </c>
      <c r="C10" s="2095" t="s">
        <v>2078</v>
      </c>
      <c r="D10" s="1155">
        <v>3</v>
      </c>
      <c r="F10" s="995" t="s">
        <v>1284</v>
      </c>
      <c r="G10" s="1157" t="s">
        <v>2047</v>
      </c>
      <c r="H10" s="2096" t="s">
        <v>1283</v>
      </c>
      <c r="I10" s="1157"/>
      <c r="J10" s="2072" t="s">
        <v>1282</v>
      </c>
    </row>
    <row r="11" spans="1:13" ht="13.5" customHeight="1" x14ac:dyDescent="0.2">
      <c r="I11" s="2097" t="s">
        <v>1281</v>
      </c>
      <c r="K11" s="1161"/>
    </row>
    <row r="12" spans="1:13" ht="13.5" customHeight="1" x14ac:dyDescent="0.2">
      <c r="B12" s="2089"/>
      <c r="C12" s="2089"/>
    </row>
    <row r="13" spans="1:13" s="991" customFormat="1" ht="13.5" customHeight="1" x14ac:dyDescent="0.2">
      <c r="B13" s="2075" t="s">
        <v>1280</v>
      </c>
      <c r="C13" s="2075"/>
      <c r="D13" s="2065"/>
      <c r="E13" s="2065"/>
      <c r="F13" s="2065"/>
      <c r="G13" s="2066"/>
      <c r="H13" s="2065"/>
      <c r="I13" s="2066"/>
      <c r="J13" s="2065"/>
      <c r="K13" s="2065"/>
    </row>
    <row r="14" spans="1:13" ht="45.75" customHeight="1" x14ac:dyDescent="0.2">
      <c r="B14" s="2889" t="s">
        <v>2298</v>
      </c>
      <c r="C14" s="2889"/>
      <c r="D14" s="2889"/>
      <c r="E14" s="2889"/>
      <c r="F14" s="2889"/>
      <c r="G14" s="2889"/>
      <c r="H14" s="2889"/>
      <c r="I14" s="2889"/>
      <c r="J14" s="2889"/>
      <c r="K14" s="2889"/>
    </row>
    <row r="15" spans="1:13" ht="4.5" customHeight="1" x14ac:dyDescent="0.2">
      <c r="B15" s="865"/>
      <c r="C15" s="865"/>
    </row>
    <row r="16" spans="1:13" s="991" customFormat="1" ht="13.5" customHeight="1" x14ac:dyDescent="0.2">
      <c r="B16" s="2075" t="s">
        <v>1279</v>
      </c>
      <c r="C16" s="2075"/>
      <c r="D16" s="2065"/>
      <c r="E16" s="2065"/>
      <c r="F16" s="2065"/>
      <c r="G16" s="2066"/>
      <c r="H16" s="2065"/>
      <c r="I16" s="2066"/>
      <c r="J16" s="2065"/>
      <c r="K16" s="2065"/>
    </row>
    <row r="17" spans="2:11" ht="45.75" customHeight="1" x14ac:dyDescent="0.2">
      <c r="B17" s="2889" t="s">
        <v>2293</v>
      </c>
      <c r="C17" s="2889"/>
      <c r="D17" s="2889"/>
      <c r="E17" s="2889"/>
      <c r="F17" s="2889"/>
      <c r="G17" s="2889"/>
      <c r="H17" s="2889"/>
      <c r="I17" s="2889"/>
      <c r="J17" s="2889"/>
      <c r="K17" s="2889"/>
    </row>
    <row r="18" spans="2:11" ht="4.5" customHeight="1" x14ac:dyDescent="0.2">
      <c r="B18" s="865"/>
      <c r="C18" s="865"/>
    </row>
    <row r="19" spans="2:11" s="991" customFormat="1" ht="13.5" customHeight="1" x14ac:dyDescent="0.2">
      <c r="B19" s="2075" t="s">
        <v>1716</v>
      </c>
      <c r="C19" s="2075"/>
      <c r="D19" s="2065"/>
      <c r="E19" s="2065"/>
      <c r="F19" s="2065"/>
      <c r="G19" s="2066"/>
      <c r="H19" s="2065"/>
      <c r="I19" s="2066"/>
      <c r="J19" s="2065"/>
      <c r="K19" s="2065"/>
    </row>
    <row r="20" spans="2:11" ht="45.75" customHeight="1" x14ac:dyDescent="0.2">
      <c r="B20" s="2900" t="s">
        <v>2090</v>
      </c>
      <c r="C20" s="2900"/>
      <c r="D20" s="2889"/>
      <c r="E20" s="2889"/>
      <c r="F20" s="2889"/>
      <c r="G20" s="2889"/>
      <c r="H20" s="2889"/>
      <c r="I20" s="2889"/>
      <c r="J20" s="2889"/>
      <c r="K20" s="2889"/>
    </row>
    <row r="21" spans="2:11" ht="4.5" customHeight="1" x14ac:dyDescent="0.2">
      <c r="B21" s="2098"/>
      <c r="C21" s="2098"/>
    </row>
    <row r="22" spans="2:11" ht="13.5" customHeight="1" x14ac:dyDescent="0.2">
      <c r="B22" s="2075" t="s">
        <v>1278</v>
      </c>
      <c r="C22" s="2075"/>
      <c r="D22" s="2092"/>
      <c r="E22" s="2092"/>
      <c r="F22" s="2092"/>
      <c r="G22" s="2093"/>
      <c r="H22" s="2092"/>
      <c r="I22" s="2093"/>
      <c r="J22" s="2092"/>
      <c r="K22" s="2092"/>
    </row>
    <row r="23" spans="2:11" ht="45" customHeight="1" x14ac:dyDescent="0.2">
      <c r="B23" s="2889" t="s">
        <v>2294</v>
      </c>
      <c r="C23" s="2889"/>
      <c r="D23" s="2889"/>
      <c r="E23" s="2889"/>
      <c r="F23" s="2889"/>
      <c r="G23" s="2889"/>
      <c r="H23" s="2889"/>
      <c r="I23" s="2889"/>
      <c r="J23" s="2889"/>
      <c r="K23" s="2889"/>
    </row>
    <row r="24" spans="2:11" ht="4.5" customHeight="1" x14ac:dyDescent="0.2">
      <c r="B24" s="865"/>
      <c r="C24" s="865"/>
    </row>
    <row r="25" spans="2:11" ht="13.5" customHeight="1" x14ac:dyDescent="0.2">
      <c r="B25" s="2075" t="s">
        <v>1277</v>
      </c>
      <c r="C25" s="2075"/>
      <c r="D25" s="2092"/>
      <c r="E25" s="2092"/>
      <c r="F25" s="2092"/>
      <c r="G25" s="2093"/>
      <c r="H25" s="2092"/>
      <c r="I25" s="2093"/>
      <c r="J25" s="2092"/>
      <c r="K25" s="2092"/>
    </row>
    <row r="26" spans="2:11" ht="45.75" customHeight="1" x14ac:dyDescent="0.2">
      <c r="B26" s="2889" t="s">
        <v>2295</v>
      </c>
      <c r="C26" s="2889"/>
      <c r="D26" s="2889"/>
      <c r="E26" s="2889"/>
      <c r="F26" s="2889"/>
      <c r="G26" s="2889"/>
      <c r="H26" s="2889"/>
      <c r="I26" s="2889"/>
      <c r="J26" s="2889"/>
      <c r="K26" s="2889"/>
    </row>
    <row r="27" spans="2:11" ht="4.5" customHeight="1" x14ac:dyDescent="0.2">
      <c r="B27" s="865"/>
      <c r="C27" s="865"/>
    </row>
    <row r="28" spans="2:11" ht="13.5" customHeight="1" x14ac:dyDescent="0.2">
      <c r="B28" s="2079" t="s">
        <v>1276</v>
      </c>
      <c r="C28" s="2079"/>
      <c r="D28" s="2092"/>
      <c r="E28" s="2092"/>
      <c r="F28" s="2092"/>
      <c r="G28" s="2093"/>
      <c r="H28" s="2092"/>
      <c r="I28" s="2093"/>
      <c r="J28" s="2092"/>
      <c r="K28" s="2092"/>
    </row>
    <row r="29" spans="2:11" ht="45.75" customHeight="1" x14ac:dyDescent="0.2">
      <c r="B29" s="2889" t="s">
        <v>2296</v>
      </c>
      <c r="C29" s="2889"/>
      <c r="D29" s="2889"/>
      <c r="E29" s="2889"/>
      <c r="F29" s="2889"/>
      <c r="G29" s="2889"/>
      <c r="H29" s="2889"/>
      <c r="I29" s="2889"/>
      <c r="J29" s="2889"/>
      <c r="K29" s="2889"/>
    </row>
    <row r="30" spans="2:11" ht="4.5" customHeight="1" x14ac:dyDescent="0.2">
      <c r="B30" s="865"/>
      <c r="C30" s="865"/>
    </row>
    <row r="31" spans="2:11" ht="13.5" customHeight="1" x14ac:dyDescent="0.2">
      <c r="B31" s="2080" t="s">
        <v>1717</v>
      </c>
      <c r="C31" s="2080"/>
      <c r="D31" s="2091"/>
      <c r="E31" s="2092"/>
      <c r="F31" s="2092"/>
      <c r="G31" s="2093"/>
      <c r="H31" s="2092"/>
      <c r="I31" s="2093"/>
      <c r="J31" s="2092"/>
      <c r="K31" s="2092"/>
    </row>
    <row r="32" spans="2:11" ht="44.25" customHeight="1" x14ac:dyDescent="0.2">
      <c r="B32" s="2889" t="s">
        <v>2297</v>
      </c>
      <c r="C32" s="2889"/>
      <c r="D32" s="2889"/>
      <c r="E32" s="2889"/>
      <c r="F32" s="2889"/>
      <c r="G32" s="2889"/>
      <c r="H32" s="2889"/>
      <c r="I32" s="2889"/>
      <c r="J32" s="2889"/>
      <c r="K32" s="2889"/>
    </row>
    <row r="33" spans="1:13" ht="4.5" customHeight="1" x14ac:dyDescent="0.2">
      <c r="B33" s="865"/>
      <c r="C33" s="865"/>
    </row>
    <row r="34" spans="1:13" x14ac:dyDescent="0.2">
      <c r="A34" s="2099"/>
      <c r="B34" s="2099"/>
      <c r="C34" s="2099"/>
      <c r="D34" s="2099"/>
      <c r="E34" s="2099"/>
      <c r="F34" s="2099"/>
      <c r="G34" s="2100"/>
      <c r="H34" s="2099"/>
      <c r="I34" s="2100"/>
      <c r="J34" s="2099"/>
      <c r="K34" s="2099"/>
    </row>
    <row r="35" spans="1:13" ht="11.85" customHeight="1" x14ac:dyDescent="0.2">
      <c r="B35" s="2084" t="s">
        <v>1718</v>
      </c>
      <c r="C35" s="2084"/>
    </row>
    <row r="36" spans="1:13" ht="9.6" customHeight="1" x14ac:dyDescent="0.2">
      <c r="B36" s="998" t="s">
        <v>1809</v>
      </c>
      <c r="C36" s="998"/>
    </row>
    <row r="37" spans="1:13" ht="9.6" customHeight="1" x14ac:dyDescent="0.2">
      <c r="B37" s="998" t="s">
        <v>1810</v>
      </c>
      <c r="C37" s="998"/>
    </row>
    <row r="38" spans="1:13" ht="11.85" customHeight="1" x14ac:dyDescent="0.2">
      <c r="B38" s="2084" t="s">
        <v>1719</v>
      </c>
      <c r="C38" s="2084"/>
    </row>
    <row r="39" spans="1:13" ht="9.6" customHeight="1" x14ac:dyDescent="0.2">
      <c r="B39" s="998" t="s">
        <v>1275</v>
      </c>
      <c r="C39" s="998"/>
      <c r="M39" s="2101"/>
    </row>
    <row r="40" spans="1:13" ht="12.6" customHeight="1" x14ac:dyDescent="0.2">
      <c r="B40" s="2084" t="s">
        <v>1720</v>
      </c>
      <c r="C40" s="2084"/>
      <c r="M40" s="2101"/>
    </row>
    <row r="41" spans="1:13" ht="9.6" customHeight="1" x14ac:dyDescent="0.2">
      <c r="B41" s="998"/>
      <c r="C41" s="998"/>
      <c r="M41" s="2101"/>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B8064-EBB9-4F47-ACD2-3929A14EB7C8}">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90" customWidth="1"/>
    <col min="8" max="8" width="10.5703125" style="294" customWidth="1"/>
    <col min="9" max="9" width="3.42578125" style="2090"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901" t="str">
        <f>'Finding 2020-001'!B1</f>
        <v xml:space="preserve">   Peoria Heights CUSD 325</v>
      </c>
      <c r="C1" s="2901"/>
      <c r="D1" s="2901"/>
      <c r="E1" s="2901"/>
      <c r="F1" s="2901"/>
      <c r="G1" s="2901"/>
      <c r="H1" s="2901"/>
      <c r="I1" s="2901"/>
      <c r="J1" s="2901"/>
      <c r="K1" s="2901"/>
      <c r="L1" s="2087"/>
      <c r="M1" s="2087"/>
    </row>
    <row r="2" spans="1:13" ht="12" customHeight="1" x14ac:dyDescent="0.2">
      <c r="B2" s="2902">
        <f>'Finding 2020-001'!B2</f>
        <v>48072325026</v>
      </c>
      <c r="C2" s="2902"/>
      <c r="D2" s="2902"/>
      <c r="E2" s="2902"/>
      <c r="F2" s="2902"/>
      <c r="G2" s="2902"/>
      <c r="H2" s="2902"/>
      <c r="I2" s="2902"/>
      <c r="J2" s="2902"/>
      <c r="K2" s="2902"/>
      <c r="L2" s="2060"/>
      <c r="M2" s="2088"/>
    </row>
    <row r="3" spans="1:13" ht="10.35" customHeight="1" x14ac:dyDescent="0.2">
      <c r="B3" s="2903" t="s">
        <v>1274</v>
      </c>
      <c r="C3" s="2903"/>
      <c r="D3" s="2903"/>
      <c r="E3" s="2903"/>
      <c r="F3" s="2903"/>
      <c r="G3" s="2903"/>
      <c r="H3" s="2903"/>
      <c r="I3" s="2903"/>
      <c r="J3" s="2903"/>
      <c r="K3" s="2903"/>
      <c r="L3" s="2308"/>
      <c r="M3" s="2308"/>
    </row>
    <row r="4" spans="1:13" ht="14.25" customHeight="1" x14ac:dyDescent="0.2">
      <c r="B4" s="2903" t="s">
        <v>2087</v>
      </c>
      <c r="C4" s="2903"/>
      <c r="D4" s="2903"/>
      <c r="E4" s="2903"/>
      <c r="F4" s="2903"/>
      <c r="G4" s="2903"/>
      <c r="H4" s="2903"/>
      <c r="I4" s="2903"/>
      <c r="J4" s="2903"/>
      <c r="K4" s="2903"/>
      <c r="L4" s="2308"/>
      <c r="M4" s="2308"/>
    </row>
    <row r="5" spans="1:13" ht="7.5" customHeight="1" x14ac:dyDescent="0.2">
      <c r="B5" s="2089" t="s">
        <v>1159</v>
      </c>
      <c r="C5" s="2089"/>
    </row>
    <row r="6" spans="1:13" ht="7.5" customHeight="1" x14ac:dyDescent="0.2">
      <c r="B6" s="2091"/>
      <c r="C6" s="2091"/>
      <c r="D6" s="2092"/>
      <c r="E6" s="2092"/>
      <c r="F6" s="2092"/>
      <c r="G6" s="2093"/>
      <c r="H6" s="2092"/>
      <c r="I6" s="2093"/>
      <c r="J6" s="2092"/>
      <c r="K6" s="2092"/>
    </row>
    <row r="7" spans="1:13" ht="12.75" customHeight="1" x14ac:dyDescent="0.2">
      <c r="A7" s="991"/>
      <c r="B7" s="2903" t="s">
        <v>1285</v>
      </c>
      <c r="C7" s="2903"/>
      <c r="D7" s="2878"/>
      <c r="E7" s="2878"/>
      <c r="F7" s="2878"/>
      <c r="G7" s="2878"/>
      <c r="H7" s="2878"/>
      <c r="I7" s="2878"/>
      <c r="J7" s="2878"/>
      <c r="K7" s="2878"/>
      <c r="L7" s="2094"/>
    </row>
    <row r="8" spans="1:13" ht="7.5" customHeight="1" x14ac:dyDescent="0.2"/>
    <row r="9" spans="1:13" ht="9.6" customHeight="1" x14ac:dyDescent="0.2">
      <c r="B9" s="2092"/>
      <c r="C9" s="2092"/>
      <c r="D9" s="2092"/>
      <c r="E9" s="2092"/>
      <c r="F9" s="2092"/>
      <c r="G9" s="2093"/>
      <c r="H9" s="2092"/>
      <c r="I9" s="2093"/>
      <c r="J9" s="2092"/>
      <c r="K9" s="2092"/>
    </row>
    <row r="10" spans="1:13" ht="16.5" customHeight="1" x14ac:dyDescent="0.2">
      <c r="B10" s="995" t="s">
        <v>1715</v>
      </c>
      <c r="C10" s="2271" t="s">
        <v>2078</v>
      </c>
      <c r="D10" s="1155">
        <v>4</v>
      </c>
      <c r="F10" s="995" t="s">
        <v>1284</v>
      </c>
      <c r="G10" s="1157" t="s">
        <v>2047</v>
      </c>
      <c r="H10" s="2096" t="s">
        <v>1283</v>
      </c>
      <c r="I10" s="1157"/>
      <c r="J10" s="2072" t="s">
        <v>1282</v>
      </c>
    </row>
    <row r="11" spans="1:13" ht="13.5" customHeight="1" x14ac:dyDescent="0.2">
      <c r="I11" s="2097" t="s">
        <v>1281</v>
      </c>
      <c r="K11" s="1161"/>
    </row>
    <row r="12" spans="1:13" ht="13.5" customHeight="1" x14ac:dyDescent="0.2">
      <c r="B12" s="2089"/>
      <c r="C12" s="2089"/>
    </row>
    <row r="13" spans="1:13" s="991" customFormat="1" ht="13.5" customHeight="1" x14ac:dyDescent="0.2">
      <c r="B13" s="2075" t="s">
        <v>1280</v>
      </c>
      <c r="C13" s="2075"/>
      <c r="D13" s="2065"/>
      <c r="E13" s="2065"/>
      <c r="F13" s="2065"/>
      <c r="G13" s="2066"/>
      <c r="H13" s="2065"/>
      <c r="I13" s="2066"/>
      <c r="J13" s="2065"/>
      <c r="K13" s="2065"/>
    </row>
    <row r="14" spans="1:13" ht="30.75" customHeight="1" x14ac:dyDescent="0.2">
      <c r="B14" s="2889" t="s">
        <v>2299</v>
      </c>
      <c r="C14" s="2889"/>
      <c r="D14" s="2889"/>
      <c r="E14" s="2889"/>
      <c r="F14" s="2889"/>
      <c r="G14" s="2889"/>
      <c r="H14" s="2889"/>
      <c r="I14" s="2889"/>
      <c r="J14" s="2889"/>
      <c r="K14" s="2889"/>
    </row>
    <row r="15" spans="1:13" ht="4.5" customHeight="1" x14ac:dyDescent="0.2">
      <c r="B15" s="865"/>
      <c r="C15" s="865"/>
    </row>
    <row r="16" spans="1:13" s="991" customFormat="1" ht="13.5" customHeight="1" x14ac:dyDescent="0.2">
      <c r="B16" s="2075" t="s">
        <v>1279</v>
      </c>
      <c r="C16" s="2075"/>
      <c r="D16" s="2065"/>
      <c r="E16" s="2065"/>
      <c r="F16" s="2065"/>
      <c r="G16" s="2066"/>
      <c r="H16" s="2065"/>
      <c r="I16" s="2066"/>
      <c r="J16" s="2065"/>
      <c r="K16" s="2065"/>
    </row>
    <row r="17" spans="2:11" ht="21.6" customHeight="1" x14ac:dyDescent="0.2">
      <c r="B17" s="2889" t="s">
        <v>2258</v>
      </c>
      <c r="C17" s="2889"/>
      <c r="D17" s="2889"/>
      <c r="E17" s="2889"/>
      <c r="F17" s="2889"/>
      <c r="G17" s="2889"/>
      <c r="H17" s="2889"/>
      <c r="I17" s="2889"/>
      <c r="J17" s="2889"/>
      <c r="K17" s="2889"/>
    </row>
    <row r="18" spans="2:11" ht="4.5" customHeight="1" x14ac:dyDescent="0.2">
      <c r="B18" s="865"/>
      <c r="C18" s="865"/>
    </row>
    <row r="19" spans="2:11" s="991" customFormat="1" ht="13.5" customHeight="1" x14ac:dyDescent="0.2">
      <c r="B19" s="2075" t="s">
        <v>1716</v>
      </c>
      <c r="C19" s="2075"/>
      <c r="D19" s="2065"/>
      <c r="E19" s="2065"/>
      <c r="F19" s="2065"/>
      <c r="G19" s="2066"/>
      <c r="H19" s="2065"/>
      <c r="I19" s="2066"/>
      <c r="J19" s="2065"/>
      <c r="K19" s="2065"/>
    </row>
    <row r="20" spans="2:11" ht="55.5" customHeight="1" x14ac:dyDescent="0.2">
      <c r="B20" s="2900" t="s">
        <v>2275</v>
      </c>
      <c r="C20" s="2900"/>
      <c r="D20" s="2889"/>
      <c r="E20" s="2889"/>
      <c r="F20" s="2889"/>
      <c r="G20" s="2889"/>
      <c r="H20" s="2889"/>
      <c r="I20" s="2889"/>
      <c r="J20" s="2889"/>
      <c r="K20" s="2889"/>
    </row>
    <row r="21" spans="2:11" ht="4.5" customHeight="1" x14ac:dyDescent="0.2">
      <c r="B21" s="2098"/>
      <c r="C21" s="2098"/>
    </row>
    <row r="22" spans="2:11" ht="13.5" customHeight="1" x14ac:dyDescent="0.2">
      <c r="B22" s="2075" t="s">
        <v>1278</v>
      </c>
      <c r="C22" s="2075"/>
      <c r="D22" s="2092"/>
      <c r="E22" s="2092"/>
      <c r="F22" s="2092"/>
      <c r="G22" s="2093"/>
      <c r="H22" s="2092"/>
      <c r="I22" s="2093"/>
      <c r="J22" s="2092"/>
      <c r="K22" s="2092"/>
    </row>
    <row r="23" spans="2:11" ht="24.6" customHeight="1" x14ac:dyDescent="0.2">
      <c r="B23" s="2889" t="s">
        <v>2259</v>
      </c>
      <c r="C23" s="2889"/>
      <c r="D23" s="2889"/>
      <c r="E23" s="2889"/>
      <c r="F23" s="2889"/>
      <c r="G23" s="2889"/>
      <c r="H23" s="2889"/>
      <c r="I23" s="2889"/>
      <c r="J23" s="2889"/>
      <c r="K23" s="2889"/>
    </row>
    <row r="24" spans="2:11" ht="4.5" customHeight="1" x14ac:dyDescent="0.2">
      <c r="B24" s="865"/>
      <c r="C24" s="865"/>
    </row>
    <row r="25" spans="2:11" ht="13.5" customHeight="1" x14ac:dyDescent="0.2">
      <c r="B25" s="2075" t="s">
        <v>1277</v>
      </c>
      <c r="C25" s="2075"/>
      <c r="D25" s="2092"/>
      <c r="E25" s="2092"/>
      <c r="F25" s="2092"/>
      <c r="G25" s="2093"/>
      <c r="H25" s="2092"/>
      <c r="I25" s="2093"/>
      <c r="J25" s="2092"/>
      <c r="K25" s="2092"/>
    </row>
    <row r="26" spans="2:11" ht="25.5" customHeight="1" x14ac:dyDescent="0.2">
      <c r="B26" s="2889" t="s">
        <v>2260</v>
      </c>
      <c r="C26" s="2889"/>
      <c r="D26" s="2889"/>
      <c r="E26" s="2889"/>
      <c r="F26" s="2889"/>
      <c r="G26" s="2889"/>
      <c r="H26" s="2889"/>
      <c r="I26" s="2889"/>
      <c r="J26" s="2889"/>
      <c r="K26" s="2889"/>
    </row>
    <row r="27" spans="2:11" ht="4.5" customHeight="1" x14ac:dyDescent="0.2">
      <c r="B27" s="865"/>
      <c r="C27" s="865"/>
    </row>
    <row r="28" spans="2:11" ht="13.5" customHeight="1" x14ac:dyDescent="0.2">
      <c r="B28" s="2079" t="s">
        <v>1276</v>
      </c>
      <c r="C28" s="2079"/>
      <c r="D28" s="2092"/>
      <c r="E28" s="2092"/>
      <c r="F28" s="2092"/>
      <c r="G28" s="2093"/>
      <c r="H28" s="2092"/>
      <c r="I28" s="2093"/>
      <c r="J28" s="2092"/>
      <c r="K28" s="2092"/>
    </row>
    <row r="29" spans="2:11" ht="49.5" customHeight="1" x14ac:dyDescent="0.2">
      <c r="B29" s="2889" t="s">
        <v>2261</v>
      </c>
      <c r="C29" s="2889"/>
      <c r="D29" s="2889"/>
      <c r="E29" s="2889"/>
      <c r="F29" s="2889"/>
      <c r="G29" s="2889"/>
      <c r="H29" s="2889"/>
      <c r="I29" s="2889"/>
      <c r="J29" s="2889"/>
      <c r="K29" s="2889"/>
    </row>
    <row r="30" spans="2:11" ht="4.5" customHeight="1" x14ac:dyDescent="0.2">
      <c r="B30" s="865"/>
      <c r="C30" s="865"/>
    </row>
    <row r="31" spans="2:11" ht="13.5" customHeight="1" x14ac:dyDescent="0.2">
      <c r="B31" s="2080" t="s">
        <v>1717</v>
      </c>
      <c r="C31" s="2080"/>
      <c r="D31" s="2091"/>
      <c r="E31" s="2092"/>
      <c r="F31" s="2092"/>
      <c r="G31" s="2093"/>
      <c r="H31" s="2092"/>
      <c r="I31" s="2093"/>
      <c r="J31" s="2092"/>
      <c r="K31" s="2092"/>
    </row>
    <row r="32" spans="2:11" ht="24.6" customHeight="1" x14ac:dyDescent="0.2">
      <c r="B32" s="2889" t="s">
        <v>2300</v>
      </c>
      <c r="C32" s="2889"/>
      <c r="D32" s="2889"/>
      <c r="E32" s="2889"/>
      <c r="F32" s="2889"/>
      <c r="G32" s="2889"/>
      <c r="H32" s="2889"/>
      <c r="I32" s="2889"/>
      <c r="J32" s="2889"/>
      <c r="K32" s="2889"/>
    </row>
    <row r="33" spans="1:13" ht="4.5" customHeight="1" x14ac:dyDescent="0.2">
      <c r="B33" s="865"/>
      <c r="C33" s="865"/>
    </row>
    <row r="34" spans="1:13" x14ac:dyDescent="0.2">
      <c r="A34" s="2099"/>
      <c r="B34" s="2099"/>
      <c r="C34" s="2099"/>
      <c r="D34" s="2099"/>
      <c r="E34" s="2099"/>
      <c r="F34" s="2099"/>
      <c r="G34" s="2100"/>
      <c r="H34" s="2099"/>
      <c r="I34" s="2100"/>
      <c r="J34" s="2099"/>
      <c r="K34" s="2099"/>
    </row>
    <row r="35" spans="1:13" ht="11.85" customHeight="1" x14ac:dyDescent="0.2">
      <c r="B35" s="2084" t="s">
        <v>1718</v>
      </c>
      <c r="C35" s="2084"/>
    </row>
    <row r="36" spans="1:13" ht="9.6" customHeight="1" x14ac:dyDescent="0.2">
      <c r="B36" s="998" t="s">
        <v>2262</v>
      </c>
      <c r="C36" s="998"/>
    </row>
    <row r="37" spans="1:13" ht="9.6" customHeight="1" x14ac:dyDescent="0.2">
      <c r="B37" s="998" t="s">
        <v>2089</v>
      </c>
      <c r="C37" s="998"/>
    </row>
    <row r="38" spans="1:13" ht="11.85" customHeight="1" x14ac:dyDescent="0.2">
      <c r="B38" s="2084" t="s">
        <v>1719</v>
      </c>
      <c r="C38" s="2084"/>
    </row>
    <row r="39" spans="1:13" ht="9.6" customHeight="1" x14ac:dyDescent="0.2">
      <c r="B39" s="998" t="s">
        <v>1275</v>
      </c>
      <c r="C39" s="998"/>
      <c r="M39" s="2101"/>
    </row>
    <row r="40" spans="1:13" ht="12.6" customHeight="1" x14ac:dyDescent="0.2">
      <c r="B40" s="2084" t="s">
        <v>1720</v>
      </c>
      <c r="C40" s="2084"/>
      <c r="M40" s="2101"/>
    </row>
    <row r="41" spans="1:13" ht="9.6" customHeight="1" x14ac:dyDescent="0.2">
      <c r="B41" s="998"/>
      <c r="C41" s="998"/>
      <c r="M41" s="2101"/>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90802-1823-4DFD-A435-7D4D717D106E}">
  <sheetPr>
    <pageSetUpPr fitToPage="1"/>
  </sheetPr>
  <dimension ref="B1:L52"/>
  <sheetViews>
    <sheetView zoomScale="110" zoomScaleNormal="110" zoomScaleSheetLayoutView="90" workbookViewId="0"/>
  </sheetViews>
  <sheetFormatPr defaultColWidth="9.140625" defaultRowHeight="12.75" x14ac:dyDescent="0.2"/>
  <cols>
    <col min="1" max="1" width="1.5703125" style="2215" customWidth="1"/>
    <col min="2" max="2" width="21.5703125" style="2215" customWidth="1"/>
    <col min="3" max="3" width="6.140625" style="2215" customWidth="1"/>
    <col min="4" max="4" width="4.7109375" style="2215" customWidth="1"/>
    <col min="5" max="5" width="3.5703125" style="2215" customWidth="1"/>
    <col min="6" max="6" width="20.140625" style="2215" customWidth="1"/>
    <col min="7" max="7" width="3.5703125" style="2219" customWidth="1"/>
    <col min="8" max="8" width="10.5703125" style="2215" customWidth="1"/>
    <col min="9" max="9" width="3.42578125" style="2219" customWidth="1"/>
    <col min="10" max="10" width="15.5703125" style="2215" customWidth="1"/>
    <col min="11" max="11" width="8.5703125" style="2215" customWidth="1"/>
    <col min="12" max="12" width="1.5703125" style="2215" customWidth="1"/>
    <col min="13" max="13" width="3.42578125" style="2215" customWidth="1"/>
    <col min="14" max="16384" width="9.140625" style="2215"/>
  </cols>
  <sheetData>
    <row r="1" spans="2:12" ht="12.75" customHeight="1" x14ac:dyDescent="0.2">
      <c r="B1" s="2907" t="str">
        <f>'SF&amp;QC Sec-3'!B1</f>
        <v xml:space="preserve">   Peoria Heights CUSD 325</v>
      </c>
      <c r="C1" s="2907"/>
      <c r="D1" s="2907"/>
      <c r="E1" s="2907"/>
      <c r="F1" s="2907"/>
      <c r="G1" s="2907"/>
      <c r="H1" s="2907"/>
      <c r="I1" s="2907"/>
      <c r="J1" s="2907"/>
      <c r="K1" s="2907"/>
      <c r="L1" s="2214"/>
    </row>
    <row r="2" spans="2:12" ht="12.75" customHeight="1" x14ac:dyDescent="0.2">
      <c r="B2" s="2908">
        <f>'SF&amp;QC Sec-3'!B2</f>
        <v>48072325026</v>
      </c>
      <c r="C2" s="2908"/>
      <c r="D2" s="2908"/>
      <c r="E2" s="2908"/>
      <c r="F2" s="2908"/>
      <c r="G2" s="2908"/>
      <c r="H2" s="2908"/>
      <c r="I2" s="2908"/>
      <c r="J2" s="2908"/>
      <c r="K2" s="2908"/>
      <c r="L2" s="2216"/>
    </row>
    <row r="3" spans="2:12" ht="12.75" customHeight="1" x14ac:dyDescent="0.2">
      <c r="B3" s="2907" t="s">
        <v>1274</v>
      </c>
      <c r="C3" s="2907"/>
      <c r="D3" s="2907"/>
      <c r="E3" s="2907"/>
      <c r="F3" s="2907"/>
      <c r="G3" s="2907"/>
      <c r="H3" s="2907"/>
      <c r="I3" s="2907"/>
      <c r="J3" s="2907"/>
      <c r="K3" s="2907"/>
      <c r="L3" s="2217"/>
    </row>
    <row r="4" spans="2:12" ht="12.75" customHeight="1" x14ac:dyDescent="0.2">
      <c r="B4" s="2907" t="str">
        <f>'Single Audit Cover'!A4</f>
        <v>Year Ending June 30, 2020</v>
      </c>
      <c r="C4" s="2907"/>
      <c r="D4" s="2907"/>
      <c r="E4" s="2907"/>
      <c r="F4" s="2907"/>
      <c r="G4" s="2907"/>
      <c r="H4" s="2907"/>
      <c r="I4" s="2907"/>
      <c r="J4" s="2907"/>
      <c r="K4" s="2907"/>
      <c r="L4" s="2217"/>
    </row>
    <row r="5" spans="2:12" ht="5.25" customHeight="1" x14ac:dyDescent="0.2">
      <c r="B5" s="2218" t="s">
        <v>1159</v>
      </c>
      <c r="C5" s="2218"/>
    </row>
    <row r="6" spans="2:12" ht="30.75" customHeight="1" x14ac:dyDescent="0.2">
      <c r="B6" s="2909" t="s">
        <v>1297</v>
      </c>
      <c r="C6" s="2909"/>
      <c r="D6" s="2909"/>
      <c r="E6" s="2909"/>
      <c r="F6" s="2909"/>
      <c r="G6" s="2909"/>
      <c r="H6" s="2909"/>
      <c r="I6" s="2909"/>
      <c r="J6" s="2909"/>
      <c r="K6" s="2909"/>
    </row>
    <row r="7" spans="2:12" ht="4.5" customHeight="1" x14ac:dyDescent="0.2">
      <c r="B7" s="2220"/>
      <c r="C7" s="2220"/>
      <c r="D7" s="2220"/>
      <c r="E7" s="2220"/>
      <c r="F7" s="2220"/>
      <c r="G7" s="2221"/>
      <c r="H7" s="2220"/>
      <c r="I7" s="2221"/>
      <c r="J7" s="2220"/>
      <c r="K7" s="2220"/>
    </row>
    <row r="8" spans="2:12" ht="13.5" customHeight="1" x14ac:dyDescent="0.2">
      <c r="B8" s="2222" t="s">
        <v>1729</v>
      </c>
      <c r="C8" s="2223" t="s">
        <v>2078</v>
      </c>
      <c r="D8" s="2224">
        <v>5</v>
      </c>
      <c r="F8" s="2222" t="s">
        <v>1284</v>
      </c>
      <c r="G8" s="2225" t="s">
        <v>2047</v>
      </c>
      <c r="H8" s="2226" t="s">
        <v>1296</v>
      </c>
      <c r="I8" s="2225"/>
      <c r="J8" s="2227" t="s">
        <v>1295</v>
      </c>
    </row>
    <row r="9" spans="2:12" ht="13.5" customHeight="1" x14ac:dyDescent="0.2">
      <c r="I9" s="2228" t="s">
        <v>1281</v>
      </c>
      <c r="K9" s="2229"/>
    </row>
    <row r="10" spans="2:12" ht="4.5" customHeight="1" x14ac:dyDescent="0.2">
      <c r="B10" s="2230"/>
      <c r="C10" s="2230"/>
      <c r="D10" s="2231"/>
      <c r="E10" s="2231"/>
      <c r="F10" s="2231"/>
      <c r="G10" s="2232"/>
      <c r="H10" s="2231"/>
      <c r="I10" s="2232"/>
      <c r="J10" s="2231"/>
      <c r="K10" s="2231"/>
    </row>
    <row r="11" spans="2:12" ht="5.25" customHeight="1" x14ac:dyDescent="0.2">
      <c r="D11" s="2233"/>
    </row>
    <row r="12" spans="2:12" ht="13.5" customHeight="1" x14ac:dyDescent="0.2">
      <c r="B12" s="2222" t="s">
        <v>1294</v>
      </c>
      <c r="C12" s="2222"/>
      <c r="D12" s="2233"/>
      <c r="F12" s="2905" t="s">
        <v>2252</v>
      </c>
      <c r="G12" s="2905"/>
      <c r="H12" s="2905"/>
      <c r="I12" s="2905"/>
      <c r="J12" s="2905"/>
      <c r="K12" s="2905"/>
    </row>
    <row r="13" spans="2:12" ht="9.6" customHeight="1" x14ac:dyDescent="0.2">
      <c r="B13" s="2234"/>
      <c r="C13" s="2234"/>
      <c r="D13" s="2233"/>
    </row>
    <row r="14" spans="2:12" ht="13.5" customHeight="1" x14ac:dyDescent="0.2">
      <c r="B14" s="2222" t="s">
        <v>1293</v>
      </c>
      <c r="C14" s="2222"/>
      <c r="D14" s="2905" t="s">
        <v>2253</v>
      </c>
      <c r="E14" s="2905"/>
      <c r="F14" s="2905"/>
      <c r="H14" s="2235" t="s">
        <v>1292</v>
      </c>
      <c r="I14" s="2905" t="s">
        <v>2233</v>
      </c>
      <c r="J14" s="2905"/>
      <c r="K14" s="2905"/>
    </row>
    <row r="15" spans="2:12" ht="9.4" customHeight="1" x14ac:dyDescent="0.2">
      <c r="B15" s="2222"/>
      <c r="C15" s="2222"/>
      <c r="D15" s="2236"/>
      <c r="E15" s="2218"/>
      <c r="F15" s="2218"/>
      <c r="G15" s="2237"/>
      <c r="H15" s="2218"/>
      <c r="I15" s="2237"/>
      <c r="J15" s="2218"/>
      <c r="K15" s="2218"/>
    </row>
    <row r="16" spans="2:12" ht="13.5" customHeight="1" x14ac:dyDescent="0.2">
      <c r="B16" s="2222" t="s">
        <v>1291</v>
      </c>
      <c r="C16" s="2222"/>
      <c r="D16" s="2905" t="s">
        <v>2094</v>
      </c>
      <c r="E16" s="2905"/>
      <c r="F16" s="2905"/>
      <c r="G16" s="2905"/>
      <c r="H16" s="2905"/>
      <c r="I16" s="2905"/>
      <c r="J16" s="2905"/>
      <c r="K16" s="2905"/>
    </row>
    <row r="17" spans="2:11" ht="13.5" customHeight="1" x14ac:dyDescent="0.2">
      <c r="B17" s="2222" t="s">
        <v>1290</v>
      </c>
      <c r="C17" s="2222"/>
      <c r="D17" s="2906" t="s">
        <v>2234</v>
      </c>
      <c r="E17" s="2906"/>
      <c r="F17" s="2906"/>
      <c r="G17" s="2906"/>
      <c r="H17" s="2906"/>
      <c r="I17" s="2906"/>
      <c r="J17" s="2906"/>
      <c r="K17" s="2906"/>
    </row>
    <row r="18" spans="2:11" ht="9.4" customHeight="1" x14ac:dyDescent="0.2">
      <c r="B18" s="2231"/>
      <c r="C18" s="2231"/>
      <c r="D18" s="2231"/>
      <c r="E18" s="2231"/>
      <c r="F18" s="2231"/>
      <c r="G18" s="2232"/>
      <c r="H18" s="2231"/>
      <c r="I18" s="2232"/>
      <c r="J18" s="2231"/>
      <c r="K18" s="2231"/>
    </row>
    <row r="19" spans="2:11" ht="13.5" customHeight="1" x14ac:dyDescent="0.2">
      <c r="B19" s="2238" t="s">
        <v>1289</v>
      </c>
      <c r="C19" s="2238"/>
      <c r="D19" s="2239"/>
      <c r="E19" s="2239"/>
      <c r="F19" s="2239"/>
      <c r="G19" s="2240"/>
      <c r="H19" s="2239"/>
      <c r="I19" s="2240"/>
    </row>
    <row r="20" spans="2:11" ht="35.25" customHeight="1" x14ac:dyDescent="0.2">
      <c r="B20" s="2904" t="s">
        <v>2235</v>
      </c>
      <c r="C20" s="2904"/>
      <c r="D20" s="2904"/>
      <c r="E20" s="2904"/>
      <c r="F20" s="2904"/>
      <c r="G20" s="2904"/>
      <c r="H20" s="2904"/>
      <c r="I20" s="2904"/>
      <c r="J20" s="2904"/>
      <c r="K20" s="2904"/>
    </row>
    <row r="21" spans="2:11" ht="4.5" customHeight="1" x14ac:dyDescent="0.2">
      <c r="B21" s="2241"/>
      <c r="C21" s="2241"/>
      <c r="D21" s="2231"/>
      <c r="E21" s="2231"/>
      <c r="F21" s="2231"/>
      <c r="G21" s="2232"/>
      <c r="H21" s="2231"/>
      <c r="I21" s="2232"/>
      <c r="J21" s="2231"/>
      <c r="K21" s="2231"/>
    </row>
    <row r="22" spans="2:11" ht="13.35" customHeight="1" x14ac:dyDescent="0.2">
      <c r="B22" s="2238" t="s">
        <v>1730</v>
      </c>
      <c r="C22" s="2238"/>
    </row>
    <row r="23" spans="2:11" ht="37.5" customHeight="1" x14ac:dyDescent="0.2">
      <c r="B23" s="2904" t="s">
        <v>2236</v>
      </c>
      <c r="C23" s="2904"/>
      <c r="D23" s="2904"/>
      <c r="E23" s="2904"/>
      <c r="F23" s="2904"/>
      <c r="G23" s="2904"/>
      <c r="H23" s="2904"/>
      <c r="I23" s="2904"/>
      <c r="J23" s="2904"/>
      <c r="K23" s="2904"/>
    </row>
    <row r="24" spans="2:11" ht="4.5" customHeight="1" x14ac:dyDescent="0.2">
      <c r="B24" s="2241"/>
      <c r="C24" s="2241"/>
      <c r="D24" s="2231"/>
      <c r="E24" s="2231"/>
      <c r="F24" s="2231"/>
      <c r="G24" s="2232"/>
      <c r="H24" s="2231"/>
      <c r="I24" s="2232"/>
      <c r="J24" s="2231"/>
      <c r="K24" s="2231"/>
    </row>
    <row r="25" spans="2:11" ht="13.5" customHeight="1" x14ac:dyDescent="0.2">
      <c r="B25" s="2238" t="s">
        <v>1731</v>
      </c>
      <c r="C25" s="2238"/>
    </row>
    <row r="26" spans="2:11" ht="24" customHeight="1" x14ac:dyDescent="0.2">
      <c r="B26" s="2904" t="s">
        <v>2237</v>
      </c>
      <c r="C26" s="2904"/>
      <c r="D26" s="2904"/>
      <c r="E26" s="2904"/>
      <c r="F26" s="2904"/>
      <c r="G26" s="2904"/>
      <c r="H26" s="2904"/>
      <c r="I26" s="2904"/>
      <c r="J26" s="2904"/>
      <c r="K26" s="2904"/>
    </row>
    <row r="27" spans="2:11" ht="4.5" customHeight="1" x14ac:dyDescent="0.2">
      <c r="B27" s="2242"/>
      <c r="C27" s="2242"/>
      <c r="D27" s="2242"/>
      <c r="E27" s="2231"/>
      <c r="F27" s="2231"/>
      <c r="G27" s="2232"/>
      <c r="H27" s="2231"/>
      <c r="I27" s="2232"/>
      <c r="J27" s="2231"/>
      <c r="K27" s="2231"/>
    </row>
    <row r="28" spans="2:11" ht="13.5" customHeight="1" x14ac:dyDescent="0.2">
      <c r="B28" s="2238" t="s">
        <v>1732</v>
      </c>
      <c r="C28" s="2238"/>
    </row>
    <row r="29" spans="2:11" ht="26.1" customHeight="1" x14ac:dyDescent="0.2">
      <c r="B29" s="2904" t="s">
        <v>2238</v>
      </c>
      <c r="C29" s="2904"/>
      <c r="D29" s="2904"/>
      <c r="E29" s="2904"/>
      <c r="F29" s="2904"/>
      <c r="G29" s="2904"/>
      <c r="H29" s="2904"/>
      <c r="I29" s="2904"/>
      <c r="J29" s="2904"/>
      <c r="K29" s="2904"/>
    </row>
    <row r="30" spans="2:11" ht="4.5" customHeight="1" x14ac:dyDescent="0.2">
      <c r="B30" s="2241"/>
      <c r="C30" s="2241"/>
      <c r="D30" s="2231"/>
      <c r="E30" s="2231"/>
      <c r="F30" s="2231"/>
      <c r="G30" s="2232"/>
      <c r="H30" s="2231"/>
      <c r="I30" s="2232"/>
      <c r="J30" s="2231"/>
      <c r="K30" s="2231"/>
    </row>
    <row r="31" spans="2:11" ht="13.5" customHeight="1" x14ac:dyDescent="0.2">
      <c r="B31" s="2238" t="s">
        <v>1288</v>
      </c>
      <c r="C31" s="2238"/>
    </row>
    <row r="32" spans="2:11" ht="37.5" customHeight="1" x14ac:dyDescent="0.2">
      <c r="B32" s="2904" t="s">
        <v>2239</v>
      </c>
      <c r="C32" s="2904"/>
      <c r="D32" s="2904"/>
      <c r="E32" s="2904"/>
      <c r="F32" s="2904"/>
      <c r="G32" s="2904"/>
      <c r="H32" s="2904"/>
      <c r="I32" s="2904"/>
      <c r="J32" s="2904"/>
      <c r="K32" s="2904"/>
    </row>
    <row r="33" spans="2:12" ht="4.5" customHeight="1" x14ac:dyDescent="0.2">
      <c r="B33" s="2241"/>
      <c r="C33" s="2241"/>
      <c r="D33" s="2231"/>
      <c r="E33" s="2231"/>
      <c r="F33" s="2231"/>
      <c r="G33" s="2232"/>
      <c r="H33" s="2231"/>
      <c r="I33" s="2232"/>
      <c r="J33" s="2231"/>
      <c r="K33" s="2231"/>
    </row>
    <row r="34" spans="2:12" ht="13.5" customHeight="1" x14ac:dyDescent="0.2">
      <c r="B34" s="2222" t="s">
        <v>1287</v>
      </c>
      <c r="C34" s="2222"/>
    </row>
    <row r="35" spans="2:12" ht="37.5" customHeight="1" x14ac:dyDescent="0.2">
      <c r="B35" s="2904" t="s">
        <v>2240</v>
      </c>
      <c r="C35" s="2904"/>
      <c r="D35" s="2904"/>
      <c r="E35" s="2904"/>
      <c r="F35" s="2904"/>
      <c r="G35" s="2904"/>
      <c r="H35" s="2904"/>
      <c r="I35" s="2904"/>
      <c r="J35" s="2904"/>
      <c r="K35" s="2904"/>
    </row>
    <row r="36" spans="2:12" ht="4.5" customHeight="1" x14ac:dyDescent="0.2">
      <c r="B36" s="2241"/>
      <c r="C36" s="2241"/>
      <c r="D36" s="2231"/>
      <c r="E36" s="2231"/>
      <c r="F36" s="2231"/>
      <c r="G36" s="2232"/>
      <c r="H36" s="2231"/>
      <c r="I36" s="2232"/>
      <c r="J36" s="2231"/>
      <c r="K36" s="2231"/>
    </row>
    <row r="37" spans="2:12" ht="13.5" customHeight="1" x14ac:dyDescent="0.2">
      <c r="B37" s="2222" t="s">
        <v>1286</v>
      </c>
      <c r="C37" s="2222"/>
    </row>
    <row r="38" spans="2:12" ht="35.25" customHeight="1" x14ac:dyDescent="0.2">
      <c r="B38" s="2904" t="s">
        <v>2315</v>
      </c>
      <c r="C38" s="2904"/>
      <c r="D38" s="2904"/>
      <c r="E38" s="2904"/>
      <c r="F38" s="2904"/>
      <c r="G38" s="2904"/>
      <c r="H38" s="2904"/>
      <c r="I38" s="2904"/>
      <c r="J38" s="2904"/>
      <c r="K38" s="2904"/>
    </row>
    <row r="39" spans="2:12" ht="4.5" customHeight="1" x14ac:dyDescent="0.2">
      <c r="B39" s="2243"/>
      <c r="C39" s="2243"/>
    </row>
    <row r="40" spans="2:12" ht="13.5" customHeight="1" x14ac:dyDescent="0.2">
      <c r="B40" s="2244" t="s">
        <v>1733</v>
      </c>
      <c r="C40" s="2244"/>
      <c r="D40" s="2245"/>
      <c r="E40" s="2220"/>
      <c r="F40" s="2220"/>
      <c r="G40" s="2221"/>
      <c r="H40" s="2220"/>
      <c r="I40" s="2221"/>
      <c r="J40" s="2220"/>
      <c r="K40" s="2220"/>
    </row>
    <row r="41" spans="2:12" ht="33.75" customHeight="1" x14ac:dyDescent="0.2">
      <c r="B41" s="2904" t="s">
        <v>2314</v>
      </c>
      <c r="C41" s="2904"/>
      <c r="D41" s="2904"/>
      <c r="E41" s="2904"/>
      <c r="F41" s="2904"/>
      <c r="G41" s="2904"/>
      <c r="H41" s="2904"/>
      <c r="I41" s="2904"/>
      <c r="J41" s="2904"/>
      <c r="K41" s="2904"/>
    </row>
    <row r="42" spans="2:12" ht="4.5" customHeight="1" x14ac:dyDescent="0.2">
      <c r="B42" s="2243"/>
      <c r="C42" s="2243"/>
    </row>
    <row r="43" spans="2:12" ht="13.5" customHeight="1" x14ac:dyDescent="0.2">
      <c r="B43" s="2246" t="s">
        <v>2241</v>
      </c>
      <c r="C43" s="2247"/>
      <c r="D43" s="2248"/>
      <c r="E43" s="2248"/>
      <c r="F43" s="2248"/>
      <c r="G43" s="2249"/>
      <c r="H43" s="2248"/>
      <c r="I43" s="2249"/>
      <c r="J43" s="2248"/>
      <c r="K43" s="2250"/>
      <c r="L43" s="2251"/>
    </row>
    <row r="44" spans="2:12" ht="13.5" customHeight="1" x14ac:dyDescent="0.2">
      <c r="B44" s="2252" t="s">
        <v>2242</v>
      </c>
      <c r="C44" s="2253"/>
      <c r="D44" s="2254"/>
      <c r="E44" s="2255"/>
      <c r="F44" s="2256" t="s">
        <v>2243</v>
      </c>
      <c r="G44" s="2257"/>
      <c r="H44" s="2258"/>
      <c r="I44" s="2257"/>
      <c r="J44" s="2259"/>
      <c r="K44" s="2260"/>
      <c r="L44" s="2251"/>
    </row>
    <row r="45" spans="2:12" ht="13.5" customHeight="1" x14ac:dyDescent="0.2">
      <c r="B45" s="2252" t="s">
        <v>2244</v>
      </c>
      <c r="C45" s="2253"/>
      <c r="D45" s="2259"/>
      <c r="E45" s="2258"/>
      <c r="F45" s="2256" t="s">
        <v>2245</v>
      </c>
      <c r="G45" s="2257"/>
      <c r="H45" s="2258"/>
      <c r="I45" s="2257"/>
      <c r="J45" s="2259"/>
      <c r="K45" s="2260"/>
      <c r="L45" s="2251"/>
    </row>
    <row r="46" spans="2:12" ht="13.5" customHeight="1" x14ac:dyDescent="0.2">
      <c r="B46" s="2261"/>
      <c r="C46" s="2262"/>
      <c r="D46" s="2262"/>
      <c r="E46" s="2262"/>
      <c r="F46" s="2262"/>
      <c r="G46" s="2263"/>
      <c r="H46" s="2262"/>
      <c r="I46" s="2263"/>
      <c r="J46" s="2262"/>
      <c r="K46" s="2264"/>
      <c r="L46" s="2251"/>
    </row>
    <row r="47" spans="2:12" ht="7.5" customHeight="1" x14ac:dyDescent="0.25">
      <c r="B47" s="2265"/>
      <c r="C47" s="2265"/>
      <c r="D47" s="2266"/>
      <c r="E47" s="2266"/>
      <c r="F47" s="2266"/>
      <c r="G47" s="2267"/>
      <c r="H47" s="2266"/>
      <c r="I47" s="2267"/>
      <c r="J47" s="2266"/>
      <c r="K47" s="2266"/>
    </row>
    <row r="48" spans="2:12" ht="13.5" customHeight="1" x14ac:dyDescent="0.2">
      <c r="B48" s="2268" t="s">
        <v>1734</v>
      </c>
      <c r="C48" s="2268"/>
    </row>
    <row r="49" spans="2:9" ht="10.5" customHeight="1" x14ac:dyDescent="0.2">
      <c r="B49" s="2268" t="s">
        <v>1735</v>
      </c>
      <c r="C49" s="2268"/>
      <c r="G49" s="2215"/>
      <c r="I49" s="2215"/>
    </row>
    <row r="50" spans="2:9" ht="11.1" customHeight="1" x14ac:dyDescent="0.2">
      <c r="B50" s="2268" t="s">
        <v>1736</v>
      </c>
      <c r="C50" s="2268"/>
      <c r="G50" s="2215"/>
      <c r="I50" s="2215"/>
    </row>
    <row r="51" spans="2:9" ht="11.1" customHeight="1" x14ac:dyDescent="0.2">
      <c r="B51" s="2268" t="s">
        <v>1737</v>
      </c>
      <c r="C51" s="2268"/>
      <c r="G51" s="2215"/>
      <c r="I51" s="2215"/>
    </row>
    <row r="52" spans="2:9" ht="11.1" customHeight="1" x14ac:dyDescent="0.2">
      <c r="B52" s="2268" t="s">
        <v>1738</v>
      </c>
      <c r="C52" s="2268"/>
      <c r="G52" s="2215"/>
      <c r="I52" s="22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32" right="0.27" top="0.44" bottom="0.27" header="0.26" footer="0.18"/>
  <pageSetup fitToHeight="0" orientation="portrait" r:id="rId1"/>
  <colBreaks count="1" manualBreakCount="1">
    <brk id="11"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8A378-CEEC-4E3A-B001-39AD48C9B0B4}">
  <dimension ref="B1:L52"/>
  <sheetViews>
    <sheetView showGridLines="0" zoomScale="110" zoomScaleNormal="110" zoomScaleSheetLayoutView="90" workbookViewId="0"/>
  </sheetViews>
  <sheetFormatPr defaultColWidth="9.140625" defaultRowHeight="12.75" x14ac:dyDescent="0.2"/>
  <cols>
    <col min="1" max="1" width="1.5703125" style="294" customWidth="1"/>
    <col min="2" max="2" width="21.5703125" style="294" customWidth="1"/>
    <col min="3" max="3" width="6.140625" style="294" customWidth="1"/>
    <col min="4" max="4" width="5.28515625" style="294" bestFit="1" customWidth="1"/>
    <col min="5" max="5" width="3.5703125" style="294" customWidth="1"/>
    <col min="6" max="6" width="20.140625" style="294" customWidth="1"/>
    <col min="7" max="7" width="3.5703125" style="2090" customWidth="1"/>
    <col min="8" max="8" width="10.5703125" style="294" customWidth="1"/>
    <col min="9" max="9" width="3.42578125" style="2090"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2:12" ht="12.75" customHeight="1" x14ac:dyDescent="0.2">
      <c r="B1" s="2903" t="str">
        <f>'Finding 2020-005'!B1</f>
        <v xml:space="preserve">   Peoria Heights CUSD 325</v>
      </c>
      <c r="C1" s="2903"/>
      <c r="D1" s="2903"/>
      <c r="E1" s="2903"/>
      <c r="F1" s="2903"/>
      <c r="G1" s="2903"/>
      <c r="H1" s="2903"/>
      <c r="I1" s="2903"/>
      <c r="J1" s="2903"/>
      <c r="K1" s="2903"/>
      <c r="L1" s="2269"/>
    </row>
    <row r="2" spans="2:12" ht="12.75" customHeight="1" x14ac:dyDescent="0.2">
      <c r="B2" s="2910">
        <f>'Finding 2020-005'!B2</f>
        <v>48072325026</v>
      </c>
      <c r="C2" s="2910"/>
      <c r="D2" s="2910"/>
      <c r="E2" s="2910"/>
      <c r="F2" s="2910"/>
      <c r="G2" s="2910"/>
      <c r="H2" s="2910"/>
      <c r="I2" s="2910"/>
      <c r="J2" s="2910"/>
      <c r="K2" s="2910"/>
      <c r="L2" s="2270"/>
    </row>
    <row r="3" spans="2:12" ht="12.75" customHeight="1" x14ac:dyDescent="0.2">
      <c r="B3" s="2903" t="s">
        <v>1274</v>
      </c>
      <c r="C3" s="2903"/>
      <c r="D3" s="2903"/>
      <c r="E3" s="2903"/>
      <c r="F3" s="2903"/>
      <c r="G3" s="2903"/>
      <c r="H3" s="2903"/>
      <c r="I3" s="2903"/>
      <c r="J3" s="2903"/>
      <c r="K3" s="2903"/>
      <c r="L3" s="2037"/>
    </row>
    <row r="4" spans="2:12" ht="12.75" customHeight="1" x14ac:dyDescent="0.2">
      <c r="B4" s="2903" t="s">
        <v>2087</v>
      </c>
      <c r="C4" s="2903"/>
      <c r="D4" s="2903"/>
      <c r="E4" s="2903"/>
      <c r="F4" s="2903"/>
      <c r="G4" s="2903"/>
      <c r="H4" s="2903"/>
      <c r="I4" s="2903"/>
      <c r="J4" s="2903"/>
      <c r="K4" s="2903"/>
      <c r="L4" s="2037"/>
    </row>
    <row r="5" spans="2:12" ht="5.25" customHeight="1" x14ac:dyDescent="0.2">
      <c r="B5" s="2089" t="s">
        <v>1159</v>
      </c>
      <c r="C5" s="2089"/>
    </row>
    <row r="6" spans="2:12" ht="30.75" customHeight="1" x14ac:dyDescent="0.2">
      <c r="B6" s="2911" t="s">
        <v>1297</v>
      </c>
      <c r="C6" s="2911"/>
      <c r="D6" s="2911"/>
      <c r="E6" s="2911"/>
      <c r="F6" s="2911"/>
      <c r="G6" s="2911"/>
      <c r="H6" s="2911"/>
      <c r="I6" s="2911"/>
      <c r="J6" s="2911"/>
      <c r="K6" s="2911"/>
    </row>
    <row r="7" spans="2:12" ht="4.5" customHeight="1" x14ac:dyDescent="0.2">
      <c r="B7" s="2092"/>
      <c r="C7" s="2092"/>
      <c r="D7" s="2092"/>
      <c r="E7" s="2092"/>
      <c r="F7" s="2092"/>
      <c r="G7" s="2093"/>
      <c r="H7" s="2092"/>
      <c r="I7" s="2093"/>
      <c r="J7" s="2092"/>
      <c r="K7" s="2092"/>
    </row>
    <row r="8" spans="2:12" ht="13.5" customHeight="1" x14ac:dyDescent="0.2">
      <c r="B8" s="995" t="s">
        <v>1729</v>
      </c>
      <c r="C8" s="2271" t="s">
        <v>2078</v>
      </c>
      <c r="D8" s="1223">
        <v>6</v>
      </c>
      <c r="F8" s="995" t="s">
        <v>1284</v>
      </c>
      <c r="G8" s="1224" t="s">
        <v>2047</v>
      </c>
      <c r="H8" s="2272" t="s">
        <v>1296</v>
      </c>
      <c r="I8" s="1224"/>
      <c r="J8" s="2273" t="s">
        <v>1295</v>
      </c>
    </row>
    <row r="9" spans="2:12" ht="13.5" customHeight="1" x14ac:dyDescent="0.2">
      <c r="I9" s="2274" t="s">
        <v>1281</v>
      </c>
      <c r="K9" s="1228"/>
    </row>
    <row r="10" spans="2:12" ht="4.5" customHeight="1" x14ac:dyDescent="0.2">
      <c r="B10" s="2275"/>
      <c r="C10" s="2275"/>
      <c r="D10" s="2276"/>
      <c r="E10" s="2276"/>
      <c r="F10" s="2276"/>
      <c r="G10" s="2277"/>
      <c r="H10" s="2276"/>
      <c r="I10" s="2277"/>
      <c r="J10" s="2276"/>
      <c r="K10" s="2276"/>
    </row>
    <row r="11" spans="2:12" ht="5.25" customHeight="1" x14ac:dyDescent="0.2">
      <c r="D11" s="854"/>
    </row>
    <row r="12" spans="2:12" ht="13.5" customHeight="1" x14ac:dyDescent="0.2">
      <c r="B12" s="995" t="s">
        <v>1294</v>
      </c>
      <c r="C12" s="995"/>
      <c r="D12" s="854"/>
      <c r="F12" s="2891" t="s">
        <v>2252</v>
      </c>
      <c r="G12" s="2891"/>
      <c r="H12" s="2891"/>
      <c r="I12" s="2891"/>
      <c r="J12" s="2891"/>
      <c r="K12" s="2891"/>
    </row>
    <row r="13" spans="2:12" ht="9.6" customHeight="1" x14ac:dyDescent="0.2">
      <c r="B13" s="998"/>
      <c r="C13" s="998"/>
      <c r="D13" s="854"/>
    </row>
    <row r="14" spans="2:12" ht="13.5" customHeight="1" x14ac:dyDescent="0.2">
      <c r="B14" s="995" t="s">
        <v>1293</v>
      </c>
      <c r="C14" s="995"/>
      <c r="D14" s="2891" t="str">
        <f>'Finding 2020-005'!D14</f>
        <v>19 &amp; 20-4210, 4215, 4220, 4225</v>
      </c>
      <c r="E14" s="2891"/>
      <c r="F14" s="2891"/>
      <c r="H14" s="2278" t="s">
        <v>1292</v>
      </c>
      <c r="I14" s="2891" t="str">
        <f>'Finding 2020-005'!I14</f>
        <v>10.553, 10.555, 10.556, 10.559</v>
      </c>
      <c r="J14" s="2891"/>
      <c r="K14" s="2891"/>
    </row>
    <row r="15" spans="2:12" ht="9.4" customHeight="1" x14ac:dyDescent="0.2">
      <c r="B15" s="995"/>
      <c r="C15" s="995"/>
      <c r="D15" s="2279"/>
      <c r="E15" s="2089"/>
      <c r="F15" s="2089"/>
      <c r="G15" s="2280"/>
      <c r="H15" s="2089"/>
      <c r="I15" s="2280"/>
      <c r="J15" s="2089"/>
      <c r="K15" s="2089"/>
    </row>
    <row r="16" spans="2:12" ht="13.5" customHeight="1" x14ac:dyDescent="0.2">
      <c r="B16" s="995" t="s">
        <v>1291</v>
      </c>
      <c r="C16" s="995"/>
      <c r="D16" s="2891" t="s">
        <v>2094</v>
      </c>
      <c r="E16" s="2891"/>
      <c r="F16" s="2891"/>
      <c r="G16" s="2891"/>
      <c r="H16" s="2891"/>
      <c r="I16" s="2891"/>
      <c r="J16" s="2891"/>
      <c r="K16" s="2891"/>
    </row>
    <row r="17" spans="2:11" ht="13.5" customHeight="1" x14ac:dyDescent="0.2">
      <c r="B17" s="995" t="s">
        <v>1290</v>
      </c>
      <c r="C17" s="995"/>
      <c r="D17" s="2892" t="s">
        <v>2234</v>
      </c>
      <c r="E17" s="2892"/>
      <c r="F17" s="2892"/>
      <c r="G17" s="2892"/>
      <c r="H17" s="2892"/>
      <c r="I17" s="2892"/>
      <c r="J17" s="2892"/>
      <c r="K17" s="2892"/>
    </row>
    <row r="18" spans="2:11" ht="9.4" customHeight="1" x14ac:dyDescent="0.2">
      <c r="B18" s="2276"/>
      <c r="C18" s="2276"/>
      <c r="D18" s="2276"/>
      <c r="E18" s="2276"/>
      <c r="F18" s="2276"/>
      <c r="G18" s="2277"/>
      <c r="H18" s="2276"/>
      <c r="I18" s="2277"/>
      <c r="J18" s="2276"/>
      <c r="K18" s="2276"/>
    </row>
    <row r="19" spans="2:11" ht="13.5" customHeight="1" x14ac:dyDescent="0.2">
      <c r="B19" s="2281" t="s">
        <v>1289</v>
      </c>
      <c r="C19" s="2281"/>
      <c r="D19" s="991"/>
      <c r="E19" s="991"/>
      <c r="F19" s="991"/>
      <c r="G19" s="2063"/>
      <c r="H19" s="991"/>
      <c r="I19" s="2063"/>
    </row>
    <row r="20" spans="2:11" ht="46.5" customHeight="1" x14ac:dyDescent="0.2">
      <c r="B20" s="2889" t="s">
        <v>2246</v>
      </c>
      <c r="C20" s="2889"/>
      <c r="D20" s="2889"/>
      <c r="E20" s="2889"/>
      <c r="F20" s="2889"/>
      <c r="G20" s="2889"/>
      <c r="H20" s="2889"/>
      <c r="I20" s="2889"/>
      <c r="J20" s="2889"/>
      <c r="K20" s="2889"/>
    </row>
    <row r="21" spans="2:11" ht="4.5" customHeight="1" x14ac:dyDescent="0.2">
      <c r="B21" s="2309"/>
      <c r="C21" s="2309"/>
      <c r="D21" s="2310"/>
      <c r="E21" s="2310"/>
      <c r="F21" s="2276"/>
      <c r="G21" s="2277"/>
      <c r="H21" s="2276"/>
      <c r="I21" s="2277"/>
      <c r="J21" s="2276"/>
      <c r="K21" s="2276"/>
    </row>
    <row r="22" spans="2:11" ht="13.35" customHeight="1" x14ac:dyDescent="0.2">
      <c r="B22" s="2281" t="s">
        <v>1730</v>
      </c>
      <c r="C22" s="2281"/>
    </row>
    <row r="23" spans="2:11" ht="41.25" customHeight="1" x14ac:dyDescent="0.2">
      <c r="B23" s="2889" t="s">
        <v>2301</v>
      </c>
      <c r="C23" s="2889"/>
      <c r="D23" s="2889"/>
      <c r="E23" s="2889"/>
      <c r="F23" s="2889"/>
      <c r="G23" s="2889"/>
      <c r="H23" s="2889"/>
      <c r="I23" s="2889"/>
      <c r="J23" s="2889"/>
      <c r="K23" s="2889"/>
    </row>
    <row r="24" spans="2:11" ht="4.5" customHeight="1" x14ac:dyDescent="0.2">
      <c r="B24" s="2282"/>
      <c r="C24" s="2282"/>
      <c r="D24" s="2276"/>
      <c r="E24" s="2276"/>
      <c r="F24" s="2276"/>
      <c r="G24" s="2277"/>
      <c r="H24" s="2276"/>
      <c r="I24" s="2277"/>
      <c r="J24" s="2276"/>
      <c r="K24" s="2276"/>
    </row>
    <row r="25" spans="2:11" ht="13.5" customHeight="1" x14ac:dyDescent="0.2">
      <c r="B25" s="2281" t="s">
        <v>1731</v>
      </c>
      <c r="C25" s="2281"/>
    </row>
    <row r="26" spans="2:11" ht="24.95" customHeight="1" x14ac:dyDescent="0.2">
      <c r="B26" s="2889" t="s">
        <v>2237</v>
      </c>
      <c r="C26" s="2889"/>
      <c r="D26" s="2889"/>
      <c r="E26" s="2889"/>
      <c r="F26" s="2889"/>
      <c r="G26" s="2889"/>
      <c r="H26" s="2889"/>
      <c r="I26" s="2889"/>
      <c r="J26" s="2889"/>
      <c r="K26" s="2889"/>
    </row>
    <row r="27" spans="2:11" ht="4.5" customHeight="1" x14ac:dyDescent="0.2">
      <c r="B27" s="2283"/>
      <c r="C27" s="2283"/>
      <c r="D27" s="2283"/>
      <c r="E27" s="2276"/>
      <c r="F27" s="2276"/>
      <c r="G27" s="2277"/>
      <c r="H27" s="2276"/>
      <c r="I27" s="2277"/>
      <c r="J27" s="2276"/>
      <c r="K27" s="2276"/>
    </row>
    <row r="28" spans="2:11" ht="13.5" customHeight="1" x14ac:dyDescent="0.2">
      <c r="B28" s="2281" t="s">
        <v>1732</v>
      </c>
      <c r="C28" s="2281"/>
    </row>
    <row r="29" spans="2:11" ht="28.5" customHeight="1" x14ac:dyDescent="0.2">
      <c r="B29" s="2889" t="s">
        <v>2302</v>
      </c>
      <c r="C29" s="2889"/>
      <c r="D29" s="2889"/>
      <c r="E29" s="2889"/>
      <c r="F29" s="2889"/>
      <c r="G29" s="2889"/>
      <c r="H29" s="2889"/>
      <c r="I29" s="2889"/>
      <c r="J29" s="2889"/>
      <c r="K29" s="2889"/>
    </row>
    <row r="30" spans="2:11" ht="4.5" customHeight="1" x14ac:dyDescent="0.2">
      <c r="B30" s="2282"/>
      <c r="C30" s="2282"/>
      <c r="D30" s="2276"/>
      <c r="E30" s="2276"/>
      <c r="F30" s="2276"/>
      <c r="G30" s="2277"/>
      <c r="H30" s="2276"/>
      <c r="I30" s="2277"/>
      <c r="J30" s="2276"/>
      <c r="K30" s="2276"/>
    </row>
    <row r="31" spans="2:11" ht="13.5" customHeight="1" x14ac:dyDescent="0.2">
      <c r="B31" s="2281" t="s">
        <v>1288</v>
      </c>
      <c r="C31" s="2281"/>
    </row>
    <row r="32" spans="2:11" ht="28.5" customHeight="1" x14ac:dyDescent="0.2">
      <c r="B32" s="2889" t="s">
        <v>2247</v>
      </c>
      <c r="C32" s="2889"/>
      <c r="D32" s="2889"/>
      <c r="E32" s="2889"/>
      <c r="F32" s="2889"/>
      <c r="G32" s="2889"/>
      <c r="H32" s="2889"/>
      <c r="I32" s="2889"/>
      <c r="J32" s="2889"/>
      <c r="K32" s="2889"/>
    </row>
    <row r="33" spans="2:12" ht="4.5" customHeight="1" x14ac:dyDescent="0.2">
      <c r="B33" s="2282"/>
      <c r="C33" s="2282"/>
      <c r="D33" s="2276"/>
      <c r="E33" s="2276"/>
      <c r="F33" s="2276"/>
      <c r="G33" s="2277"/>
      <c r="H33" s="2276"/>
      <c r="I33" s="2277"/>
      <c r="J33" s="2276"/>
      <c r="K33" s="2276"/>
    </row>
    <row r="34" spans="2:12" ht="13.5" customHeight="1" x14ac:dyDescent="0.2">
      <c r="B34" s="995" t="s">
        <v>1287</v>
      </c>
      <c r="C34" s="995"/>
    </row>
    <row r="35" spans="2:12" ht="27.95" customHeight="1" x14ac:dyDescent="0.2">
      <c r="B35" s="2889" t="s">
        <v>2303</v>
      </c>
      <c r="C35" s="2889"/>
      <c r="D35" s="2889"/>
      <c r="E35" s="2889"/>
      <c r="F35" s="2889"/>
      <c r="G35" s="2889"/>
      <c r="H35" s="2889"/>
      <c r="I35" s="2889"/>
      <c r="J35" s="2889"/>
      <c r="K35" s="2889"/>
    </row>
    <row r="36" spans="2:12" ht="4.5" customHeight="1" x14ac:dyDescent="0.2">
      <c r="B36" s="2282"/>
      <c r="C36" s="2282"/>
      <c r="D36" s="2276"/>
      <c r="E36" s="2276"/>
      <c r="F36" s="2276"/>
      <c r="G36" s="2277"/>
      <c r="H36" s="2276"/>
      <c r="I36" s="2277"/>
      <c r="J36" s="2276"/>
      <c r="K36" s="2276"/>
    </row>
    <row r="37" spans="2:12" ht="13.5" customHeight="1" x14ac:dyDescent="0.2">
      <c r="B37" s="995" t="s">
        <v>1286</v>
      </c>
      <c r="C37" s="995"/>
    </row>
    <row r="38" spans="2:12" ht="35.25" customHeight="1" x14ac:dyDescent="0.2">
      <c r="B38" s="2889" t="s">
        <v>2304</v>
      </c>
      <c r="C38" s="2889"/>
      <c r="D38" s="2889"/>
      <c r="E38" s="2889"/>
      <c r="F38" s="2889"/>
      <c r="G38" s="2889"/>
      <c r="H38" s="2889"/>
      <c r="I38" s="2889"/>
      <c r="J38" s="2889"/>
      <c r="K38" s="2889"/>
    </row>
    <row r="39" spans="2:12" ht="4.5" customHeight="1" x14ac:dyDescent="0.2">
      <c r="B39" s="865"/>
      <c r="C39" s="865"/>
    </row>
    <row r="40" spans="2:12" ht="13.5" customHeight="1" x14ac:dyDescent="0.2">
      <c r="B40" s="2080" t="s">
        <v>1733</v>
      </c>
      <c r="C40" s="2080"/>
      <c r="D40" s="2091"/>
      <c r="E40" s="2092"/>
      <c r="F40" s="2092"/>
      <c r="G40" s="2093"/>
      <c r="H40" s="2092"/>
      <c r="I40" s="2093"/>
      <c r="J40" s="2092"/>
      <c r="K40" s="2092"/>
    </row>
    <row r="41" spans="2:12" ht="33.75" customHeight="1" x14ac:dyDescent="0.2">
      <c r="B41" s="2889" t="s">
        <v>2248</v>
      </c>
      <c r="C41" s="2889"/>
      <c r="D41" s="2889"/>
      <c r="E41" s="2889"/>
      <c r="F41" s="2889"/>
      <c r="G41" s="2889"/>
      <c r="H41" s="2889"/>
      <c r="I41" s="2889"/>
      <c r="J41" s="2889"/>
      <c r="K41" s="2889"/>
    </row>
    <row r="42" spans="2:12" ht="4.5" customHeight="1" x14ac:dyDescent="0.2">
      <c r="B42" s="865"/>
      <c r="C42" s="865"/>
    </row>
    <row r="43" spans="2:12" ht="13.5" customHeight="1" x14ac:dyDescent="0.2">
      <c r="B43" s="2284" t="s">
        <v>2241</v>
      </c>
      <c r="C43" s="2285"/>
      <c r="D43" s="2286"/>
      <c r="E43" s="2286"/>
      <c r="F43" s="2286"/>
      <c r="G43" s="2287"/>
      <c r="H43" s="2286"/>
      <c r="I43" s="2287"/>
      <c r="J43" s="2286"/>
      <c r="K43" s="2288"/>
      <c r="L43" s="2289"/>
    </row>
    <row r="44" spans="2:12" ht="13.5" customHeight="1" x14ac:dyDescent="0.2">
      <c r="B44" s="2290" t="s">
        <v>2242</v>
      </c>
      <c r="C44" s="2291"/>
      <c r="D44" s="2292"/>
      <c r="E44" s="2293"/>
      <c r="F44" s="2294" t="s">
        <v>2243</v>
      </c>
      <c r="G44" s="2295"/>
      <c r="H44" s="2296"/>
      <c r="I44" s="2295"/>
      <c r="J44" s="2297"/>
      <c r="K44" s="2298"/>
      <c r="L44" s="2289"/>
    </row>
    <row r="45" spans="2:12" ht="13.5" customHeight="1" x14ac:dyDescent="0.2">
      <c r="B45" s="2290" t="s">
        <v>2244</v>
      </c>
      <c r="C45" s="2291"/>
      <c r="D45" s="2297"/>
      <c r="E45" s="2296"/>
      <c r="F45" s="2294" t="s">
        <v>2245</v>
      </c>
      <c r="G45" s="2295"/>
      <c r="H45" s="2296"/>
      <c r="I45" s="2295"/>
      <c r="J45" s="2297"/>
      <c r="K45" s="2298"/>
      <c r="L45" s="2289"/>
    </row>
    <row r="46" spans="2:12" ht="13.5" customHeight="1" x14ac:dyDescent="0.2">
      <c r="B46" s="2299"/>
      <c r="C46" s="2300"/>
      <c r="D46" s="2300"/>
      <c r="E46" s="2300"/>
      <c r="F46" s="2300"/>
      <c r="G46" s="2301"/>
      <c r="H46" s="2300"/>
      <c r="I46" s="2301"/>
      <c r="J46" s="2300"/>
      <c r="K46" s="2302"/>
      <c r="L46" s="2289"/>
    </row>
    <row r="47" spans="2:12" ht="7.5" customHeight="1" x14ac:dyDescent="0.25">
      <c r="B47" s="2303"/>
      <c r="C47" s="2303"/>
      <c r="D47" s="2304"/>
      <c r="E47" s="2304"/>
      <c r="F47" s="2304"/>
      <c r="G47" s="2305"/>
      <c r="H47" s="2304"/>
      <c r="I47" s="2305"/>
      <c r="J47" s="2304"/>
      <c r="K47" s="2304"/>
    </row>
    <row r="48" spans="2:12" ht="13.5" customHeight="1" x14ac:dyDescent="0.2">
      <c r="B48" s="2084" t="s">
        <v>1734</v>
      </c>
      <c r="C48" s="2084"/>
    </row>
    <row r="49" spans="2:3" s="294" customFormat="1" ht="10.5" customHeight="1" x14ac:dyDescent="0.2">
      <c r="B49" s="2084" t="s">
        <v>1735</v>
      </c>
      <c r="C49" s="2084"/>
    </row>
    <row r="50" spans="2:3" s="294" customFormat="1" ht="11.1" customHeight="1" x14ac:dyDescent="0.2">
      <c r="B50" s="2084" t="s">
        <v>1736</v>
      </c>
      <c r="C50" s="2084"/>
    </row>
    <row r="51" spans="2:3" s="294" customFormat="1" ht="11.1" customHeight="1" x14ac:dyDescent="0.2">
      <c r="B51" s="2084" t="s">
        <v>1737</v>
      </c>
      <c r="C51" s="2084"/>
    </row>
    <row r="52" spans="2:3" s="294" customFormat="1" ht="11.1" customHeight="1" x14ac:dyDescent="0.2">
      <c r="B52" s="2084" t="s">
        <v>1738</v>
      </c>
      <c r="C52" s="208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A2E26-FFD1-428E-A4D7-1E5C60CCD210}">
  <dimension ref="B1:L52"/>
  <sheetViews>
    <sheetView showGridLines="0" zoomScale="110" zoomScaleNormal="110" zoomScaleSheetLayoutView="120" workbookViewId="0"/>
  </sheetViews>
  <sheetFormatPr defaultColWidth="9.140625" defaultRowHeight="12.75" x14ac:dyDescent="0.2"/>
  <cols>
    <col min="1" max="1" width="1.5703125" style="294" customWidth="1"/>
    <col min="2" max="2" width="21.5703125" style="294" customWidth="1"/>
    <col min="3" max="3" width="6.140625" style="294" customWidth="1"/>
    <col min="4" max="4" width="5.28515625" style="294" bestFit="1" customWidth="1"/>
    <col min="5" max="5" width="3.5703125" style="294" customWidth="1"/>
    <col min="6" max="6" width="20.140625" style="294" customWidth="1"/>
    <col min="7" max="7" width="3.5703125" style="2090" customWidth="1"/>
    <col min="8" max="8" width="10.5703125" style="294" customWidth="1"/>
    <col min="9" max="9" width="3.42578125" style="2090"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2:12" ht="12.75" customHeight="1" x14ac:dyDescent="0.2">
      <c r="B1" s="2903" t="str">
        <f>'Finding 2020-006'!B1</f>
        <v xml:space="preserve">   Peoria Heights CUSD 325</v>
      </c>
      <c r="C1" s="2903"/>
      <c r="D1" s="2903"/>
      <c r="E1" s="2903"/>
      <c r="F1" s="2903"/>
      <c r="G1" s="2903"/>
      <c r="H1" s="2903"/>
      <c r="I1" s="2903"/>
      <c r="J1" s="2903"/>
      <c r="K1" s="2903"/>
      <c r="L1" s="2269"/>
    </row>
    <row r="2" spans="2:12" ht="12.75" customHeight="1" x14ac:dyDescent="0.2">
      <c r="B2" s="2910">
        <f>'Finding 2020-006'!B2</f>
        <v>48072325026</v>
      </c>
      <c r="C2" s="2910"/>
      <c r="D2" s="2910"/>
      <c r="E2" s="2910"/>
      <c r="F2" s="2910"/>
      <c r="G2" s="2910"/>
      <c r="H2" s="2910"/>
      <c r="I2" s="2910"/>
      <c r="J2" s="2910"/>
      <c r="K2" s="2910"/>
      <c r="L2" s="2270"/>
    </row>
    <row r="3" spans="2:12" ht="12.75" customHeight="1" x14ac:dyDescent="0.2">
      <c r="B3" s="2903" t="s">
        <v>1274</v>
      </c>
      <c r="C3" s="2903"/>
      <c r="D3" s="2903"/>
      <c r="E3" s="2903"/>
      <c r="F3" s="2903"/>
      <c r="G3" s="2903"/>
      <c r="H3" s="2903"/>
      <c r="I3" s="2903"/>
      <c r="J3" s="2903"/>
      <c r="K3" s="2903"/>
      <c r="L3" s="2037"/>
    </row>
    <row r="4" spans="2:12" ht="12.75" customHeight="1" x14ac:dyDescent="0.2">
      <c r="B4" s="2903" t="s">
        <v>2087</v>
      </c>
      <c r="C4" s="2903"/>
      <c r="D4" s="2903"/>
      <c r="E4" s="2903"/>
      <c r="F4" s="2903"/>
      <c r="G4" s="2903"/>
      <c r="H4" s="2903"/>
      <c r="I4" s="2903"/>
      <c r="J4" s="2903"/>
      <c r="K4" s="2903"/>
      <c r="L4" s="2037"/>
    </row>
    <row r="5" spans="2:12" ht="5.25" customHeight="1" x14ac:dyDescent="0.2">
      <c r="B5" s="2089" t="s">
        <v>1159</v>
      </c>
      <c r="C5" s="2089"/>
    </row>
    <row r="6" spans="2:12" ht="30.75" customHeight="1" x14ac:dyDescent="0.2">
      <c r="B6" s="2911" t="s">
        <v>1297</v>
      </c>
      <c r="C6" s="2911"/>
      <c r="D6" s="2911"/>
      <c r="E6" s="2911"/>
      <c r="F6" s="2911"/>
      <c r="G6" s="2911"/>
      <c r="H6" s="2911"/>
      <c r="I6" s="2911"/>
      <c r="J6" s="2911"/>
      <c r="K6" s="2911"/>
    </row>
    <row r="7" spans="2:12" ht="4.5" customHeight="1" x14ac:dyDescent="0.2">
      <c r="B7" s="2092"/>
      <c r="C7" s="2092"/>
      <c r="D7" s="2092"/>
      <c r="E7" s="2092"/>
      <c r="F7" s="2092"/>
      <c r="G7" s="2093"/>
      <c r="H7" s="2092"/>
      <c r="I7" s="2093"/>
      <c r="J7" s="2092"/>
      <c r="K7" s="2092"/>
    </row>
    <row r="8" spans="2:12" ht="13.5" customHeight="1" x14ac:dyDescent="0.2">
      <c r="B8" s="995" t="s">
        <v>1729</v>
      </c>
      <c r="C8" s="2271" t="s">
        <v>2078</v>
      </c>
      <c r="D8" s="1223">
        <v>7</v>
      </c>
      <c r="F8" s="995" t="s">
        <v>1284</v>
      </c>
      <c r="G8" s="1224" t="s">
        <v>2047</v>
      </c>
      <c r="H8" s="2272" t="s">
        <v>1296</v>
      </c>
      <c r="I8" s="1224"/>
      <c r="J8" s="2273" t="s">
        <v>1295</v>
      </c>
    </row>
    <row r="9" spans="2:12" ht="13.5" customHeight="1" x14ac:dyDescent="0.2">
      <c r="I9" s="2274" t="s">
        <v>1281</v>
      </c>
      <c r="K9" s="1228"/>
    </row>
    <row r="10" spans="2:12" ht="4.5" customHeight="1" x14ac:dyDescent="0.2">
      <c r="B10" s="2275"/>
      <c r="C10" s="2275"/>
      <c r="D10" s="2276"/>
      <c r="E10" s="2276"/>
      <c r="F10" s="2276"/>
      <c r="G10" s="2277"/>
      <c r="H10" s="2276"/>
      <c r="I10" s="2277"/>
      <c r="J10" s="2276"/>
      <c r="K10" s="2276"/>
    </row>
    <row r="11" spans="2:12" ht="5.25" customHeight="1" x14ac:dyDescent="0.2">
      <c r="D11" s="854"/>
    </row>
    <row r="12" spans="2:12" ht="13.5" customHeight="1" x14ac:dyDescent="0.2">
      <c r="B12" s="995" t="s">
        <v>1294</v>
      </c>
      <c r="C12" s="995"/>
      <c r="D12" s="854"/>
      <c r="F12" s="2891" t="s">
        <v>2252</v>
      </c>
      <c r="G12" s="2891"/>
      <c r="H12" s="2891"/>
      <c r="I12" s="2891"/>
      <c r="J12" s="2891"/>
      <c r="K12" s="2891"/>
    </row>
    <row r="13" spans="2:12" ht="9.6" customHeight="1" x14ac:dyDescent="0.2">
      <c r="B13" s="998"/>
      <c r="C13" s="998"/>
      <c r="D13" s="854"/>
    </row>
    <row r="14" spans="2:12" ht="13.5" customHeight="1" x14ac:dyDescent="0.2">
      <c r="B14" s="995" t="s">
        <v>1293</v>
      </c>
      <c r="C14" s="995"/>
      <c r="D14" s="2891" t="str">
        <f>'Finding 2020-005'!D14</f>
        <v>19 &amp; 20-4210, 4215, 4220, 4225</v>
      </c>
      <c r="E14" s="2891"/>
      <c r="F14" s="2891"/>
      <c r="H14" s="1007" t="s">
        <v>1292</v>
      </c>
      <c r="I14" s="2891" t="str">
        <f>'Finding 2020-005'!I14</f>
        <v>10.553, 10.555, 10.556, 10.559</v>
      </c>
      <c r="J14" s="2891"/>
      <c r="K14" s="2891"/>
    </row>
    <row r="15" spans="2:12" ht="9.4" customHeight="1" x14ac:dyDescent="0.2">
      <c r="B15" s="995"/>
      <c r="C15" s="995"/>
      <c r="D15" s="2279"/>
      <c r="E15" s="2089"/>
      <c r="F15" s="2089"/>
      <c r="G15" s="2280"/>
      <c r="H15" s="2089"/>
      <c r="I15" s="2280"/>
      <c r="J15" s="2089"/>
      <c r="K15" s="2089"/>
    </row>
    <row r="16" spans="2:12" ht="13.5" customHeight="1" x14ac:dyDescent="0.2">
      <c r="B16" s="995" t="s">
        <v>1291</v>
      </c>
      <c r="C16" s="995"/>
      <c r="D16" s="2891" t="s">
        <v>2094</v>
      </c>
      <c r="E16" s="2891"/>
      <c r="F16" s="2891"/>
      <c r="G16" s="2891"/>
      <c r="H16" s="2891"/>
      <c r="I16" s="2891"/>
      <c r="J16" s="2891"/>
      <c r="K16" s="2891"/>
    </row>
    <row r="17" spans="2:11" ht="13.5" customHeight="1" x14ac:dyDescent="0.2">
      <c r="B17" s="995" t="s">
        <v>1290</v>
      </c>
      <c r="C17" s="995"/>
      <c r="D17" s="2892" t="s">
        <v>2234</v>
      </c>
      <c r="E17" s="2892"/>
      <c r="F17" s="2892"/>
      <c r="G17" s="2892"/>
      <c r="H17" s="2892"/>
      <c r="I17" s="2892"/>
      <c r="J17" s="2892"/>
      <c r="K17" s="2892"/>
    </row>
    <row r="18" spans="2:11" ht="9.4" customHeight="1" x14ac:dyDescent="0.2">
      <c r="B18" s="2276"/>
      <c r="C18" s="2276"/>
      <c r="D18" s="2276"/>
      <c r="E18" s="2276"/>
      <c r="F18" s="2276"/>
      <c r="G18" s="2277"/>
      <c r="H18" s="2276"/>
      <c r="I18" s="2277"/>
      <c r="J18" s="2276"/>
      <c r="K18" s="2276"/>
    </row>
    <row r="19" spans="2:11" ht="13.5" customHeight="1" x14ac:dyDescent="0.2">
      <c r="B19" s="2281" t="s">
        <v>1289</v>
      </c>
      <c r="C19" s="2281"/>
      <c r="D19" s="991"/>
      <c r="E19" s="991"/>
      <c r="F19" s="991"/>
      <c r="G19" s="2063"/>
      <c r="H19" s="991"/>
      <c r="I19" s="2063"/>
    </row>
    <row r="20" spans="2:11" ht="45.6" customHeight="1" x14ac:dyDescent="0.2">
      <c r="B20" s="2889" t="s">
        <v>2305</v>
      </c>
      <c r="C20" s="2889"/>
      <c r="D20" s="2889"/>
      <c r="E20" s="2889"/>
      <c r="F20" s="2889"/>
      <c r="G20" s="2889"/>
      <c r="H20" s="2889"/>
      <c r="I20" s="2889"/>
      <c r="J20" s="2889"/>
      <c r="K20" s="2889"/>
    </row>
    <row r="21" spans="2:11" ht="4.5" customHeight="1" x14ac:dyDescent="0.2">
      <c r="B21" s="2282"/>
      <c r="C21" s="2282"/>
      <c r="D21" s="2276"/>
      <c r="E21" s="2276"/>
      <c r="F21" s="2276"/>
      <c r="G21" s="2277"/>
      <c r="H21" s="2276"/>
      <c r="I21" s="2277"/>
      <c r="J21" s="2276"/>
      <c r="K21" s="2276"/>
    </row>
    <row r="22" spans="2:11" ht="13.35" customHeight="1" x14ac:dyDescent="0.2">
      <c r="B22" s="2281" t="s">
        <v>1730</v>
      </c>
      <c r="C22" s="2281"/>
    </row>
    <row r="23" spans="2:11" ht="39.75" customHeight="1" x14ac:dyDescent="0.2">
      <c r="B23" s="2889" t="s">
        <v>2306</v>
      </c>
      <c r="C23" s="2889"/>
      <c r="D23" s="2889"/>
      <c r="E23" s="2889"/>
      <c r="F23" s="2889"/>
      <c r="G23" s="2889"/>
      <c r="H23" s="2889"/>
      <c r="I23" s="2889"/>
      <c r="J23" s="2889"/>
      <c r="K23" s="2889"/>
    </row>
    <row r="24" spans="2:11" ht="4.5" customHeight="1" x14ac:dyDescent="0.2">
      <c r="B24" s="2282"/>
      <c r="C24" s="2282"/>
      <c r="D24" s="2276"/>
      <c r="E24" s="2276"/>
      <c r="F24" s="2276"/>
      <c r="G24" s="2277"/>
      <c r="H24" s="2276"/>
      <c r="I24" s="2277"/>
      <c r="J24" s="2276"/>
      <c r="K24" s="2276"/>
    </row>
    <row r="25" spans="2:11" ht="13.5" customHeight="1" x14ac:dyDescent="0.2">
      <c r="B25" s="2281" t="s">
        <v>1731</v>
      </c>
      <c r="C25" s="2281"/>
    </row>
    <row r="26" spans="2:11" ht="20.45" customHeight="1" x14ac:dyDescent="0.2">
      <c r="B26" s="2889" t="s">
        <v>2237</v>
      </c>
      <c r="C26" s="2889"/>
      <c r="D26" s="2889"/>
      <c r="E26" s="2889"/>
      <c r="F26" s="2889"/>
      <c r="G26" s="2889"/>
      <c r="H26" s="2889"/>
      <c r="I26" s="2889"/>
      <c r="J26" s="2889"/>
      <c r="K26" s="2889"/>
    </row>
    <row r="27" spans="2:11" ht="4.5" customHeight="1" x14ac:dyDescent="0.2">
      <c r="B27" s="2283"/>
      <c r="C27" s="2283"/>
      <c r="D27" s="2283"/>
      <c r="E27" s="2276"/>
      <c r="F27" s="2276"/>
      <c r="G27" s="2277"/>
      <c r="H27" s="2276"/>
      <c r="I27" s="2277"/>
      <c r="J27" s="2276"/>
      <c r="K27" s="2276"/>
    </row>
    <row r="28" spans="2:11" ht="13.5" customHeight="1" x14ac:dyDescent="0.2">
      <c r="B28" s="2281" t="s">
        <v>1732</v>
      </c>
      <c r="C28" s="2281"/>
    </row>
    <row r="29" spans="2:11" ht="28.5" customHeight="1" x14ac:dyDescent="0.2">
      <c r="B29" s="2889" t="s">
        <v>2307</v>
      </c>
      <c r="C29" s="2889"/>
      <c r="D29" s="2889"/>
      <c r="E29" s="2889"/>
      <c r="F29" s="2889"/>
      <c r="G29" s="2889"/>
      <c r="H29" s="2889"/>
      <c r="I29" s="2889"/>
      <c r="J29" s="2889"/>
      <c r="K29" s="2889"/>
    </row>
    <row r="30" spans="2:11" ht="4.5" customHeight="1" x14ac:dyDescent="0.2">
      <c r="B30" s="2282"/>
      <c r="C30" s="2282"/>
      <c r="D30" s="2276"/>
      <c r="E30" s="2276"/>
      <c r="F30" s="2276"/>
      <c r="G30" s="2277"/>
      <c r="H30" s="2276"/>
      <c r="I30" s="2277"/>
      <c r="J30" s="2276"/>
      <c r="K30" s="2276"/>
    </row>
    <row r="31" spans="2:11" ht="13.5" customHeight="1" x14ac:dyDescent="0.2">
      <c r="B31" s="2281" t="s">
        <v>1288</v>
      </c>
      <c r="C31" s="2281"/>
    </row>
    <row r="32" spans="2:11" ht="33" customHeight="1" x14ac:dyDescent="0.2">
      <c r="B32" s="2889" t="s">
        <v>2254</v>
      </c>
      <c r="C32" s="2889"/>
      <c r="D32" s="2889"/>
      <c r="E32" s="2889"/>
      <c r="F32" s="2889"/>
      <c r="G32" s="2889"/>
      <c r="H32" s="2889"/>
      <c r="I32" s="2889"/>
      <c r="J32" s="2889"/>
      <c r="K32" s="2889"/>
    </row>
    <row r="33" spans="2:12" ht="4.5" customHeight="1" x14ac:dyDescent="0.2">
      <c r="B33" s="2282"/>
      <c r="C33" s="2282"/>
      <c r="D33" s="2276"/>
      <c r="E33" s="2276"/>
      <c r="F33" s="2276"/>
      <c r="G33" s="2277"/>
      <c r="H33" s="2276"/>
      <c r="I33" s="2277"/>
      <c r="J33" s="2276"/>
      <c r="K33" s="2276"/>
    </row>
    <row r="34" spans="2:12" ht="13.5" customHeight="1" x14ac:dyDescent="0.2">
      <c r="B34" s="995" t="s">
        <v>1287</v>
      </c>
      <c r="C34" s="995"/>
    </row>
    <row r="35" spans="2:12" ht="37.5" customHeight="1" x14ac:dyDescent="0.2">
      <c r="B35" s="2889" t="s">
        <v>2255</v>
      </c>
      <c r="C35" s="2889"/>
      <c r="D35" s="2889"/>
      <c r="E35" s="2889"/>
      <c r="F35" s="2889"/>
      <c r="G35" s="2889"/>
      <c r="H35" s="2889"/>
      <c r="I35" s="2889"/>
      <c r="J35" s="2889"/>
      <c r="K35" s="2889"/>
    </row>
    <row r="36" spans="2:12" ht="4.5" customHeight="1" x14ac:dyDescent="0.2">
      <c r="B36" s="2282"/>
      <c r="C36" s="2282"/>
      <c r="D36" s="2276"/>
      <c r="E36" s="2276"/>
      <c r="F36" s="2276"/>
      <c r="G36" s="2277"/>
      <c r="H36" s="2276"/>
      <c r="I36" s="2277"/>
      <c r="J36" s="2276"/>
      <c r="K36" s="2276"/>
    </row>
    <row r="37" spans="2:12" ht="13.5" customHeight="1" x14ac:dyDescent="0.2">
      <c r="B37" s="995" t="s">
        <v>1286</v>
      </c>
      <c r="C37" s="995"/>
    </row>
    <row r="38" spans="2:12" ht="35.25" customHeight="1" x14ac:dyDescent="0.2">
      <c r="B38" s="2889" t="s">
        <v>2308</v>
      </c>
      <c r="C38" s="2889"/>
      <c r="D38" s="2889"/>
      <c r="E38" s="2889"/>
      <c r="F38" s="2889"/>
      <c r="G38" s="2889"/>
      <c r="H38" s="2889"/>
      <c r="I38" s="2889"/>
      <c r="J38" s="2889"/>
      <c r="K38" s="2889"/>
    </row>
    <row r="39" spans="2:12" ht="4.5" customHeight="1" x14ac:dyDescent="0.2">
      <c r="B39" s="865"/>
      <c r="C39" s="865"/>
    </row>
    <row r="40" spans="2:12" ht="13.5" customHeight="1" x14ac:dyDescent="0.2">
      <c r="B40" s="2080" t="s">
        <v>1733</v>
      </c>
      <c r="C40" s="2080"/>
      <c r="D40" s="2091"/>
      <c r="E40" s="2092"/>
      <c r="F40" s="2092"/>
      <c r="G40" s="2093"/>
      <c r="H40" s="2092"/>
      <c r="I40" s="2093"/>
      <c r="J40" s="2092"/>
      <c r="K40" s="2092"/>
    </row>
    <row r="41" spans="2:12" ht="33.75" customHeight="1" x14ac:dyDescent="0.2">
      <c r="B41" s="2889" t="s">
        <v>2309</v>
      </c>
      <c r="C41" s="2889"/>
      <c r="D41" s="2889"/>
      <c r="E41" s="2889"/>
      <c r="F41" s="2889"/>
      <c r="G41" s="2889"/>
      <c r="H41" s="2889"/>
      <c r="I41" s="2889"/>
      <c r="J41" s="2889"/>
      <c r="K41" s="2889"/>
    </row>
    <row r="42" spans="2:12" ht="4.5" customHeight="1" x14ac:dyDescent="0.2">
      <c r="B42" s="865"/>
      <c r="C42" s="865"/>
    </row>
    <row r="43" spans="2:12" ht="13.5" customHeight="1" x14ac:dyDescent="0.2">
      <c r="B43" s="2284" t="s">
        <v>2241</v>
      </c>
      <c r="C43" s="2285"/>
      <c r="D43" s="2286"/>
      <c r="E43" s="2286"/>
      <c r="F43" s="2286"/>
      <c r="G43" s="2287"/>
      <c r="H43" s="2286"/>
      <c r="I43" s="2287"/>
      <c r="J43" s="2286"/>
      <c r="K43" s="2288"/>
      <c r="L43" s="2289"/>
    </row>
    <row r="44" spans="2:12" ht="13.5" customHeight="1" x14ac:dyDescent="0.2">
      <c r="B44" s="2290" t="s">
        <v>2242</v>
      </c>
      <c r="C44" s="2291"/>
      <c r="D44" s="2292"/>
      <c r="E44" s="2293"/>
      <c r="F44" s="2294" t="s">
        <v>2243</v>
      </c>
      <c r="G44" s="2295"/>
      <c r="H44" s="2296"/>
      <c r="I44" s="2295"/>
      <c r="J44" s="2297"/>
      <c r="K44" s="2298"/>
      <c r="L44" s="2289"/>
    </row>
    <row r="45" spans="2:12" ht="13.5" customHeight="1" x14ac:dyDescent="0.2">
      <c r="B45" s="2290" t="s">
        <v>2244</v>
      </c>
      <c r="C45" s="2291"/>
      <c r="D45" s="2297"/>
      <c r="E45" s="2296"/>
      <c r="F45" s="2294" t="s">
        <v>2245</v>
      </c>
      <c r="G45" s="2295"/>
      <c r="H45" s="2296"/>
      <c r="I45" s="2295"/>
      <c r="J45" s="2297"/>
      <c r="K45" s="2298"/>
      <c r="L45" s="2289"/>
    </row>
    <row r="46" spans="2:12" ht="13.5" customHeight="1" x14ac:dyDescent="0.2">
      <c r="B46" s="2299"/>
      <c r="C46" s="2300"/>
      <c r="D46" s="2300"/>
      <c r="E46" s="2300"/>
      <c r="F46" s="2300"/>
      <c r="G46" s="2301"/>
      <c r="H46" s="2300"/>
      <c r="I46" s="2301"/>
      <c r="J46" s="2300"/>
      <c r="K46" s="2302"/>
      <c r="L46" s="2289"/>
    </row>
    <row r="47" spans="2:12" ht="7.5" customHeight="1" x14ac:dyDescent="0.25">
      <c r="B47" s="2303"/>
      <c r="C47" s="2303"/>
      <c r="D47" s="2304"/>
      <c r="E47" s="2304"/>
      <c r="F47" s="2304"/>
      <c r="G47" s="2305"/>
      <c r="H47" s="2304"/>
      <c r="I47" s="2305"/>
      <c r="J47" s="2304"/>
      <c r="K47" s="2304"/>
    </row>
    <row r="48" spans="2:12" ht="13.5" customHeight="1" x14ac:dyDescent="0.2">
      <c r="B48" s="2084" t="s">
        <v>1734</v>
      </c>
      <c r="C48" s="2084"/>
    </row>
    <row r="49" spans="2:3" s="294" customFormat="1" ht="10.5" customHeight="1" x14ac:dyDescent="0.2">
      <c r="B49" s="2084" t="s">
        <v>1735</v>
      </c>
      <c r="C49" s="2084"/>
    </row>
    <row r="50" spans="2:3" s="294" customFormat="1" ht="11.1" customHeight="1" x14ac:dyDescent="0.2">
      <c r="B50" s="2084" t="s">
        <v>1736</v>
      </c>
      <c r="C50" s="2084"/>
    </row>
    <row r="51" spans="2:3" s="294" customFormat="1" ht="11.1" customHeight="1" x14ac:dyDescent="0.2">
      <c r="B51" s="2084" t="s">
        <v>1737</v>
      </c>
      <c r="C51" s="2084"/>
    </row>
    <row r="52" spans="2:3" s="294" customFormat="1" ht="11.1" customHeight="1" x14ac:dyDescent="0.2">
      <c r="B52" s="2084" t="s">
        <v>1738</v>
      </c>
      <c r="C52" s="208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464" t="s">
        <v>383</v>
      </c>
      <c r="B1" s="2464"/>
      <c r="C1" s="2464"/>
      <c r="D1" s="2464"/>
      <c r="E1" s="2464"/>
      <c r="F1" s="2464"/>
      <c r="G1" s="2464"/>
      <c r="H1" s="2464"/>
      <c r="I1" s="2464"/>
      <c r="J1" s="2464"/>
      <c r="K1" s="2464"/>
      <c r="L1" s="2464"/>
      <c r="M1" s="246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108810760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0.04</v>
      </c>
      <c r="E10" s="333" t="s">
        <v>998</v>
      </c>
      <c r="F10" s="332">
        <v>3.7499999999999999E-3</v>
      </c>
      <c r="G10" s="333" t="s">
        <v>998</v>
      </c>
      <c r="H10" s="332">
        <v>2E-3</v>
      </c>
      <c r="I10" s="333" t="s">
        <v>999</v>
      </c>
      <c r="J10" s="1424">
        <f>ROUND(D10+F10+H10,5)</f>
        <v>4.5749999999999999E-2</v>
      </c>
      <c r="K10" s="217"/>
      <c r="L10" s="332">
        <v>4.596E-4</v>
      </c>
      <c r="M10" s="217"/>
    </row>
    <row r="11" spans="1:14" ht="7.5" customHeight="1" x14ac:dyDescent="0.2">
      <c r="B11" s="217"/>
      <c r="C11" s="217"/>
      <c r="D11" s="2474" t="str">
        <f>IF(SUM(J10)&lt;=0.0999999,"","Enter the Tax Rates by moving the decimal two places to the left.")</f>
        <v/>
      </c>
      <c r="E11" s="2475"/>
      <c r="F11" s="2475"/>
      <c r="G11" s="2475"/>
      <c r="H11" s="2475"/>
      <c r="I11" s="2475"/>
      <c r="J11" s="247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10590081</v>
      </c>
      <c r="E16" s="1547"/>
      <c r="F16" s="1546">
        <f>SUM('Acct Summary 7-8'!C17,'Acct Summary 7-8'!D17,'Acct Summary 7-8'!F17)</f>
        <v>10928939</v>
      </c>
      <c r="G16" s="1547"/>
      <c r="H16" s="1546">
        <f>SUM(D16-F16)</f>
        <v>-338858</v>
      </c>
      <c r="I16" s="1548"/>
      <c r="J16" s="1546">
        <f>SUM('Acct Summary 7-8'!C81,'Acct Summary 7-8'!D81,'Acct Summary 7-8'!F81,'Acct Summary 7-8'!I81)</f>
        <v>10794993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1630</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15015884.880000001</v>
      </c>
      <c r="I31" s="345"/>
      <c r="J31" s="217"/>
      <c r="K31" s="217"/>
      <c r="L31" s="217"/>
      <c r="M31" s="217"/>
    </row>
    <row r="32" spans="1:13" ht="13.35" customHeight="1" x14ac:dyDescent="0.2">
      <c r="B32" s="346" t="s">
        <v>2047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4165000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465"/>
      <c r="C54" s="2466"/>
      <c r="D54" s="2466"/>
      <c r="E54" s="2466"/>
      <c r="F54" s="2466"/>
      <c r="G54" s="2466"/>
      <c r="H54" s="2466"/>
      <c r="I54" s="2466"/>
      <c r="J54" s="2466"/>
      <c r="K54" s="2466"/>
      <c r="L54" s="2467"/>
      <c r="M54" s="357"/>
    </row>
    <row r="55" spans="1:13" ht="12.75" customHeight="1" x14ac:dyDescent="0.2">
      <c r="B55" s="2468"/>
      <c r="C55" s="2469"/>
      <c r="D55" s="2469"/>
      <c r="E55" s="2469"/>
      <c r="F55" s="2469"/>
      <c r="G55" s="2469"/>
      <c r="H55" s="2469"/>
      <c r="I55" s="2469"/>
      <c r="J55" s="2469"/>
      <c r="K55" s="2469"/>
      <c r="L55" s="2470"/>
      <c r="M55" s="357"/>
    </row>
    <row r="56" spans="1:13" ht="12.75" customHeight="1" x14ac:dyDescent="0.2">
      <c r="B56" s="2468"/>
      <c r="C56" s="2469"/>
      <c r="D56" s="2469"/>
      <c r="E56" s="2469"/>
      <c r="F56" s="2469"/>
      <c r="G56" s="2469"/>
      <c r="H56" s="2469"/>
      <c r="I56" s="2469"/>
      <c r="J56" s="2469"/>
      <c r="K56" s="2469"/>
      <c r="L56" s="2470"/>
      <c r="M56" s="217"/>
    </row>
    <row r="57" spans="1:13" ht="12.75" customHeight="1" x14ac:dyDescent="0.2">
      <c r="B57" s="2468"/>
      <c r="C57" s="2469"/>
      <c r="D57" s="2469"/>
      <c r="E57" s="2469"/>
      <c r="F57" s="2469"/>
      <c r="G57" s="2469"/>
      <c r="H57" s="2469"/>
      <c r="I57" s="2469"/>
      <c r="J57" s="2469"/>
      <c r="K57" s="2469"/>
      <c r="L57" s="2470"/>
      <c r="M57" s="217"/>
    </row>
    <row r="58" spans="1:13" x14ac:dyDescent="0.2">
      <c r="B58" s="2471"/>
      <c r="C58" s="2472"/>
      <c r="D58" s="2472"/>
      <c r="E58" s="2472"/>
      <c r="F58" s="2472"/>
      <c r="G58" s="2472"/>
      <c r="H58" s="2472"/>
      <c r="I58" s="2472"/>
      <c r="J58" s="2472"/>
      <c r="K58" s="2472"/>
      <c r="L58" s="247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476"/>
      <c r="D61" s="247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875" t="str">
        <f>'Single Audit Cover'!A7</f>
        <v xml:space="preserve">   Peoria Heights CUSD 325</v>
      </c>
      <c r="C1" s="2875"/>
      <c r="D1" s="2875"/>
      <c r="E1" s="1240"/>
    </row>
    <row r="2" spans="2:5" s="1058" customFormat="1" ht="12.75" customHeight="1" x14ac:dyDescent="0.2">
      <c r="B2" s="2877">
        <f>'Single Audit Cover'!E7</f>
        <v>48072325026</v>
      </c>
      <c r="C2" s="2877"/>
      <c r="D2" s="2877"/>
      <c r="E2" s="1241"/>
    </row>
    <row r="3" spans="2:5" ht="12.75" customHeight="1" x14ac:dyDescent="0.2">
      <c r="B3" s="2895" t="s">
        <v>1739</v>
      </c>
      <c r="C3" s="2895"/>
      <c r="D3" s="2895"/>
      <c r="E3" s="1050"/>
    </row>
    <row r="4" spans="2:5" s="1058" customFormat="1" ht="12.75" customHeight="1" x14ac:dyDescent="0.2">
      <c r="B4" s="2912" t="str">
        <f>'Single Audit Cover'!A4</f>
        <v>Year Ending June 30, 2020</v>
      </c>
      <c r="C4" s="2912"/>
      <c r="D4" s="2912"/>
      <c r="E4" s="1242"/>
    </row>
    <row r="5" spans="2:5" s="1058" customFormat="1" ht="40.15" customHeight="1" x14ac:dyDescent="0.2">
      <c r="B5" s="1243" t="s">
        <v>1740</v>
      </c>
      <c r="C5" s="306"/>
      <c r="D5" s="306"/>
      <c r="E5" s="306"/>
    </row>
    <row r="6" spans="2:5" s="1058" customFormat="1" ht="13.5" customHeight="1" x14ac:dyDescent="0.2">
      <c r="B6" s="1244" t="s">
        <v>1304</v>
      </c>
      <c r="C6" s="1244" t="s">
        <v>1303</v>
      </c>
      <c r="D6" s="1244" t="s">
        <v>1741</v>
      </c>
    </row>
    <row r="7" spans="2:5" ht="13.5" customHeight="1" x14ac:dyDescent="0.2">
      <c r="B7" s="1245" t="s">
        <v>2064</v>
      </c>
      <c r="C7" s="302" t="s">
        <v>2067</v>
      </c>
      <c r="D7" s="302" t="s">
        <v>2068</v>
      </c>
      <c r="E7" s="302"/>
    </row>
    <row r="8" spans="2:5" ht="13.5" customHeight="1" x14ac:dyDescent="0.2">
      <c r="B8" s="1245" t="s">
        <v>2065</v>
      </c>
      <c r="C8" s="302" t="s">
        <v>2070</v>
      </c>
      <c r="D8" s="302" t="s">
        <v>2069</v>
      </c>
      <c r="E8" s="302"/>
    </row>
    <row r="9" spans="2:5" ht="13.5" customHeight="1" x14ac:dyDescent="0.2">
      <c r="B9" s="1246" t="s">
        <v>2066</v>
      </c>
      <c r="C9" s="301" t="s">
        <v>2072</v>
      </c>
      <c r="D9" s="301" t="s">
        <v>2071</v>
      </c>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1742</v>
      </c>
    </row>
    <row r="46" spans="2:5" ht="12.2" customHeight="1" x14ac:dyDescent="0.2">
      <c r="B46" s="1254" t="s">
        <v>1743</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ACB7B-86C1-411C-9EF7-5A12863C2001}">
  <dimension ref="B1:L59"/>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20" customHeight="1" x14ac:dyDescent="0.2"/>
    <row r="2" spans="2:12" ht="13.5" customHeight="1" x14ac:dyDescent="0.2">
      <c r="B2" s="2914" t="str">
        <f>'Finding 2020-001'!B1</f>
        <v xml:space="preserve">   Peoria Heights CUSD 325</v>
      </c>
      <c r="C2" s="2914"/>
      <c r="D2" s="2914"/>
      <c r="E2" s="2914"/>
      <c r="F2" s="2038"/>
      <c r="G2" s="2038"/>
      <c r="H2" s="2038"/>
      <c r="I2" s="2038"/>
      <c r="J2" s="2038"/>
      <c r="K2" s="2038"/>
      <c r="L2" s="2038"/>
    </row>
    <row r="3" spans="2:12" ht="13.5" customHeight="1" x14ac:dyDescent="0.2">
      <c r="B3" s="2915">
        <f>'Finding 2020-005'!B2</f>
        <v>48072325026</v>
      </c>
      <c r="C3" s="2915"/>
      <c r="D3" s="2915"/>
      <c r="E3" s="2915"/>
      <c r="F3" s="2040"/>
      <c r="G3" s="2040"/>
      <c r="H3" s="2040"/>
      <c r="I3" s="2040"/>
      <c r="J3" s="2040"/>
      <c r="K3" s="2040"/>
      <c r="L3" s="2040"/>
    </row>
    <row r="4" spans="2:12" ht="13.5" customHeight="1" x14ac:dyDescent="0.2">
      <c r="B4" s="2916" t="s">
        <v>2075</v>
      </c>
      <c r="C4" s="2916"/>
      <c r="D4" s="2916"/>
      <c r="E4" s="2916"/>
      <c r="F4" s="2041"/>
      <c r="G4" s="2041"/>
      <c r="H4" s="2041"/>
      <c r="I4" s="2041"/>
      <c r="J4" s="2041"/>
      <c r="K4" s="2041"/>
      <c r="L4" s="2041"/>
    </row>
    <row r="5" spans="2:12" ht="13.5" customHeight="1" x14ac:dyDescent="0.2">
      <c r="B5" s="2917" t="s">
        <v>2087</v>
      </c>
      <c r="C5" s="2917"/>
      <c r="D5" s="2917"/>
      <c r="E5" s="2917"/>
      <c r="F5" s="2042"/>
      <c r="G5" s="2042"/>
      <c r="H5" s="2042"/>
      <c r="I5" s="2042"/>
      <c r="J5" s="2042"/>
      <c r="K5" s="2042"/>
      <c r="L5" s="2042"/>
    </row>
    <row r="6" spans="2:12" ht="29.85" customHeight="1" x14ac:dyDescent="0.2"/>
    <row r="7" spans="2:12" ht="13.5" customHeight="1" x14ac:dyDescent="0.2">
      <c r="B7" s="2043" t="s">
        <v>2076</v>
      </c>
      <c r="C7" s="2043"/>
      <c r="D7" s="2044"/>
      <c r="E7" s="2045"/>
      <c r="F7" s="2045"/>
      <c r="G7" s="2046"/>
      <c r="H7" s="2046"/>
      <c r="I7" s="2046"/>
    </row>
    <row r="8" spans="2:12" ht="13.5" customHeight="1" x14ac:dyDescent="0.2">
      <c r="B8" s="2039" t="s">
        <v>1159</v>
      </c>
    </row>
    <row r="9" spans="2:12" ht="13.5" customHeight="1" x14ac:dyDescent="0.2">
      <c r="B9" s="2047" t="s">
        <v>2077</v>
      </c>
      <c r="C9" s="2048" t="s">
        <v>2078</v>
      </c>
      <c r="D9" s="2049">
        <v>1</v>
      </c>
    </row>
    <row r="10" spans="2:12" ht="13.5" customHeight="1" x14ac:dyDescent="0.2">
      <c r="B10" s="2050"/>
      <c r="C10" s="2050"/>
      <c r="D10" s="2050"/>
    </row>
    <row r="11" spans="2:12" ht="13.5" customHeight="1" x14ac:dyDescent="0.2">
      <c r="B11" s="2047" t="s">
        <v>2079</v>
      </c>
      <c r="C11" s="2047"/>
    </row>
    <row r="12" spans="2:12" ht="66.75" customHeight="1" x14ac:dyDescent="0.2">
      <c r="B12" s="2913" t="str">
        <f>'Finding 2020-001'!B17</f>
        <v>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v>
      </c>
      <c r="C12" s="2913"/>
      <c r="D12" s="2913"/>
      <c r="E12" s="2913"/>
    </row>
    <row r="13" spans="2:12" ht="13.5" customHeight="1" x14ac:dyDescent="0.2"/>
    <row r="14" spans="2:12" ht="13.5" customHeight="1" x14ac:dyDescent="0.2">
      <c r="B14" s="2047" t="s">
        <v>2080</v>
      </c>
      <c r="C14" s="2047"/>
    </row>
    <row r="15" spans="2:12" ht="76.5" customHeight="1" x14ac:dyDescent="0.2">
      <c r="B15" s="2913" t="s">
        <v>2311</v>
      </c>
      <c r="C15" s="2913"/>
      <c r="D15" s="2913"/>
      <c r="E15" s="2913"/>
    </row>
    <row r="16" spans="2:12" ht="13.5" customHeight="1" x14ac:dyDescent="0.2"/>
    <row r="17" spans="2:5" ht="13.5" customHeight="1" x14ac:dyDescent="0.2">
      <c r="B17" s="2047" t="s">
        <v>2081</v>
      </c>
      <c r="C17" s="2047"/>
      <c r="E17" s="2052" t="s">
        <v>2082</v>
      </c>
    </row>
    <row r="18" spans="2:5" ht="13.5" customHeight="1" x14ac:dyDescent="0.2"/>
    <row r="19" spans="2:5" ht="13.5" customHeight="1" x14ac:dyDescent="0.2">
      <c r="B19" s="2047" t="s">
        <v>2083</v>
      </c>
      <c r="C19" s="2047"/>
      <c r="E19" s="2052" t="s">
        <v>2086</v>
      </c>
    </row>
    <row r="20" spans="2:5" ht="13.5" customHeight="1" x14ac:dyDescent="0.2"/>
    <row r="21" spans="2:5" ht="13.5" customHeight="1" x14ac:dyDescent="0.2">
      <c r="B21" s="2047" t="s">
        <v>2084</v>
      </c>
      <c r="C21" s="2047"/>
      <c r="E21" s="2052" t="s">
        <v>2310</v>
      </c>
    </row>
    <row r="22" spans="2:5" ht="13.5" customHeight="1" x14ac:dyDescent="0.2">
      <c r="E22" s="2052"/>
    </row>
    <row r="23" spans="2:5" ht="13.5" customHeight="1" x14ac:dyDescent="0.2"/>
    <row r="24" spans="2:5" ht="13.5" customHeight="1" x14ac:dyDescent="0.2">
      <c r="B24" s="2053"/>
      <c r="C24" s="2053"/>
      <c r="D24" s="2053"/>
    </row>
    <row r="25" spans="2:5" ht="13.5" customHeight="1" x14ac:dyDescent="0.2"/>
    <row r="26" spans="2:5" ht="13.5" customHeight="1" x14ac:dyDescent="0.2">
      <c r="B26" s="2053"/>
      <c r="C26" s="2053"/>
      <c r="D26" s="2053"/>
    </row>
    <row r="27" spans="2:5" ht="13.5" customHeight="1" x14ac:dyDescent="0.2">
      <c r="B27" s="2053"/>
      <c r="C27" s="2053"/>
      <c r="D27" s="2053"/>
    </row>
    <row r="28" spans="2:5" ht="13.5" customHeight="1" x14ac:dyDescent="0.2">
      <c r="B28" s="2053"/>
      <c r="C28" s="2053"/>
      <c r="D28" s="2053"/>
    </row>
    <row r="29" spans="2:5" ht="13.5" customHeight="1" x14ac:dyDescent="0.2">
      <c r="B29" s="2053"/>
      <c r="C29" s="2053"/>
      <c r="D29" s="2053"/>
    </row>
    <row r="30" spans="2:5" ht="13.5" customHeight="1" x14ac:dyDescent="0.2">
      <c r="B30" s="2054"/>
      <c r="C30" s="2054"/>
      <c r="D30" s="2054"/>
      <c r="E30" s="2054"/>
    </row>
    <row r="31" spans="2:5" ht="12.2" customHeight="1" x14ac:dyDescent="0.2">
      <c r="B31" s="2055" t="s">
        <v>2085</v>
      </c>
      <c r="C31" s="2055"/>
      <c r="D31" s="2055"/>
    </row>
    <row r="32" spans="2:5" ht="12.2" customHeight="1" x14ac:dyDescent="0.2">
      <c r="B32" s="2056"/>
      <c r="C32" s="2056"/>
      <c r="D32" s="2056"/>
    </row>
    <row r="33" spans="2:4" ht="12.75" customHeight="1" x14ac:dyDescent="0.2">
      <c r="B33" s="2047"/>
      <c r="C33" s="2047"/>
      <c r="D33" s="2047"/>
    </row>
    <row r="34" spans="2:4" ht="12.75" customHeight="1" x14ac:dyDescent="0.2">
      <c r="B34" s="2047"/>
      <c r="C34" s="2047"/>
      <c r="D34" s="2047"/>
    </row>
    <row r="35" spans="2:4" x14ac:dyDescent="0.2">
      <c r="B35" s="2047"/>
      <c r="C35" s="2047"/>
      <c r="D35" s="2047"/>
    </row>
    <row r="36" spans="2:4" x14ac:dyDescent="0.2">
      <c r="B36" s="2047"/>
      <c r="C36" s="2047"/>
      <c r="D36" s="2047"/>
    </row>
    <row r="40" spans="2:4" x14ac:dyDescent="0.2">
      <c r="B40" s="2057"/>
      <c r="C40" s="2057"/>
      <c r="D40" s="2057"/>
    </row>
    <row r="41" spans="2:4" ht="12.75" customHeight="1" x14ac:dyDescent="0.2"/>
    <row r="42" spans="2:4" ht="12.75" customHeight="1" x14ac:dyDescent="0.2"/>
    <row r="43" spans="2:4" ht="12.75" customHeight="1" x14ac:dyDescent="0.2"/>
    <row r="44" spans="2:4" ht="12.75" customHeight="1" x14ac:dyDescent="0.2"/>
    <row r="45" spans="2:4" ht="12.75" customHeight="1" x14ac:dyDescent="0.2"/>
    <row r="46" spans="2:4" ht="12.75" customHeight="1" x14ac:dyDescent="0.2"/>
    <row r="47" spans="2:4" ht="12.75" customHeight="1" x14ac:dyDescent="0.2"/>
    <row r="48" spans="2:4" ht="12.75" customHeight="1" x14ac:dyDescent="0.2"/>
    <row r="49" spans="2:4" ht="12.75" customHeight="1" x14ac:dyDescent="0.2"/>
    <row r="53" spans="2:4" x14ac:dyDescent="0.2">
      <c r="B53" s="2058"/>
      <c r="C53" s="2058"/>
      <c r="D53" s="2058"/>
    </row>
    <row r="54" spans="2:4" x14ac:dyDescent="0.2">
      <c r="B54" s="2047"/>
      <c r="C54" s="2047"/>
      <c r="D54" s="2047"/>
    </row>
    <row r="55" spans="2:4" x14ac:dyDescent="0.2">
      <c r="B55" s="2047"/>
      <c r="C55" s="2047"/>
      <c r="D55" s="2047"/>
    </row>
    <row r="56" spans="2:4" x14ac:dyDescent="0.2">
      <c r="B56" s="2058"/>
      <c r="C56" s="2058"/>
      <c r="D56" s="2058"/>
    </row>
    <row r="57" spans="2:4" x14ac:dyDescent="0.2">
      <c r="B57" s="2058"/>
      <c r="C57" s="2058"/>
      <c r="D57" s="2058"/>
    </row>
    <row r="58" spans="2:4" x14ac:dyDescent="0.2">
      <c r="B58" s="2058"/>
      <c r="C58" s="2058"/>
      <c r="D58" s="2058"/>
    </row>
    <row r="59" spans="2:4" x14ac:dyDescent="0.2">
      <c r="B59" s="2047"/>
      <c r="C59" s="2047"/>
      <c r="D59" s="2047"/>
    </row>
  </sheetData>
  <mergeCells count="6">
    <mergeCell ref="B15:E15"/>
    <mergeCell ref="B2:E2"/>
    <mergeCell ref="B3:E3"/>
    <mergeCell ref="B4:E4"/>
    <mergeCell ref="B5:E5"/>
    <mergeCell ref="B12:E12"/>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6570C-917D-488B-8E28-CDD263B1F3F2}">
  <dimension ref="B1:L59"/>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20" customHeight="1" x14ac:dyDescent="0.2"/>
    <row r="2" spans="2:12" ht="13.5" customHeight="1" x14ac:dyDescent="0.2">
      <c r="B2" s="2914" t="str">
        <f>'Finding 2020-001'!B1</f>
        <v xml:space="preserve">   Peoria Heights CUSD 325</v>
      </c>
      <c r="C2" s="2914"/>
      <c r="D2" s="2914"/>
      <c r="E2" s="2914"/>
      <c r="F2" s="2038"/>
      <c r="G2" s="2038"/>
      <c r="H2" s="2038"/>
      <c r="I2" s="2038"/>
      <c r="J2" s="2038"/>
      <c r="K2" s="2038"/>
      <c r="L2" s="2038"/>
    </row>
    <row r="3" spans="2:12" ht="13.5" customHeight="1" x14ac:dyDescent="0.2">
      <c r="B3" s="2915">
        <f>'CAP 2020-001'!B3</f>
        <v>48072325026</v>
      </c>
      <c r="C3" s="2915"/>
      <c r="D3" s="2915"/>
      <c r="E3" s="2915"/>
      <c r="F3" s="2040"/>
      <c r="G3" s="2040"/>
      <c r="H3" s="2040"/>
      <c r="I3" s="2040"/>
      <c r="J3" s="2040"/>
      <c r="K3" s="2040"/>
      <c r="L3" s="2040"/>
    </row>
    <row r="4" spans="2:12" ht="13.5" customHeight="1" x14ac:dyDescent="0.2">
      <c r="B4" s="2916" t="s">
        <v>2075</v>
      </c>
      <c r="C4" s="2916"/>
      <c r="D4" s="2916"/>
      <c r="E4" s="2916"/>
      <c r="F4" s="2041"/>
      <c r="G4" s="2041"/>
      <c r="H4" s="2041"/>
      <c r="I4" s="2041"/>
      <c r="J4" s="2041"/>
      <c r="K4" s="2041"/>
      <c r="L4" s="2041"/>
    </row>
    <row r="5" spans="2:12" ht="13.5" customHeight="1" x14ac:dyDescent="0.2">
      <c r="B5" s="2917" t="s">
        <v>2087</v>
      </c>
      <c r="C5" s="2917"/>
      <c r="D5" s="2917"/>
      <c r="E5" s="2917"/>
      <c r="F5" s="2042"/>
      <c r="G5" s="2042"/>
      <c r="H5" s="2042"/>
      <c r="I5" s="2042"/>
      <c r="J5" s="2042"/>
      <c r="K5" s="2042"/>
      <c r="L5" s="2042"/>
    </row>
    <row r="6" spans="2:12" ht="29.85" customHeight="1" x14ac:dyDescent="0.2"/>
    <row r="7" spans="2:12" ht="13.5" customHeight="1" x14ac:dyDescent="0.2">
      <c r="B7" s="2043" t="s">
        <v>2076</v>
      </c>
      <c r="C7" s="2043"/>
      <c r="D7" s="2044"/>
      <c r="E7" s="2045"/>
      <c r="F7" s="2045"/>
      <c r="G7" s="2046"/>
      <c r="H7" s="2046"/>
      <c r="I7" s="2046"/>
    </row>
    <row r="8" spans="2:12" ht="13.5" customHeight="1" x14ac:dyDescent="0.2">
      <c r="B8" s="2039" t="s">
        <v>1159</v>
      </c>
    </row>
    <row r="9" spans="2:12" ht="13.5" customHeight="1" x14ac:dyDescent="0.2">
      <c r="B9" s="2047" t="s">
        <v>2077</v>
      </c>
      <c r="C9" s="2048" t="s">
        <v>2078</v>
      </c>
      <c r="D9" s="2049">
        <v>2</v>
      </c>
    </row>
    <row r="10" spans="2:12" ht="13.5" customHeight="1" x14ac:dyDescent="0.2">
      <c r="B10" s="2050"/>
      <c r="C10" s="2050"/>
      <c r="D10" s="2050"/>
    </row>
    <row r="11" spans="2:12" ht="13.5" customHeight="1" x14ac:dyDescent="0.2">
      <c r="B11" s="2047" t="s">
        <v>2079</v>
      </c>
      <c r="C11" s="2047"/>
    </row>
    <row r="12" spans="2:12" ht="47.45" customHeight="1" x14ac:dyDescent="0.2">
      <c r="B12" s="2913" t="s">
        <v>2292</v>
      </c>
      <c r="C12" s="2913"/>
      <c r="D12" s="2913"/>
      <c r="E12" s="2913"/>
    </row>
    <row r="13" spans="2:12" ht="13.5" customHeight="1" x14ac:dyDescent="0.2"/>
    <row r="14" spans="2:12" ht="13.5" customHeight="1" x14ac:dyDescent="0.2">
      <c r="B14" s="2047" t="s">
        <v>2080</v>
      </c>
      <c r="C14" s="2047"/>
    </row>
    <row r="15" spans="2:12" ht="76.5" customHeight="1" x14ac:dyDescent="0.2">
      <c r="B15" s="2913" t="s">
        <v>2291</v>
      </c>
      <c r="C15" s="2913"/>
      <c r="D15" s="2913"/>
      <c r="E15" s="2913"/>
    </row>
    <row r="16" spans="2:12" ht="13.5" customHeight="1" x14ac:dyDescent="0.2"/>
    <row r="17" spans="2:5" ht="13.5" customHeight="1" x14ac:dyDescent="0.2">
      <c r="B17" s="2047" t="s">
        <v>2081</v>
      </c>
      <c r="C17" s="2047"/>
      <c r="E17" s="2052" t="s">
        <v>2323</v>
      </c>
    </row>
    <row r="18" spans="2:5" ht="13.5" customHeight="1" x14ac:dyDescent="0.2"/>
    <row r="19" spans="2:5" ht="13.5" customHeight="1" x14ac:dyDescent="0.2">
      <c r="B19" s="2047" t="s">
        <v>2083</v>
      </c>
      <c r="C19" s="2047"/>
      <c r="E19" s="2052" t="s">
        <v>2086</v>
      </c>
    </row>
    <row r="20" spans="2:5" ht="13.5" customHeight="1" x14ac:dyDescent="0.2"/>
    <row r="21" spans="2:5" ht="13.5" customHeight="1" x14ac:dyDescent="0.2">
      <c r="B21" s="2047" t="s">
        <v>2084</v>
      </c>
      <c r="C21" s="2047"/>
      <c r="E21" s="2913" t="s">
        <v>2312</v>
      </c>
    </row>
    <row r="22" spans="2:5" ht="13.5" customHeight="1" x14ac:dyDescent="0.2">
      <c r="E22" s="2913"/>
    </row>
    <row r="23" spans="2:5" ht="13.5" customHeight="1" x14ac:dyDescent="0.2"/>
    <row r="24" spans="2:5" ht="13.5" customHeight="1" x14ac:dyDescent="0.2">
      <c r="B24" s="2053"/>
      <c r="C24" s="2053"/>
      <c r="D24" s="2053"/>
    </row>
    <row r="25" spans="2:5" ht="13.5" customHeight="1" x14ac:dyDescent="0.2"/>
    <row r="26" spans="2:5" ht="13.5" customHeight="1" x14ac:dyDescent="0.2">
      <c r="B26" s="2053"/>
      <c r="C26" s="2053"/>
      <c r="D26" s="2053"/>
    </row>
    <row r="27" spans="2:5" ht="13.5" customHeight="1" x14ac:dyDescent="0.2">
      <c r="B27" s="2053"/>
      <c r="C27" s="2053"/>
      <c r="D27" s="2053"/>
    </row>
    <row r="28" spans="2:5" ht="13.5" customHeight="1" x14ac:dyDescent="0.2">
      <c r="B28" s="2053"/>
      <c r="C28" s="2053"/>
      <c r="D28" s="2053"/>
    </row>
    <row r="29" spans="2:5" ht="13.5" customHeight="1" x14ac:dyDescent="0.2">
      <c r="B29" s="2053"/>
      <c r="C29" s="2053"/>
      <c r="D29" s="2053"/>
    </row>
    <row r="30" spans="2:5" ht="13.5" customHeight="1" x14ac:dyDescent="0.2">
      <c r="B30" s="2054"/>
      <c r="C30" s="2054"/>
      <c r="D30" s="2054"/>
      <c r="E30" s="2054"/>
    </row>
    <row r="31" spans="2:5" ht="12.2" customHeight="1" x14ac:dyDescent="0.2">
      <c r="B31" s="2055" t="s">
        <v>2085</v>
      </c>
      <c r="C31" s="2055"/>
      <c r="D31" s="2055"/>
    </row>
    <row r="32" spans="2:5" ht="12.2" customHeight="1" x14ac:dyDescent="0.2">
      <c r="B32" s="2056"/>
      <c r="C32" s="2056"/>
      <c r="D32" s="2056"/>
    </row>
    <row r="33" spans="2:4" ht="12.75" customHeight="1" x14ac:dyDescent="0.2">
      <c r="B33" s="2047"/>
      <c r="C33" s="2047"/>
      <c r="D33" s="2047"/>
    </row>
    <row r="34" spans="2:4" ht="12.75" customHeight="1" x14ac:dyDescent="0.2">
      <c r="B34" s="2047"/>
      <c r="C34" s="2047"/>
      <c r="D34" s="2047"/>
    </row>
    <row r="35" spans="2:4" x14ac:dyDescent="0.2">
      <c r="B35" s="2047"/>
      <c r="C35" s="2047"/>
      <c r="D35" s="2047"/>
    </row>
    <row r="36" spans="2:4" x14ac:dyDescent="0.2">
      <c r="B36" s="2047"/>
      <c r="C36" s="2047"/>
      <c r="D36" s="2047"/>
    </row>
    <row r="40" spans="2:4" x14ac:dyDescent="0.2">
      <c r="B40" s="2057"/>
      <c r="C40" s="2057"/>
      <c r="D40" s="2057"/>
    </row>
    <row r="41" spans="2:4" ht="12.75" customHeight="1" x14ac:dyDescent="0.2"/>
    <row r="42" spans="2:4" ht="12.75" customHeight="1" x14ac:dyDescent="0.2"/>
    <row r="43" spans="2:4" ht="12.75" customHeight="1" x14ac:dyDescent="0.2"/>
    <row r="44" spans="2:4" ht="12.75" customHeight="1" x14ac:dyDescent="0.2"/>
    <row r="45" spans="2:4" ht="12.75" customHeight="1" x14ac:dyDescent="0.2"/>
    <row r="46" spans="2:4" ht="12.75" customHeight="1" x14ac:dyDescent="0.2"/>
    <row r="47" spans="2:4" ht="12.75" customHeight="1" x14ac:dyDescent="0.2"/>
    <row r="48" spans="2:4" ht="12.75" customHeight="1" x14ac:dyDescent="0.2"/>
    <row r="49" spans="2:4" ht="12.75" customHeight="1" x14ac:dyDescent="0.2"/>
    <row r="53" spans="2:4" x14ac:dyDescent="0.2">
      <c r="B53" s="2058"/>
      <c r="C53" s="2058"/>
      <c r="D53" s="2058"/>
    </row>
    <row r="54" spans="2:4" x14ac:dyDescent="0.2">
      <c r="B54" s="2047"/>
      <c r="C54" s="2047"/>
      <c r="D54" s="2047"/>
    </row>
    <row r="55" spans="2:4" x14ac:dyDescent="0.2">
      <c r="B55" s="2047"/>
      <c r="C55" s="2047"/>
      <c r="D55" s="2047"/>
    </row>
    <row r="56" spans="2:4" x14ac:dyDescent="0.2">
      <c r="B56" s="2058"/>
      <c r="C56" s="2058"/>
      <c r="D56" s="2058"/>
    </row>
    <row r="57" spans="2:4" x14ac:dyDescent="0.2">
      <c r="B57" s="2058"/>
      <c r="C57" s="2058"/>
      <c r="D57" s="2058"/>
    </row>
    <row r="58" spans="2:4" x14ac:dyDescent="0.2">
      <c r="B58" s="2058"/>
      <c r="C58" s="2058"/>
      <c r="D58" s="2058"/>
    </row>
    <row r="59" spans="2:4" x14ac:dyDescent="0.2">
      <c r="B59" s="2047"/>
      <c r="C59" s="2047"/>
      <c r="D59" s="2047"/>
    </row>
  </sheetData>
  <mergeCells count="7">
    <mergeCell ref="E21:E22"/>
    <mergeCell ref="B2:E2"/>
    <mergeCell ref="B3:E3"/>
    <mergeCell ref="B4:E4"/>
    <mergeCell ref="B5:E5"/>
    <mergeCell ref="B12:E12"/>
    <mergeCell ref="B15:E15"/>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914DB-AAAC-4698-8A11-6D434F037A20}">
  <dimension ref="B1:L59"/>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20" customHeight="1" x14ac:dyDescent="0.2"/>
    <row r="2" spans="2:12" ht="13.5" customHeight="1" x14ac:dyDescent="0.2">
      <c r="B2" s="2914" t="str">
        <f>'Finding 2020-001'!B1</f>
        <v xml:space="preserve">   Peoria Heights CUSD 325</v>
      </c>
      <c r="C2" s="2914"/>
      <c r="D2" s="2914"/>
      <c r="E2" s="2914"/>
      <c r="F2" s="2038"/>
      <c r="G2" s="2038"/>
      <c r="H2" s="2038"/>
      <c r="I2" s="2038"/>
      <c r="J2" s="2038"/>
      <c r="K2" s="2038"/>
      <c r="L2" s="2038"/>
    </row>
    <row r="3" spans="2:12" ht="13.5" customHeight="1" x14ac:dyDescent="0.2">
      <c r="B3" s="2915">
        <f>'CAP 2020-002'!B3</f>
        <v>48072325026</v>
      </c>
      <c r="C3" s="2915"/>
      <c r="D3" s="2915"/>
      <c r="E3" s="2915"/>
      <c r="F3" s="2040"/>
      <c r="G3" s="2040"/>
      <c r="H3" s="2040"/>
      <c r="I3" s="2040"/>
      <c r="J3" s="2040"/>
      <c r="K3" s="2040"/>
      <c r="L3" s="2040"/>
    </row>
    <row r="4" spans="2:12" ht="13.5" customHeight="1" x14ac:dyDescent="0.2">
      <c r="B4" s="2916" t="s">
        <v>2075</v>
      </c>
      <c r="C4" s="2916"/>
      <c r="D4" s="2916"/>
      <c r="E4" s="2916"/>
      <c r="F4" s="2041"/>
      <c r="G4" s="2041"/>
      <c r="H4" s="2041"/>
      <c r="I4" s="2041"/>
      <c r="J4" s="2041"/>
      <c r="K4" s="2041"/>
      <c r="L4" s="2041"/>
    </row>
    <row r="5" spans="2:12" ht="13.5" customHeight="1" x14ac:dyDescent="0.2">
      <c r="B5" s="2917" t="s">
        <v>2087</v>
      </c>
      <c r="C5" s="2917"/>
      <c r="D5" s="2917"/>
      <c r="E5" s="2917"/>
      <c r="F5" s="2042"/>
      <c r="G5" s="2042"/>
      <c r="H5" s="2042"/>
      <c r="I5" s="2042"/>
      <c r="J5" s="2042"/>
      <c r="K5" s="2042"/>
      <c r="L5" s="2042"/>
    </row>
    <row r="6" spans="2:12" ht="29.85" customHeight="1" x14ac:dyDescent="0.2"/>
    <row r="7" spans="2:12" ht="13.5" customHeight="1" x14ac:dyDescent="0.2">
      <c r="B7" s="2043" t="s">
        <v>2076</v>
      </c>
      <c r="C7" s="2043"/>
      <c r="D7" s="2044"/>
      <c r="E7" s="2045"/>
      <c r="F7" s="2045"/>
      <c r="G7" s="2046"/>
      <c r="H7" s="2046"/>
      <c r="I7" s="2046"/>
    </row>
    <row r="8" spans="2:12" ht="13.5" customHeight="1" x14ac:dyDescent="0.2">
      <c r="B8" s="2039" t="s">
        <v>1159</v>
      </c>
    </row>
    <row r="9" spans="2:12" ht="13.5" customHeight="1" x14ac:dyDescent="0.2">
      <c r="B9" s="2047" t="s">
        <v>2077</v>
      </c>
      <c r="C9" s="2048" t="s">
        <v>2078</v>
      </c>
      <c r="D9" s="2049">
        <v>3</v>
      </c>
    </row>
    <row r="10" spans="2:12" ht="13.5" customHeight="1" x14ac:dyDescent="0.2">
      <c r="B10" s="2050"/>
      <c r="C10" s="2050"/>
      <c r="D10" s="2050"/>
    </row>
    <row r="11" spans="2:12" ht="13.5" customHeight="1" x14ac:dyDescent="0.2">
      <c r="B11" s="2047" t="s">
        <v>2079</v>
      </c>
      <c r="C11" s="2047"/>
    </row>
    <row r="12" spans="2:12" ht="49.5" customHeight="1" x14ac:dyDescent="0.2">
      <c r="B12" s="2913" t="str">
        <f>'Finding 2020-003'!B17</f>
        <v>Bank reconciliations were not performed timely during the year.</v>
      </c>
      <c r="C12" s="2913"/>
      <c r="D12" s="2913"/>
      <c r="E12" s="2913"/>
    </row>
    <row r="13" spans="2:12" ht="13.5" customHeight="1" x14ac:dyDescent="0.2"/>
    <row r="14" spans="2:12" ht="13.5" customHeight="1" x14ac:dyDescent="0.2">
      <c r="B14" s="2047" t="s">
        <v>2080</v>
      </c>
      <c r="C14" s="2047"/>
    </row>
    <row r="15" spans="2:12" ht="76.5" customHeight="1" x14ac:dyDescent="0.2">
      <c r="B15" s="2913" t="str">
        <f>'Finding 2020-003'!B32</f>
        <v>A review of the procedures for reconciling the accounting records for cash to the monthly bank statements on a monthly basis will be made.  Existing procedures will be updated and/or new procedures will be implemented.</v>
      </c>
      <c r="C15" s="2913"/>
      <c r="D15" s="2913"/>
      <c r="E15" s="2913"/>
    </row>
    <row r="16" spans="2:12" ht="13.5" customHeight="1" x14ac:dyDescent="0.2"/>
    <row r="17" spans="2:5" ht="13.5" customHeight="1" x14ac:dyDescent="0.2">
      <c r="B17" s="2047" t="s">
        <v>2081</v>
      </c>
      <c r="C17" s="2047"/>
      <c r="E17" s="2052" t="s">
        <v>2082</v>
      </c>
    </row>
    <row r="18" spans="2:5" ht="13.5" customHeight="1" x14ac:dyDescent="0.2"/>
    <row r="19" spans="2:5" ht="13.5" customHeight="1" x14ac:dyDescent="0.2">
      <c r="B19" s="2047" t="s">
        <v>2083</v>
      </c>
      <c r="C19" s="2047"/>
      <c r="E19" s="2052" t="s">
        <v>2086</v>
      </c>
    </row>
    <row r="20" spans="2:5" ht="13.5" customHeight="1" x14ac:dyDescent="0.2"/>
    <row r="21" spans="2:5" ht="13.5" customHeight="1" x14ac:dyDescent="0.2">
      <c r="B21" s="2047" t="s">
        <v>2084</v>
      </c>
      <c r="C21" s="2047"/>
      <c r="E21" s="2913" t="s">
        <v>2250</v>
      </c>
    </row>
    <row r="22" spans="2:5" ht="13.5" customHeight="1" x14ac:dyDescent="0.2">
      <c r="E22" s="2913"/>
    </row>
    <row r="23" spans="2:5" ht="13.5" customHeight="1" x14ac:dyDescent="0.2"/>
    <row r="24" spans="2:5" ht="13.5" customHeight="1" x14ac:dyDescent="0.2">
      <c r="B24" s="2053"/>
      <c r="C24" s="2053"/>
      <c r="D24" s="2053"/>
    </row>
    <row r="25" spans="2:5" ht="13.5" customHeight="1" x14ac:dyDescent="0.2"/>
    <row r="26" spans="2:5" ht="13.5" customHeight="1" x14ac:dyDescent="0.2">
      <c r="B26" s="2053"/>
      <c r="C26" s="2053"/>
      <c r="D26" s="2053"/>
    </row>
    <row r="27" spans="2:5" ht="13.5" customHeight="1" x14ac:dyDescent="0.2">
      <c r="B27" s="2053"/>
      <c r="C27" s="2053"/>
      <c r="D27" s="2053"/>
    </row>
    <row r="28" spans="2:5" ht="13.5" customHeight="1" x14ac:dyDescent="0.2">
      <c r="B28" s="2053"/>
      <c r="C28" s="2053"/>
      <c r="D28" s="2053"/>
    </row>
    <row r="29" spans="2:5" ht="13.5" customHeight="1" x14ac:dyDescent="0.2">
      <c r="B29" s="2053"/>
      <c r="C29" s="2053"/>
      <c r="D29" s="2053"/>
    </row>
    <row r="30" spans="2:5" ht="13.5" customHeight="1" x14ac:dyDescent="0.2">
      <c r="B30" s="2054"/>
      <c r="C30" s="2054"/>
      <c r="D30" s="2054"/>
      <c r="E30" s="2054"/>
    </row>
    <row r="31" spans="2:5" ht="12.2" customHeight="1" x14ac:dyDescent="0.2">
      <c r="B31" s="2055" t="s">
        <v>2085</v>
      </c>
      <c r="C31" s="2055"/>
      <c r="D31" s="2055"/>
    </row>
    <row r="32" spans="2:5" ht="12.2" customHeight="1" x14ac:dyDescent="0.2">
      <c r="B32" s="2056"/>
      <c r="C32" s="2056"/>
      <c r="D32" s="2056"/>
    </row>
    <row r="33" spans="2:4" ht="12.75" customHeight="1" x14ac:dyDescent="0.2">
      <c r="B33" s="2047"/>
      <c r="C33" s="2047"/>
      <c r="D33" s="2047"/>
    </row>
    <row r="34" spans="2:4" ht="12.75" customHeight="1" x14ac:dyDescent="0.2">
      <c r="B34" s="2047"/>
      <c r="C34" s="2047"/>
      <c r="D34" s="2047"/>
    </row>
    <row r="35" spans="2:4" x14ac:dyDescent="0.2">
      <c r="B35" s="2047"/>
      <c r="C35" s="2047"/>
      <c r="D35" s="2047"/>
    </row>
    <row r="36" spans="2:4" x14ac:dyDescent="0.2">
      <c r="B36" s="2047"/>
      <c r="C36" s="2047"/>
      <c r="D36" s="2047"/>
    </row>
    <row r="40" spans="2:4" x14ac:dyDescent="0.2">
      <c r="B40" s="2057"/>
      <c r="C40" s="2057"/>
      <c r="D40" s="2057"/>
    </row>
    <row r="41" spans="2:4" ht="12.75" customHeight="1" x14ac:dyDescent="0.2"/>
    <row r="42" spans="2:4" ht="12.75" customHeight="1" x14ac:dyDescent="0.2"/>
    <row r="43" spans="2:4" ht="12.75" customHeight="1" x14ac:dyDescent="0.2"/>
    <row r="44" spans="2:4" ht="12.75" customHeight="1" x14ac:dyDescent="0.2"/>
    <row r="45" spans="2:4" ht="12.75" customHeight="1" x14ac:dyDescent="0.2"/>
    <row r="46" spans="2:4" ht="12.75" customHeight="1" x14ac:dyDescent="0.2"/>
    <row r="47" spans="2:4" ht="12.75" customHeight="1" x14ac:dyDescent="0.2"/>
    <row r="48" spans="2:4" ht="12.75" customHeight="1" x14ac:dyDescent="0.2"/>
    <row r="49" spans="2:4" ht="12.75" customHeight="1" x14ac:dyDescent="0.2"/>
    <row r="53" spans="2:4" x14ac:dyDescent="0.2">
      <c r="B53" s="2058"/>
      <c r="C53" s="2058"/>
      <c r="D53" s="2058"/>
    </row>
    <row r="54" spans="2:4" x14ac:dyDescent="0.2">
      <c r="B54" s="2047"/>
      <c r="C54" s="2047"/>
      <c r="D54" s="2047"/>
    </row>
    <row r="55" spans="2:4" x14ac:dyDescent="0.2">
      <c r="B55" s="2047"/>
      <c r="C55" s="2047"/>
      <c r="D55" s="2047"/>
    </row>
    <row r="56" spans="2:4" x14ac:dyDescent="0.2">
      <c r="B56" s="2058"/>
      <c r="C56" s="2058"/>
      <c r="D56" s="2058"/>
    </row>
    <row r="57" spans="2:4" x14ac:dyDescent="0.2">
      <c r="B57" s="2058"/>
      <c r="C57" s="2058"/>
      <c r="D57" s="2058"/>
    </row>
    <row r="58" spans="2:4" x14ac:dyDescent="0.2">
      <c r="B58" s="2058"/>
      <c r="C58" s="2058"/>
      <c r="D58" s="2058"/>
    </row>
    <row r="59" spans="2:4" x14ac:dyDescent="0.2">
      <c r="B59" s="2047"/>
      <c r="C59" s="2047"/>
      <c r="D59" s="2047"/>
    </row>
  </sheetData>
  <mergeCells count="7">
    <mergeCell ref="E21:E22"/>
    <mergeCell ref="B2:E2"/>
    <mergeCell ref="B3:E3"/>
    <mergeCell ref="B4:E4"/>
    <mergeCell ref="B5:E5"/>
    <mergeCell ref="B12:E12"/>
    <mergeCell ref="B15:E15"/>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CD7C2-6C17-4640-BD40-7AE0A88B7769}">
  <dimension ref="B1:L59"/>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20" customHeight="1" x14ac:dyDescent="0.2"/>
    <row r="2" spans="2:12" ht="13.5" customHeight="1" x14ac:dyDescent="0.2">
      <c r="B2" s="2914" t="str">
        <f>'CAP 2020-001'!B2</f>
        <v xml:space="preserve">   Peoria Heights CUSD 325</v>
      </c>
      <c r="C2" s="2914"/>
      <c r="D2" s="2914"/>
      <c r="E2" s="2914"/>
      <c r="F2" s="2038"/>
      <c r="G2" s="2038"/>
      <c r="H2" s="2038"/>
      <c r="I2" s="2038"/>
      <c r="J2" s="2038"/>
      <c r="K2" s="2038"/>
      <c r="L2" s="2038"/>
    </row>
    <row r="3" spans="2:12" ht="13.5" customHeight="1" x14ac:dyDescent="0.2">
      <c r="B3" s="2915">
        <f>'CAP 2020-001'!B3</f>
        <v>48072325026</v>
      </c>
      <c r="C3" s="2915"/>
      <c r="D3" s="2915"/>
      <c r="E3" s="2915"/>
      <c r="F3" s="2040"/>
      <c r="G3" s="2040"/>
      <c r="H3" s="2040"/>
      <c r="I3" s="2040"/>
      <c r="J3" s="2040"/>
      <c r="K3" s="2040"/>
      <c r="L3" s="2040"/>
    </row>
    <row r="4" spans="2:12" ht="13.5" customHeight="1" x14ac:dyDescent="0.2">
      <c r="B4" s="2916" t="s">
        <v>2075</v>
      </c>
      <c r="C4" s="2916"/>
      <c r="D4" s="2916"/>
      <c r="E4" s="2916"/>
      <c r="F4" s="2041"/>
      <c r="G4" s="2041"/>
      <c r="H4" s="2041"/>
      <c r="I4" s="2041"/>
      <c r="J4" s="2041"/>
      <c r="K4" s="2041"/>
      <c r="L4" s="2041"/>
    </row>
    <row r="5" spans="2:12" ht="13.5" customHeight="1" x14ac:dyDescent="0.2">
      <c r="B5" s="2917" t="s">
        <v>2087</v>
      </c>
      <c r="C5" s="2917"/>
      <c r="D5" s="2917"/>
      <c r="E5" s="2917"/>
      <c r="F5" s="2042"/>
      <c r="G5" s="2042"/>
      <c r="H5" s="2042"/>
      <c r="I5" s="2042"/>
      <c r="J5" s="2042"/>
      <c r="K5" s="2042"/>
      <c r="L5" s="2042"/>
    </row>
    <row r="6" spans="2:12" ht="29.85" customHeight="1" x14ac:dyDescent="0.2"/>
    <row r="7" spans="2:12" ht="13.5" customHeight="1" x14ac:dyDescent="0.2">
      <c r="B7" s="2043" t="s">
        <v>2076</v>
      </c>
      <c r="C7" s="2043"/>
      <c r="D7" s="2044"/>
      <c r="E7" s="2045"/>
      <c r="F7" s="2045"/>
      <c r="G7" s="2046"/>
      <c r="H7" s="2046"/>
      <c r="I7" s="2046"/>
    </row>
    <row r="8" spans="2:12" ht="13.5" customHeight="1" x14ac:dyDescent="0.2">
      <c r="B8" s="2039" t="s">
        <v>1159</v>
      </c>
    </row>
    <row r="9" spans="2:12" ht="13.5" customHeight="1" x14ac:dyDescent="0.2">
      <c r="B9" s="2047" t="s">
        <v>2077</v>
      </c>
      <c r="C9" s="2048" t="s">
        <v>2078</v>
      </c>
      <c r="D9" s="2049">
        <v>4</v>
      </c>
    </row>
    <row r="10" spans="2:12" ht="13.5" customHeight="1" x14ac:dyDescent="0.2">
      <c r="B10" s="2050"/>
      <c r="C10" s="2050"/>
      <c r="D10" s="2050"/>
    </row>
    <row r="11" spans="2:12" ht="13.5" customHeight="1" x14ac:dyDescent="0.2">
      <c r="B11" s="2047" t="s">
        <v>2079</v>
      </c>
      <c r="C11" s="2047"/>
    </row>
    <row r="12" spans="2:12" ht="88.5" customHeight="1" x14ac:dyDescent="0.2">
      <c r="B12" s="2913" t="s">
        <v>2299</v>
      </c>
      <c r="C12" s="2913"/>
      <c r="D12" s="2913"/>
      <c r="E12" s="2913"/>
    </row>
    <row r="13" spans="2:12" ht="13.5" customHeight="1" x14ac:dyDescent="0.2"/>
    <row r="14" spans="2:12" ht="13.5" customHeight="1" x14ac:dyDescent="0.2">
      <c r="B14" s="2047" t="s">
        <v>2080</v>
      </c>
      <c r="C14" s="2047"/>
    </row>
    <row r="15" spans="2:12" ht="36" customHeight="1" x14ac:dyDescent="0.2">
      <c r="B15" s="2913" t="s">
        <v>2263</v>
      </c>
      <c r="C15" s="2913"/>
      <c r="D15" s="2913"/>
      <c r="E15" s="2913"/>
    </row>
    <row r="16" spans="2:12" ht="13.5" customHeight="1" x14ac:dyDescent="0.2"/>
    <row r="17" spans="2:5" ht="13.5" customHeight="1" x14ac:dyDescent="0.2">
      <c r="B17" s="2047" t="s">
        <v>2081</v>
      </c>
      <c r="C17" s="2047"/>
      <c r="E17" s="2052" t="s">
        <v>2264</v>
      </c>
    </row>
    <row r="18" spans="2:5" ht="13.5" customHeight="1" x14ac:dyDescent="0.2"/>
    <row r="19" spans="2:5" ht="13.5" customHeight="1" x14ac:dyDescent="0.2">
      <c r="B19" s="2047" t="s">
        <v>2083</v>
      </c>
      <c r="C19" s="2047"/>
      <c r="E19" s="2052" t="str">
        <f>'CAP 2020-001'!E19</f>
        <v>Dr. Eric Heath, Superintendent</v>
      </c>
    </row>
    <row r="20" spans="2:5" ht="13.5" customHeight="1" x14ac:dyDescent="0.2"/>
    <row r="21" spans="2:5" ht="13.5" customHeight="1" x14ac:dyDescent="0.2">
      <c r="B21" s="2047" t="s">
        <v>2084</v>
      </c>
      <c r="C21" s="2047"/>
      <c r="E21" s="2052" t="s">
        <v>2313</v>
      </c>
    </row>
    <row r="22" spans="2:5" ht="13.5" customHeight="1" x14ac:dyDescent="0.2">
      <c r="E22" s="2052"/>
    </row>
    <row r="23" spans="2:5" ht="13.5" customHeight="1" x14ac:dyDescent="0.2"/>
    <row r="24" spans="2:5" ht="13.5" customHeight="1" x14ac:dyDescent="0.2">
      <c r="B24" s="2053"/>
      <c r="C24" s="2053"/>
      <c r="D24" s="2053"/>
    </row>
    <row r="25" spans="2:5" ht="13.5" customHeight="1" x14ac:dyDescent="0.2"/>
    <row r="26" spans="2:5" ht="13.5" customHeight="1" x14ac:dyDescent="0.2">
      <c r="B26" s="2053"/>
      <c r="C26" s="2053"/>
      <c r="D26" s="2053"/>
    </row>
    <row r="27" spans="2:5" ht="13.5" customHeight="1" x14ac:dyDescent="0.2">
      <c r="B27" s="2053"/>
      <c r="C27" s="2053"/>
      <c r="D27" s="2053"/>
    </row>
    <row r="28" spans="2:5" ht="13.5" customHeight="1" x14ac:dyDescent="0.2">
      <c r="B28" s="2053"/>
      <c r="C28" s="2053"/>
      <c r="D28" s="2053"/>
    </row>
    <row r="29" spans="2:5" ht="13.5" customHeight="1" x14ac:dyDescent="0.2">
      <c r="B29" s="2053"/>
      <c r="C29" s="2053"/>
      <c r="D29" s="2053"/>
    </row>
    <row r="30" spans="2:5" ht="13.5" customHeight="1" x14ac:dyDescent="0.2">
      <c r="B30" s="2054"/>
      <c r="C30" s="2054"/>
      <c r="D30" s="2054"/>
      <c r="E30" s="2054"/>
    </row>
    <row r="31" spans="2:5" ht="12.2" customHeight="1" x14ac:dyDescent="0.2">
      <c r="B31" s="2055" t="s">
        <v>2085</v>
      </c>
      <c r="C31" s="2055"/>
      <c r="D31" s="2055"/>
    </row>
    <row r="32" spans="2:5" ht="12.2" customHeight="1" x14ac:dyDescent="0.2">
      <c r="B32" s="2056"/>
      <c r="C32" s="2056"/>
      <c r="D32" s="2056"/>
    </row>
    <row r="33" spans="2:4" ht="12.75" customHeight="1" x14ac:dyDescent="0.2">
      <c r="B33" s="2047"/>
      <c r="C33" s="2047"/>
      <c r="D33" s="2047"/>
    </row>
    <row r="34" spans="2:4" ht="12.75" customHeight="1" x14ac:dyDescent="0.2">
      <c r="B34" s="2047"/>
      <c r="C34" s="2047"/>
      <c r="D34" s="2047"/>
    </row>
    <row r="35" spans="2:4" x14ac:dyDescent="0.2">
      <c r="B35" s="2047"/>
      <c r="C35" s="2047"/>
      <c r="D35" s="2047"/>
    </row>
    <row r="36" spans="2:4" x14ac:dyDescent="0.2">
      <c r="B36" s="2047"/>
      <c r="C36" s="2047"/>
      <c r="D36" s="2047"/>
    </row>
    <row r="40" spans="2:4" x14ac:dyDescent="0.2">
      <c r="B40" s="2057"/>
      <c r="C40" s="2057"/>
      <c r="D40" s="2057"/>
    </row>
    <row r="41" spans="2:4" ht="12.75" customHeight="1" x14ac:dyDescent="0.2"/>
    <row r="42" spans="2:4" ht="12.75" customHeight="1" x14ac:dyDescent="0.2"/>
    <row r="43" spans="2:4" ht="12.75" customHeight="1" x14ac:dyDescent="0.2"/>
    <row r="44" spans="2:4" ht="12.75" customHeight="1" x14ac:dyDescent="0.2"/>
    <row r="45" spans="2:4" ht="12.75" customHeight="1" x14ac:dyDescent="0.2"/>
    <row r="46" spans="2:4" ht="12.75" customHeight="1" x14ac:dyDescent="0.2"/>
    <row r="47" spans="2:4" ht="12.75" customHeight="1" x14ac:dyDescent="0.2"/>
    <row r="48" spans="2:4" ht="12.75" customHeight="1" x14ac:dyDescent="0.2"/>
    <row r="49" spans="2:4" ht="12.75" customHeight="1" x14ac:dyDescent="0.2"/>
    <row r="53" spans="2:4" x14ac:dyDescent="0.2">
      <c r="B53" s="2058"/>
      <c r="C53" s="2058"/>
      <c r="D53" s="2058"/>
    </row>
    <row r="54" spans="2:4" x14ac:dyDescent="0.2">
      <c r="B54" s="2047"/>
      <c r="C54" s="2047"/>
      <c r="D54" s="2047"/>
    </row>
    <row r="55" spans="2:4" x14ac:dyDescent="0.2">
      <c r="B55" s="2047"/>
      <c r="C55" s="2047"/>
      <c r="D55" s="2047"/>
    </row>
    <row r="56" spans="2:4" x14ac:dyDescent="0.2">
      <c r="B56" s="2058"/>
      <c r="C56" s="2058"/>
      <c r="D56" s="2058"/>
    </row>
    <row r="57" spans="2:4" x14ac:dyDescent="0.2">
      <c r="B57" s="2058"/>
      <c r="C57" s="2058"/>
      <c r="D57" s="2058"/>
    </row>
    <row r="58" spans="2:4" x14ac:dyDescent="0.2">
      <c r="B58" s="2058"/>
      <c r="C58" s="2058"/>
      <c r="D58" s="2058"/>
    </row>
    <row r="59" spans="2:4" x14ac:dyDescent="0.2">
      <c r="B59" s="2047"/>
      <c r="C59" s="2047"/>
      <c r="D59" s="2047"/>
    </row>
  </sheetData>
  <mergeCells count="6">
    <mergeCell ref="B15:E15"/>
    <mergeCell ref="B2:E2"/>
    <mergeCell ref="B3:E3"/>
    <mergeCell ref="B4:E4"/>
    <mergeCell ref="B5:E5"/>
    <mergeCell ref="B12:E12"/>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6DF95-56CD-4200-BC1C-44424DF42738}">
  <dimension ref="B1:L65"/>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20" customHeight="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idden="1" x14ac:dyDescent="0.2"/>
    <row r="12" spans="2:12" x14ac:dyDescent="0.2">
      <c r="B12" s="2918" t="str">
        <f>'CAP 2020-003'!B2</f>
        <v xml:space="preserve">   Peoria Heights CUSD 325</v>
      </c>
      <c r="C12" s="2918"/>
      <c r="D12" s="2918"/>
      <c r="E12" s="2918"/>
      <c r="F12" s="2038"/>
      <c r="G12" s="2038"/>
      <c r="H12" s="2038"/>
      <c r="I12" s="2038"/>
      <c r="J12" s="2038"/>
      <c r="K12" s="2038"/>
      <c r="L12" s="2038"/>
    </row>
    <row r="13" spans="2:12" ht="13.5" customHeight="1" x14ac:dyDescent="0.2">
      <c r="B13" s="2919" t="s">
        <v>2249</v>
      </c>
      <c r="C13" s="2919"/>
      <c r="D13" s="2919"/>
      <c r="E13" s="2919"/>
      <c r="F13" s="2040"/>
      <c r="G13" s="2040"/>
      <c r="H13" s="2040"/>
      <c r="I13" s="2040"/>
      <c r="J13" s="2040"/>
      <c r="K13" s="2040"/>
      <c r="L13" s="2040"/>
    </row>
    <row r="14" spans="2:12" ht="13.5" customHeight="1" x14ac:dyDescent="0.2">
      <c r="B14" s="2916">
        <f>'CAP 2020-003'!B3</f>
        <v>48072325026</v>
      </c>
      <c r="C14" s="2916"/>
      <c r="D14" s="2916"/>
      <c r="E14" s="2916"/>
      <c r="F14" s="2041"/>
      <c r="G14" s="2041"/>
      <c r="H14" s="2041"/>
      <c r="I14" s="2041"/>
      <c r="J14" s="2041"/>
      <c r="K14" s="2041"/>
      <c r="L14" s="2041"/>
    </row>
    <row r="15" spans="2:12" ht="13.5" customHeight="1" x14ac:dyDescent="0.2">
      <c r="B15" s="2917" t="s">
        <v>2087</v>
      </c>
      <c r="C15" s="2917"/>
      <c r="D15" s="2917"/>
      <c r="E15" s="2917"/>
      <c r="F15" s="2042"/>
      <c r="G15" s="2042"/>
      <c r="H15" s="2042"/>
      <c r="I15" s="2042"/>
      <c r="J15" s="2042"/>
      <c r="K15" s="2042"/>
      <c r="L15" s="2042"/>
    </row>
    <row r="16" spans="2:12" ht="29.85" customHeight="1" x14ac:dyDescent="0.2"/>
    <row r="17" spans="2:9" ht="13.5" customHeight="1" x14ac:dyDescent="0.2">
      <c r="B17" s="2043" t="s">
        <v>2076</v>
      </c>
      <c r="C17" s="2043"/>
      <c r="D17" s="2044"/>
      <c r="E17" s="2045"/>
      <c r="F17" s="2045"/>
      <c r="G17" s="2046"/>
      <c r="H17" s="2046"/>
      <c r="I17" s="2046"/>
    </row>
    <row r="18" spans="2:9" ht="13.5" customHeight="1" x14ac:dyDescent="0.2">
      <c r="B18" s="2039" t="s">
        <v>1159</v>
      </c>
    </row>
    <row r="19" spans="2:9" ht="13.5" customHeight="1" x14ac:dyDescent="0.2">
      <c r="B19" s="2047" t="s">
        <v>2077</v>
      </c>
      <c r="C19" s="2048" t="s">
        <v>2078</v>
      </c>
      <c r="D19" s="2049">
        <v>5</v>
      </c>
    </row>
    <row r="20" spans="2:9" ht="13.5" customHeight="1" x14ac:dyDescent="0.2">
      <c r="B20" s="2050"/>
      <c r="C20" s="2050"/>
      <c r="D20" s="2050"/>
    </row>
    <row r="21" spans="2:9" ht="13.5" customHeight="1" x14ac:dyDescent="0.2">
      <c r="B21" s="2047" t="s">
        <v>2079</v>
      </c>
      <c r="C21" s="2047"/>
    </row>
    <row r="22" spans="2:9" ht="66.75" customHeight="1" x14ac:dyDescent="0.2">
      <c r="B22" s="2913" t="s">
        <v>2236</v>
      </c>
      <c r="C22" s="2913"/>
      <c r="D22" s="2913"/>
      <c r="E22" s="2913"/>
    </row>
    <row r="23" spans="2:9" ht="13.5" customHeight="1" x14ac:dyDescent="0.2"/>
    <row r="24" spans="2:9" ht="13.5" customHeight="1" x14ac:dyDescent="0.2">
      <c r="B24" s="2047" t="s">
        <v>2080</v>
      </c>
      <c r="C24" s="2047"/>
    </row>
    <row r="25" spans="2:9" ht="76.5" customHeight="1" x14ac:dyDescent="0.2">
      <c r="B25" s="2913" t="s">
        <v>2316</v>
      </c>
      <c r="C25" s="2913"/>
      <c r="D25" s="2913"/>
      <c r="E25" s="2913"/>
    </row>
    <row r="26" spans="2:9" ht="13.5" customHeight="1" x14ac:dyDescent="0.2"/>
    <row r="27" spans="2:9" ht="13.5" customHeight="1" x14ac:dyDescent="0.2">
      <c r="B27" s="2047" t="s">
        <v>2081</v>
      </c>
      <c r="C27" s="2047"/>
      <c r="E27" s="2051" t="str">
        <f>'CAP 2020-003'!E17</f>
        <v>June 30, 2021</v>
      </c>
    </row>
    <row r="28" spans="2:9" ht="13.5" customHeight="1" x14ac:dyDescent="0.2"/>
    <row r="29" spans="2:9" ht="13.5" customHeight="1" x14ac:dyDescent="0.2">
      <c r="B29" s="2047" t="s">
        <v>2083</v>
      </c>
      <c r="C29" s="2047"/>
      <c r="E29" s="2052" t="str">
        <f>'CAP 2020-003'!E19</f>
        <v>Dr. Eric Heath, Superintendent</v>
      </c>
    </row>
    <row r="30" spans="2:9" ht="13.5" customHeight="1" x14ac:dyDescent="0.2"/>
    <row r="31" spans="2:9" ht="39.950000000000003" customHeight="1" x14ac:dyDescent="0.2">
      <c r="B31" s="2306" t="s">
        <v>2084</v>
      </c>
      <c r="C31" s="2047"/>
      <c r="E31" s="2307" t="s">
        <v>2317</v>
      </c>
    </row>
    <row r="32" spans="2:9" ht="13.5" customHeight="1" x14ac:dyDescent="0.2">
      <c r="B32" s="2053"/>
      <c r="C32" s="2053"/>
      <c r="D32" s="2053"/>
    </row>
    <row r="33" spans="2:5" ht="13.5" customHeight="1" x14ac:dyDescent="0.2">
      <c r="B33" s="2053"/>
      <c r="C33" s="2053"/>
      <c r="D33" s="2053"/>
    </row>
    <row r="34" spans="2:5" ht="13.5" customHeight="1" x14ac:dyDescent="0.2">
      <c r="B34" s="2053"/>
      <c r="C34" s="2053"/>
      <c r="D34" s="2053"/>
    </row>
    <row r="35" spans="2:5" ht="13.5" customHeight="1" x14ac:dyDescent="0.2">
      <c r="B35" s="2053"/>
      <c r="C35" s="2053"/>
      <c r="D35" s="2053"/>
    </row>
    <row r="36" spans="2:5" ht="13.5" customHeight="1" x14ac:dyDescent="0.2">
      <c r="B36" s="2054"/>
      <c r="C36" s="2054"/>
      <c r="D36" s="2054"/>
      <c r="E36" s="2054"/>
    </row>
    <row r="37" spans="2:5" ht="12.2" customHeight="1" x14ac:dyDescent="0.2">
      <c r="B37" s="2055" t="s">
        <v>2085</v>
      </c>
      <c r="C37" s="2055"/>
      <c r="D37" s="2055"/>
    </row>
    <row r="38" spans="2:5" ht="12.2" customHeight="1" x14ac:dyDescent="0.2">
      <c r="B38" s="2056"/>
      <c r="C38" s="2056"/>
      <c r="D38" s="2056"/>
    </row>
    <row r="39" spans="2:5" ht="12.75" customHeight="1" x14ac:dyDescent="0.2">
      <c r="B39" s="2047"/>
      <c r="C39" s="2047"/>
      <c r="D39" s="2047"/>
    </row>
    <row r="40" spans="2:5" ht="12.75" customHeight="1" x14ac:dyDescent="0.2">
      <c r="B40" s="2047"/>
      <c r="C40" s="2047"/>
      <c r="D40" s="2047"/>
    </row>
    <row r="41" spans="2:5" x14ac:dyDescent="0.2">
      <c r="B41" s="2047"/>
      <c r="C41" s="2047"/>
      <c r="D41" s="2047"/>
    </row>
    <row r="42" spans="2:5" x14ac:dyDescent="0.2">
      <c r="B42" s="2047"/>
      <c r="C42" s="2047"/>
      <c r="D42" s="2047"/>
    </row>
    <row r="46" spans="2:5" x14ac:dyDescent="0.2">
      <c r="B46" s="2057"/>
      <c r="C46" s="2057"/>
      <c r="D46" s="2057"/>
    </row>
    <row r="47" spans="2:5" ht="12.75" customHeight="1" x14ac:dyDescent="0.2"/>
    <row r="48" spans="2:5" ht="12.75" customHeight="1" x14ac:dyDescent="0.2"/>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9" spans="2:4" x14ac:dyDescent="0.2">
      <c r="B59" s="2058"/>
      <c r="C59" s="2058"/>
      <c r="D59" s="2058"/>
    </row>
    <row r="60" spans="2:4" x14ac:dyDescent="0.2">
      <c r="B60" s="2047"/>
      <c r="C60" s="2047"/>
      <c r="D60" s="2047"/>
    </row>
    <row r="61" spans="2:4" x14ac:dyDescent="0.2">
      <c r="B61" s="2047"/>
      <c r="C61" s="2047"/>
      <c r="D61" s="2047"/>
    </row>
    <row r="62" spans="2:4" x14ac:dyDescent="0.2">
      <c r="B62" s="2058"/>
      <c r="C62" s="2058"/>
      <c r="D62" s="2058"/>
    </row>
    <row r="63" spans="2:4" x14ac:dyDescent="0.2">
      <c r="B63" s="2058"/>
      <c r="C63" s="2058"/>
      <c r="D63" s="2058"/>
    </row>
    <row r="64" spans="2:4" x14ac:dyDescent="0.2">
      <c r="B64" s="2058"/>
      <c r="C64" s="2058"/>
      <c r="D64" s="2058"/>
    </row>
    <row r="65" spans="2:4" x14ac:dyDescent="0.2">
      <c r="B65" s="2047"/>
      <c r="C65" s="2047"/>
      <c r="D65" s="2047"/>
    </row>
  </sheetData>
  <mergeCells count="6">
    <mergeCell ref="B25:E25"/>
    <mergeCell ref="B12:E12"/>
    <mergeCell ref="B13:E13"/>
    <mergeCell ref="B14:E14"/>
    <mergeCell ref="B15:E15"/>
    <mergeCell ref="B22:E22"/>
  </mergeCells>
  <printOptions horizontalCentered="1"/>
  <pageMargins left="0.25" right="0.27" top="0.68" bottom="1.28" header="0.26" footer="0.27"/>
  <pageSetup firstPageNumber="44" fitToHeight="0" orientation="portrait" useFirstPageNumber="1" r:id="rId1"/>
  <headerFooter alignWithMargins="0">
    <oddHeader>&amp;L&amp;8Page 46&amp;R&amp;8Page 46</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4F18A-4CE1-4E30-BD3D-9F019820168A}">
  <dimension ref="B1:L65"/>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20" customHeight="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idden="1" x14ac:dyDescent="0.2"/>
    <row r="12" spans="2:12" x14ac:dyDescent="0.2">
      <c r="B12" s="2918" t="str">
        <f>'CAP 2020-005'!B12</f>
        <v xml:space="preserve">   Peoria Heights CUSD 325</v>
      </c>
      <c r="C12" s="2918"/>
      <c r="D12" s="2918"/>
      <c r="E12" s="2918"/>
      <c r="F12" s="2038"/>
      <c r="G12" s="2038"/>
      <c r="H12" s="2038"/>
      <c r="I12" s="2038"/>
      <c r="J12" s="2038"/>
      <c r="K12" s="2038"/>
      <c r="L12" s="2038"/>
    </row>
    <row r="13" spans="2:12" ht="13.5" customHeight="1" x14ac:dyDescent="0.2">
      <c r="B13" s="2919" t="s">
        <v>2249</v>
      </c>
      <c r="C13" s="2919"/>
      <c r="D13" s="2919"/>
      <c r="E13" s="2919"/>
      <c r="F13" s="2040"/>
      <c r="G13" s="2040"/>
      <c r="H13" s="2040"/>
      <c r="I13" s="2040"/>
      <c r="J13" s="2040"/>
      <c r="K13" s="2040"/>
      <c r="L13" s="2040"/>
    </row>
    <row r="14" spans="2:12" ht="13.5" customHeight="1" x14ac:dyDescent="0.2">
      <c r="B14" s="2916">
        <f>'CAP 2020-005'!B14</f>
        <v>48072325026</v>
      </c>
      <c r="C14" s="2916"/>
      <c r="D14" s="2916"/>
      <c r="E14" s="2916"/>
      <c r="F14" s="2041"/>
      <c r="G14" s="2041"/>
      <c r="H14" s="2041"/>
      <c r="I14" s="2041"/>
      <c r="J14" s="2041"/>
      <c r="K14" s="2041"/>
      <c r="L14" s="2041"/>
    </row>
    <row r="15" spans="2:12" ht="13.5" customHeight="1" x14ac:dyDescent="0.2">
      <c r="B15" s="2917" t="s">
        <v>2087</v>
      </c>
      <c r="C15" s="2917"/>
      <c r="D15" s="2917"/>
      <c r="E15" s="2917"/>
      <c r="F15" s="2042"/>
      <c r="G15" s="2042"/>
      <c r="H15" s="2042"/>
      <c r="I15" s="2042"/>
      <c r="J15" s="2042"/>
      <c r="K15" s="2042"/>
      <c r="L15" s="2042"/>
    </row>
    <row r="16" spans="2:12" ht="29.85" customHeight="1" x14ac:dyDescent="0.2"/>
    <row r="17" spans="2:9" ht="13.5" customHeight="1" x14ac:dyDescent="0.2">
      <c r="B17" s="2043" t="s">
        <v>2076</v>
      </c>
      <c r="C17" s="2043"/>
      <c r="D17" s="2044"/>
      <c r="E17" s="2045"/>
      <c r="F17" s="2045"/>
      <c r="G17" s="2046"/>
      <c r="H17" s="2046"/>
      <c r="I17" s="2046"/>
    </row>
    <row r="18" spans="2:9" ht="13.5" customHeight="1" x14ac:dyDescent="0.2">
      <c r="B18" s="2039" t="s">
        <v>1159</v>
      </c>
    </row>
    <row r="19" spans="2:9" ht="13.5" customHeight="1" x14ac:dyDescent="0.2">
      <c r="B19" s="2047" t="s">
        <v>2077</v>
      </c>
      <c r="C19" s="2048" t="s">
        <v>2078</v>
      </c>
      <c r="D19" s="2049">
        <v>6</v>
      </c>
    </row>
    <row r="20" spans="2:9" ht="13.5" customHeight="1" x14ac:dyDescent="0.2">
      <c r="B20" s="2050"/>
      <c r="C20" s="2050"/>
      <c r="D20" s="2050"/>
    </row>
    <row r="21" spans="2:9" ht="13.5" customHeight="1" x14ac:dyDescent="0.2">
      <c r="B21" s="2047" t="s">
        <v>2079</v>
      </c>
      <c r="C21" s="2047"/>
    </row>
    <row r="22" spans="2:9" ht="66.75" customHeight="1" x14ac:dyDescent="0.2">
      <c r="B22" s="2920" t="s">
        <v>2301</v>
      </c>
      <c r="C22" s="2920"/>
      <c r="D22" s="2920"/>
      <c r="E22" s="2920"/>
    </row>
    <row r="23" spans="2:9" ht="13.5" customHeight="1" x14ac:dyDescent="0.2"/>
    <row r="24" spans="2:9" ht="13.5" customHeight="1" x14ac:dyDescent="0.2">
      <c r="B24" s="2047" t="s">
        <v>2080</v>
      </c>
      <c r="C24" s="2047"/>
    </row>
    <row r="25" spans="2:9" ht="76.5" customHeight="1" x14ac:dyDescent="0.2">
      <c r="B25" s="2913" t="s">
        <v>2251</v>
      </c>
      <c r="C25" s="2913"/>
      <c r="D25" s="2913"/>
      <c r="E25" s="2913"/>
    </row>
    <row r="26" spans="2:9" ht="13.5" customHeight="1" x14ac:dyDescent="0.2"/>
    <row r="27" spans="2:9" ht="13.5" customHeight="1" x14ac:dyDescent="0.2">
      <c r="B27" s="2047" t="s">
        <v>2081</v>
      </c>
      <c r="C27" s="2047"/>
      <c r="E27" s="2052" t="str">
        <f>'CAP 2020-005'!E27</f>
        <v>June 30, 2021</v>
      </c>
    </row>
    <row r="28" spans="2:9" ht="13.5" customHeight="1" x14ac:dyDescent="0.2"/>
    <row r="29" spans="2:9" ht="13.5" customHeight="1" x14ac:dyDescent="0.2">
      <c r="B29" s="2047" t="s">
        <v>2083</v>
      </c>
      <c r="C29" s="2047"/>
      <c r="E29" s="2052" t="str">
        <f>'CAP 2020-005'!E29</f>
        <v>Dr. Eric Heath, Superintendent</v>
      </c>
    </row>
    <row r="30" spans="2:9" ht="13.5" customHeight="1" x14ac:dyDescent="0.2"/>
    <row r="31" spans="2:9" ht="38.1" customHeight="1" x14ac:dyDescent="0.2">
      <c r="B31" s="2306" t="s">
        <v>2084</v>
      </c>
      <c r="C31" s="2047"/>
      <c r="E31" s="2307" t="s">
        <v>2317</v>
      </c>
    </row>
    <row r="32" spans="2:9" ht="13.5" customHeight="1" x14ac:dyDescent="0.2">
      <c r="B32" s="2053"/>
      <c r="C32" s="2053"/>
      <c r="D32" s="2053"/>
    </row>
    <row r="33" spans="2:5" ht="13.5" customHeight="1" x14ac:dyDescent="0.2">
      <c r="B33" s="2053"/>
      <c r="C33" s="2053"/>
      <c r="D33" s="2053"/>
    </row>
    <row r="34" spans="2:5" ht="13.5" customHeight="1" x14ac:dyDescent="0.2">
      <c r="B34" s="2053"/>
      <c r="C34" s="2053"/>
      <c r="D34" s="2053"/>
    </row>
    <row r="35" spans="2:5" ht="13.5" customHeight="1" x14ac:dyDescent="0.2">
      <c r="B35" s="2053"/>
      <c r="C35" s="2053"/>
      <c r="D35" s="2053"/>
    </row>
    <row r="36" spans="2:5" ht="13.5" customHeight="1" x14ac:dyDescent="0.2">
      <c r="B36" s="2054"/>
      <c r="C36" s="2054"/>
      <c r="D36" s="2054"/>
      <c r="E36" s="2054"/>
    </row>
    <row r="37" spans="2:5" ht="12.2" customHeight="1" x14ac:dyDescent="0.2">
      <c r="B37" s="2055" t="s">
        <v>2085</v>
      </c>
      <c r="C37" s="2055"/>
      <c r="D37" s="2055"/>
    </row>
    <row r="38" spans="2:5" ht="12.2" customHeight="1" x14ac:dyDescent="0.2">
      <c r="B38" s="2056"/>
      <c r="C38" s="2056"/>
      <c r="D38" s="2056"/>
    </row>
    <row r="39" spans="2:5" ht="12.75" customHeight="1" x14ac:dyDescent="0.2">
      <c r="B39" s="2047"/>
      <c r="C39" s="2047"/>
      <c r="D39" s="2047"/>
    </row>
    <row r="40" spans="2:5" ht="12.75" customHeight="1" x14ac:dyDescent="0.2">
      <c r="B40" s="2047"/>
      <c r="C40" s="2047"/>
      <c r="D40" s="2047"/>
    </row>
    <row r="41" spans="2:5" x14ac:dyDescent="0.2">
      <c r="B41" s="2047"/>
      <c r="C41" s="2047"/>
      <c r="D41" s="2047"/>
    </row>
    <row r="42" spans="2:5" x14ac:dyDescent="0.2">
      <c r="B42" s="2047"/>
      <c r="C42" s="2047"/>
      <c r="D42" s="2047"/>
    </row>
    <row r="46" spans="2:5" x14ac:dyDescent="0.2">
      <c r="B46" s="2057"/>
      <c r="C46" s="2057"/>
      <c r="D46" s="2057"/>
    </row>
    <row r="47" spans="2:5" ht="12.75" customHeight="1" x14ac:dyDescent="0.2"/>
    <row r="48" spans="2:5" ht="12.75" customHeight="1" x14ac:dyDescent="0.2"/>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9" spans="2:4" x14ac:dyDescent="0.2">
      <c r="B59" s="2058"/>
      <c r="C59" s="2058"/>
      <c r="D59" s="2058"/>
    </row>
    <row r="60" spans="2:4" x14ac:dyDescent="0.2">
      <c r="B60" s="2047"/>
      <c r="C60" s="2047"/>
      <c r="D60" s="2047"/>
    </row>
    <row r="61" spans="2:4" x14ac:dyDescent="0.2">
      <c r="B61" s="2047"/>
      <c r="C61" s="2047"/>
      <c r="D61" s="2047"/>
    </row>
    <row r="62" spans="2:4" x14ac:dyDescent="0.2">
      <c r="B62" s="2058"/>
      <c r="C62" s="2058"/>
      <c r="D62" s="2058"/>
    </row>
    <row r="63" spans="2:4" x14ac:dyDescent="0.2">
      <c r="B63" s="2058"/>
      <c r="C63" s="2058"/>
      <c r="D63" s="2058"/>
    </row>
    <row r="64" spans="2:4" x14ac:dyDescent="0.2">
      <c r="B64" s="2058"/>
      <c r="C64" s="2058"/>
      <c r="D64" s="2058"/>
    </row>
    <row r="65" spans="2:4" x14ac:dyDescent="0.2">
      <c r="B65" s="2047"/>
      <c r="C65" s="2047"/>
      <c r="D65" s="2047"/>
    </row>
  </sheetData>
  <mergeCells count="6">
    <mergeCell ref="B25:E25"/>
    <mergeCell ref="B12:E12"/>
    <mergeCell ref="B13:E13"/>
    <mergeCell ref="B14:E14"/>
    <mergeCell ref="B15:E15"/>
    <mergeCell ref="B22:E22"/>
  </mergeCells>
  <printOptions horizontalCentered="1"/>
  <pageMargins left="0.25" right="0.27" top="0.68" bottom="1.28" header="0.26" footer="0.27"/>
  <pageSetup firstPageNumber="44" fitToHeight="0" orientation="portrait" useFirstPageNumber="1" r:id="rId1"/>
  <headerFooter alignWithMargins="0">
    <oddHeader>&amp;L&amp;8Page 46&amp;R&amp;8Page 46</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4DA14-9305-465B-BCAD-659C2C3C114C}">
  <dimension ref="B1:L65"/>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20" customHeight="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idden="1" x14ac:dyDescent="0.2"/>
    <row r="12" spans="2:12" x14ac:dyDescent="0.2">
      <c r="B12" s="2918" t="str">
        <f>'CAP 2020-006'!B12</f>
        <v xml:space="preserve">   Peoria Heights CUSD 325</v>
      </c>
      <c r="C12" s="2918"/>
      <c r="D12" s="2918"/>
      <c r="E12" s="2918"/>
      <c r="F12" s="2038"/>
      <c r="G12" s="2038"/>
      <c r="H12" s="2038"/>
      <c r="I12" s="2038"/>
      <c r="J12" s="2038"/>
      <c r="K12" s="2038"/>
      <c r="L12" s="2038"/>
    </row>
    <row r="13" spans="2:12" ht="13.5" customHeight="1" x14ac:dyDescent="0.2">
      <c r="B13" s="2919" t="s">
        <v>2249</v>
      </c>
      <c r="C13" s="2919"/>
      <c r="D13" s="2919"/>
      <c r="E13" s="2919"/>
      <c r="F13" s="2040"/>
      <c r="G13" s="2040"/>
      <c r="H13" s="2040"/>
      <c r="I13" s="2040"/>
      <c r="J13" s="2040"/>
      <c r="K13" s="2040"/>
      <c r="L13" s="2040"/>
    </row>
    <row r="14" spans="2:12" ht="13.5" customHeight="1" x14ac:dyDescent="0.2">
      <c r="B14" s="2916">
        <f>'CAP 2020-006'!B14</f>
        <v>48072325026</v>
      </c>
      <c r="C14" s="2916"/>
      <c r="D14" s="2916"/>
      <c r="E14" s="2916"/>
      <c r="F14" s="2041"/>
      <c r="G14" s="2041"/>
      <c r="H14" s="2041"/>
      <c r="I14" s="2041"/>
      <c r="J14" s="2041"/>
      <c r="K14" s="2041"/>
      <c r="L14" s="2041"/>
    </row>
    <row r="15" spans="2:12" ht="13.5" customHeight="1" x14ac:dyDescent="0.2">
      <c r="B15" s="2917" t="s">
        <v>2087</v>
      </c>
      <c r="C15" s="2917"/>
      <c r="D15" s="2917"/>
      <c r="E15" s="2917"/>
      <c r="F15" s="2042"/>
      <c r="G15" s="2042"/>
      <c r="H15" s="2042"/>
      <c r="I15" s="2042"/>
      <c r="J15" s="2042"/>
      <c r="K15" s="2042"/>
      <c r="L15" s="2042"/>
    </row>
    <row r="16" spans="2:12" ht="29.85" customHeight="1" x14ac:dyDescent="0.2"/>
    <row r="17" spans="2:9" ht="13.5" customHeight="1" x14ac:dyDescent="0.2">
      <c r="B17" s="2043" t="s">
        <v>2076</v>
      </c>
      <c r="C17" s="2043"/>
      <c r="D17" s="2044"/>
      <c r="E17" s="2045"/>
      <c r="F17" s="2045"/>
      <c r="G17" s="2046"/>
      <c r="H17" s="2046"/>
      <c r="I17" s="2046"/>
    </row>
    <row r="18" spans="2:9" ht="13.5" customHeight="1" x14ac:dyDescent="0.2">
      <c r="B18" s="2039" t="s">
        <v>1159</v>
      </c>
    </row>
    <row r="19" spans="2:9" ht="13.5" customHeight="1" x14ac:dyDescent="0.2">
      <c r="B19" s="2047" t="s">
        <v>2077</v>
      </c>
      <c r="C19" s="2048" t="s">
        <v>2078</v>
      </c>
      <c r="D19" s="2049">
        <v>7</v>
      </c>
    </row>
    <row r="20" spans="2:9" ht="13.5" customHeight="1" x14ac:dyDescent="0.2">
      <c r="B20" s="2050"/>
      <c r="C20" s="2050"/>
      <c r="D20" s="2050"/>
    </row>
    <row r="21" spans="2:9" ht="13.5" customHeight="1" x14ac:dyDescent="0.2">
      <c r="B21" s="2047" t="s">
        <v>2079</v>
      </c>
      <c r="C21" s="2047"/>
    </row>
    <row r="22" spans="2:9" ht="66.75" customHeight="1" x14ac:dyDescent="0.2">
      <c r="B22" s="2913" t="str">
        <f>'Finding 2020-007'!B23</f>
        <v>The District has not monitored the net cash resources of the child nutrition program. Upon further review, it was determined that the net cash resources of the "nonprofit school food service" did not exceed 3 months average expenditures.</v>
      </c>
      <c r="C22" s="2913"/>
      <c r="D22" s="2913"/>
      <c r="E22" s="2913"/>
    </row>
    <row r="23" spans="2:9" ht="13.5" customHeight="1" x14ac:dyDescent="0.2"/>
    <row r="24" spans="2:9" ht="13.5" customHeight="1" x14ac:dyDescent="0.2">
      <c r="B24" s="2047" t="s">
        <v>2080</v>
      </c>
      <c r="C24" s="2047"/>
    </row>
    <row r="25" spans="2:9" ht="76.5" customHeight="1" x14ac:dyDescent="0.2">
      <c r="B25" s="2913" t="s">
        <v>2256</v>
      </c>
      <c r="C25" s="2913"/>
      <c r="D25" s="2913"/>
      <c r="E25" s="2913"/>
    </row>
    <row r="26" spans="2:9" ht="13.5" customHeight="1" x14ac:dyDescent="0.2"/>
    <row r="27" spans="2:9" ht="13.5" customHeight="1" x14ac:dyDescent="0.2">
      <c r="B27" s="2047" t="s">
        <v>2081</v>
      </c>
      <c r="C27" s="2047"/>
      <c r="E27" s="2052" t="str">
        <f>'CAP 2020-006'!E27</f>
        <v>June 30, 2021</v>
      </c>
    </row>
    <row r="28" spans="2:9" ht="13.5" customHeight="1" x14ac:dyDescent="0.2"/>
    <row r="29" spans="2:9" ht="13.5" customHeight="1" x14ac:dyDescent="0.2">
      <c r="B29" s="2047" t="s">
        <v>2083</v>
      </c>
      <c r="C29" s="2047"/>
      <c r="E29" s="2052" t="str">
        <f>'CAP 2020-006'!E29</f>
        <v>Dr. Eric Heath, Superintendent</v>
      </c>
    </row>
    <row r="30" spans="2:9" ht="13.5" customHeight="1" x14ac:dyDescent="0.2"/>
    <row r="31" spans="2:9" ht="25.5" customHeight="1" x14ac:dyDescent="0.2">
      <c r="B31" s="2306" t="s">
        <v>2084</v>
      </c>
      <c r="C31" s="2047"/>
      <c r="E31" s="2307" t="str">
        <f>'Finding 2020-007'!B41</f>
        <v>There is no disagreement with this finding and internal controls will be developed to monitor the net cash resources of the "nonprofit school food service".</v>
      </c>
    </row>
    <row r="32" spans="2:9" ht="13.5" customHeight="1" x14ac:dyDescent="0.2">
      <c r="B32" s="2053"/>
      <c r="C32" s="2053"/>
      <c r="D32" s="2053"/>
    </row>
    <row r="33" spans="2:5" ht="13.5" customHeight="1" x14ac:dyDescent="0.2">
      <c r="B33" s="2053"/>
      <c r="C33" s="2053"/>
      <c r="D33" s="2053"/>
    </row>
    <row r="34" spans="2:5" ht="13.5" customHeight="1" x14ac:dyDescent="0.2">
      <c r="B34" s="2053"/>
      <c r="C34" s="2053"/>
      <c r="D34" s="2053"/>
    </row>
    <row r="35" spans="2:5" ht="13.5" customHeight="1" x14ac:dyDescent="0.2">
      <c r="B35" s="2053"/>
      <c r="C35" s="2053"/>
      <c r="D35" s="2053"/>
    </row>
    <row r="36" spans="2:5" ht="13.5" customHeight="1" x14ac:dyDescent="0.2">
      <c r="B36" s="2054"/>
      <c r="C36" s="2054"/>
      <c r="D36" s="2054"/>
      <c r="E36" s="2054"/>
    </row>
    <row r="37" spans="2:5" ht="12.2" customHeight="1" x14ac:dyDescent="0.2">
      <c r="B37" s="2055" t="s">
        <v>2085</v>
      </c>
      <c r="C37" s="2055"/>
      <c r="D37" s="2055"/>
    </row>
    <row r="38" spans="2:5" ht="12.2" customHeight="1" x14ac:dyDescent="0.2">
      <c r="B38" s="2056"/>
      <c r="C38" s="2056"/>
      <c r="D38" s="2056"/>
    </row>
    <row r="39" spans="2:5" ht="12.75" customHeight="1" x14ac:dyDescent="0.2">
      <c r="B39" s="2047"/>
      <c r="C39" s="2047"/>
      <c r="D39" s="2047"/>
    </row>
    <row r="40" spans="2:5" ht="12.75" customHeight="1" x14ac:dyDescent="0.2">
      <c r="B40" s="2047"/>
      <c r="C40" s="2047"/>
      <c r="D40" s="2047"/>
    </row>
    <row r="41" spans="2:5" x14ac:dyDescent="0.2">
      <c r="B41" s="2047"/>
      <c r="C41" s="2047"/>
      <c r="D41" s="2047"/>
    </row>
    <row r="42" spans="2:5" x14ac:dyDescent="0.2">
      <c r="B42" s="2047"/>
      <c r="C42" s="2047"/>
      <c r="D42" s="2047"/>
    </row>
    <row r="46" spans="2:5" x14ac:dyDescent="0.2">
      <c r="B46" s="2057"/>
      <c r="C46" s="2057"/>
      <c r="D46" s="2057"/>
    </row>
    <row r="47" spans="2:5" ht="12.75" customHeight="1" x14ac:dyDescent="0.2"/>
    <row r="48" spans="2:5" ht="12.75" customHeight="1" x14ac:dyDescent="0.2"/>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9" spans="2:4" x14ac:dyDescent="0.2">
      <c r="B59" s="2058"/>
      <c r="C59" s="2058"/>
      <c r="D59" s="2058"/>
    </row>
    <row r="60" spans="2:4" x14ac:dyDescent="0.2">
      <c r="B60" s="2047"/>
      <c r="C60" s="2047"/>
      <c r="D60" s="2047"/>
    </row>
    <row r="61" spans="2:4" x14ac:dyDescent="0.2">
      <c r="B61" s="2047"/>
      <c r="C61" s="2047"/>
      <c r="D61" s="2047"/>
    </row>
    <row r="62" spans="2:4" x14ac:dyDescent="0.2">
      <c r="B62" s="2058"/>
      <c r="C62" s="2058"/>
      <c r="D62" s="2058"/>
    </row>
    <row r="63" spans="2:4" x14ac:dyDescent="0.2">
      <c r="B63" s="2058"/>
      <c r="C63" s="2058"/>
      <c r="D63" s="2058"/>
    </row>
    <row r="64" spans="2:4" x14ac:dyDescent="0.2">
      <c r="B64" s="2058"/>
      <c r="C64" s="2058"/>
      <c r="D64" s="2058"/>
    </row>
    <row r="65" spans="2:4" x14ac:dyDescent="0.2">
      <c r="B65" s="2047"/>
      <c r="C65" s="2047"/>
      <c r="D65" s="2047"/>
    </row>
  </sheetData>
  <mergeCells count="6">
    <mergeCell ref="B25:E25"/>
    <mergeCell ref="B12:E12"/>
    <mergeCell ref="B13:E13"/>
    <mergeCell ref="B14:E14"/>
    <mergeCell ref="B15:E15"/>
    <mergeCell ref="B22:E22"/>
  </mergeCells>
  <printOptions horizontalCentered="1"/>
  <pageMargins left="0.25" right="0.27" top="0.68" bottom="1.28" header="0.26" footer="0.27"/>
  <pageSetup firstPageNumber="44" fitToHeight="0"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479"/>
      <c r="B1" s="2480"/>
      <c r="C1" s="2480"/>
      <c r="D1" s="361"/>
      <c r="E1" s="361"/>
      <c r="F1" s="361"/>
      <c r="G1" s="361"/>
      <c r="H1" s="361"/>
      <c r="I1" s="361"/>
      <c r="J1" s="361"/>
      <c r="K1" s="361"/>
      <c r="L1" s="361"/>
      <c r="M1" s="361"/>
      <c r="N1" s="361"/>
      <c r="O1" s="2479"/>
      <c r="P1" s="2480"/>
      <c r="Q1" s="2480"/>
    </row>
    <row r="2" spans="1:18" ht="15" x14ac:dyDescent="0.2">
      <c r="A2" s="2483" t="s">
        <v>552</v>
      </c>
      <c r="B2" s="2483"/>
      <c r="C2" s="2483"/>
      <c r="D2" s="2483"/>
      <c r="E2" s="2483"/>
      <c r="F2" s="2483"/>
      <c r="G2" s="2483"/>
      <c r="H2" s="2483"/>
      <c r="I2" s="2483"/>
      <c r="J2" s="2483"/>
      <c r="K2" s="2483"/>
      <c r="L2" s="2483"/>
      <c r="M2" s="2483"/>
      <c r="N2" s="2483"/>
      <c r="O2" s="2483"/>
      <c r="P2" s="2483"/>
      <c r="Q2" s="2483"/>
      <c r="R2" s="2483"/>
    </row>
    <row r="3" spans="1:18" ht="12.75" x14ac:dyDescent="0.2">
      <c r="A3" s="2484" t="s">
        <v>1396</v>
      </c>
      <c r="B3" s="2484"/>
      <c r="C3" s="2484"/>
      <c r="D3" s="2484"/>
      <c r="E3" s="2484"/>
      <c r="F3" s="2484"/>
      <c r="G3" s="2484"/>
      <c r="H3" s="2484"/>
      <c r="I3" s="2484"/>
      <c r="J3" s="2484"/>
      <c r="K3" s="2484"/>
      <c r="L3" s="2484"/>
      <c r="M3" s="2484"/>
      <c r="N3" s="2484"/>
      <c r="O3" s="2484"/>
      <c r="P3" s="2484"/>
      <c r="Q3" s="2484"/>
      <c r="R3" s="2484"/>
    </row>
    <row r="4" spans="1:18" x14ac:dyDescent="0.2">
      <c r="A4" s="2485" t="s">
        <v>1536</v>
      </c>
      <c r="B4" s="2485"/>
      <c r="C4" s="2485"/>
      <c r="D4" s="2485"/>
      <c r="E4" s="2485"/>
      <c r="F4" s="2485"/>
      <c r="G4" s="2485"/>
      <c r="H4" s="2485"/>
      <c r="I4" s="2485"/>
      <c r="J4" s="2485"/>
      <c r="K4" s="2485"/>
      <c r="L4" s="2485"/>
      <c r="M4" s="2485"/>
      <c r="N4" s="2485"/>
      <c r="O4" s="2485"/>
      <c r="P4" s="2485"/>
      <c r="Q4" s="2485"/>
      <c r="R4" s="248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Peoria Heights CUSD 325</v>
      </c>
      <c r="E7" s="368"/>
      <c r="G7" s="247"/>
      <c r="H7" s="364"/>
      <c r="I7" s="364"/>
      <c r="J7" s="364"/>
      <c r="K7" s="364"/>
      <c r="L7" s="307"/>
      <c r="M7" s="307"/>
      <c r="N7" s="307"/>
      <c r="O7" s="307"/>
      <c r="P7" s="307"/>
    </row>
    <row r="8" spans="1:18" ht="12.75" x14ac:dyDescent="0.2">
      <c r="A8" s="307"/>
      <c r="B8" s="307"/>
      <c r="C8" s="366" t="s">
        <v>1115</v>
      </c>
      <c r="D8" s="369">
        <f>COVER!A13</f>
        <v>48072325026</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10794993</v>
      </c>
      <c r="I12" s="380"/>
      <c r="J12" s="380"/>
      <c r="K12" s="1559">
        <f>TRUNC((H12/H13*100000),5)/100000</f>
        <v>1.0193494270000001</v>
      </c>
      <c r="L12" s="381"/>
      <c r="M12" s="337" t="s">
        <v>1134</v>
      </c>
      <c r="N12" s="337"/>
      <c r="O12" s="1562">
        <v>0.35</v>
      </c>
      <c r="P12" s="213"/>
      <c r="Q12" s="213"/>
    </row>
    <row r="13" spans="1:18" s="382" customFormat="1" ht="12.75" x14ac:dyDescent="0.2">
      <c r="A13" s="213"/>
      <c r="B13" s="377"/>
      <c r="C13" s="2481" t="s">
        <v>1313</v>
      </c>
      <c r="D13" s="2482"/>
      <c r="E13" s="213"/>
      <c r="F13" s="383" t="s">
        <v>788</v>
      </c>
      <c r="G13" s="378"/>
      <c r="H13" s="1551">
        <f>SUM('Acct Summary 7-8'!C8+'Acct Summary 7-8'!D8+'Acct Summary 7-8'!F8+'Acct Summary 7-8'!I8)+H14</f>
        <v>10590081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10928939</v>
      </c>
      <c r="I17" s="380"/>
      <c r="J17" s="389"/>
      <c r="K17" s="1559">
        <f>TRUNC((H17/H18*100000),5)/100000</f>
        <v>1.0319976778</v>
      </c>
      <c r="L17" s="381"/>
      <c r="M17" s="390" t="s">
        <v>1161</v>
      </c>
      <c r="O17" s="1565" t="str">
        <f>IF(AND(O16="2", J20 &gt; 2),"1",IF(AND(O16 = "1", J20 &gt; 2),"2",IF(AND(O16="1", J20 &gt;1),"1","0")))</f>
        <v>0</v>
      </c>
      <c r="P17" s="213"/>
    </row>
    <row r="18" spans="1:18" s="382" customFormat="1" ht="11.25" x14ac:dyDescent="0.2">
      <c r="A18" s="213"/>
      <c r="B18" s="377"/>
      <c r="C18" s="2481" t="s">
        <v>1306</v>
      </c>
      <c r="D18" s="2482"/>
      <c r="E18" s="213"/>
      <c r="F18" s="391" t="s">
        <v>789</v>
      </c>
      <c r="G18" s="378"/>
      <c r="H18" s="1551">
        <f>SUM('Acct Summary 7-8'!C8+'Acct Summary 7-8'!D8+'Acct Summary 7-8'!F8+'Acct Summary 7-8'!I8)+H19</f>
        <v>10590081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28.731754599999999</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478" t="s">
        <v>1395</v>
      </c>
      <c r="D24" s="2478"/>
      <c r="E24" s="213"/>
      <c r="F24" s="213" t="s">
        <v>442</v>
      </c>
      <c r="G24" s="378"/>
      <c r="H24" s="1551">
        <f>SUM('Assets-Liab 5-6'!C4+'Assets-Liab 5-6'!D4+'Assets-Liab 5-6'!F4+'Assets-Liab 5-6'!I4+'Assets-Liab 5-6'!C5+'Assets-Liab 5-6'!D5+'Assets-Liab 5-6'!F5+'Assets-Liab 5-6'!I5)</f>
        <v>10794993</v>
      </c>
      <c r="I24" s="394"/>
      <c r="J24" s="394"/>
      <c r="K24" s="1555">
        <f>TRUNC(((H24/H25*100000)/100000),2)</f>
        <v>355.58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30358.16389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1889</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4231378.4294999996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4165000</v>
      </c>
      <c r="I32" s="392"/>
      <c r="J32" s="392"/>
      <c r="K32" s="1555">
        <f>TRUNC(100-((((H32/H33*100))*100)/100),2)</f>
        <v>72.260000000000005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15015884.880000001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A31" sqref="AA3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48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48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488" t="s">
        <v>967</v>
      </c>
      <c r="B3" s="2489"/>
      <c r="C3" s="1306"/>
      <c r="D3" s="1307"/>
      <c r="E3" s="1307"/>
      <c r="F3" s="1307"/>
      <c r="G3" s="1307"/>
      <c r="H3" s="1307"/>
      <c r="I3" s="1307"/>
      <c r="J3" s="1307"/>
      <c r="K3" s="1307"/>
      <c r="L3" s="1307"/>
      <c r="M3" s="1308"/>
      <c r="N3" s="1309"/>
    </row>
    <row r="4" spans="1:14" ht="13.5" customHeight="1" x14ac:dyDescent="0.2">
      <c r="A4" s="427" t="s">
        <v>1631</v>
      </c>
      <c r="B4" s="428"/>
      <c r="C4" s="1572">
        <v>8907818</v>
      </c>
      <c r="D4" s="1573">
        <v>654053</v>
      </c>
      <c r="E4" s="1573">
        <v>360644</v>
      </c>
      <c r="F4" s="1573">
        <v>661445</v>
      </c>
      <c r="G4" s="1573">
        <v>780467</v>
      </c>
      <c r="H4" s="1573">
        <v>183972</v>
      </c>
      <c r="I4" s="1573">
        <v>88627</v>
      </c>
      <c r="J4" s="1574">
        <v>147190</v>
      </c>
      <c r="K4" s="1573">
        <v>190045</v>
      </c>
      <c r="L4" s="1573">
        <v>84320</v>
      </c>
      <c r="M4" s="1575"/>
      <c r="N4" s="1576"/>
    </row>
    <row r="5" spans="1:14" x14ac:dyDescent="0.2">
      <c r="A5" s="427" t="s">
        <v>985</v>
      </c>
      <c r="B5" s="429">
        <v>120</v>
      </c>
      <c r="C5" s="1572">
        <v>483050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9390868</v>
      </c>
      <c r="D13" s="1587">
        <f t="shared" ref="D13:L13" si="0">SUM(D4:D12)</f>
        <v>654053</v>
      </c>
      <c r="E13" s="1587">
        <f t="shared" si="0"/>
        <v>360644</v>
      </c>
      <c r="F13" s="1587">
        <f t="shared" si="0"/>
        <v>661445</v>
      </c>
      <c r="G13" s="1587">
        <f t="shared" si="0"/>
        <v>780467</v>
      </c>
      <c r="H13" s="1587">
        <f t="shared" si="0"/>
        <v>183972</v>
      </c>
      <c r="I13" s="1587">
        <f t="shared" si="0"/>
        <v>88627</v>
      </c>
      <c r="J13" s="1587">
        <f t="shared" si="0"/>
        <v>147190</v>
      </c>
      <c r="K13" s="1587">
        <f t="shared" si="0"/>
        <v>190045</v>
      </c>
      <c r="L13" s="1587">
        <f t="shared" si="0"/>
        <v>84320</v>
      </c>
      <c r="M13" s="1575"/>
      <c r="N13" s="1576"/>
    </row>
    <row r="14" spans="1:14" ht="18" customHeight="1" thickTop="1" x14ac:dyDescent="0.2">
      <c r="A14" s="2490" t="s">
        <v>146</v>
      </c>
      <c r="B14" s="2491"/>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216942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13795423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1236427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1702008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360644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3804356</v>
      </c>
    </row>
    <row r="23" spans="1:14" ht="13.5" customHeight="1" thickBot="1" x14ac:dyDescent="0.25">
      <c r="A23" s="1426" t="s">
        <v>638</v>
      </c>
      <c r="B23" s="1429"/>
      <c r="C23" s="1575"/>
      <c r="D23" s="1575"/>
      <c r="E23" s="1575"/>
      <c r="F23" s="1575"/>
      <c r="G23" s="1575"/>
      <c r="H23" s="1575"/>
      <c r="I23" s="1575"/>
      <c r="J23" s="1575"/>
      <c r="K23" s="1575"/>
      <c r="L23" s="1575"/>
      <c r="M23" s="1594">
        <f>SUM(M15:M22)</f>
        <v>16950800</v>
      </c>
      <c r="N23" s="1594">
        <f>SUM(N21:N22)</f>
        <v>4165000</v>
      </c>
    </row>
    <row r="24" spans="1:14" ht="18" customHeight="1" thickTop="1" x14ac:dyDescent="0.2">
      <c r="A24" s="2492" t="s">
        <v>594</v>
      </c>
      <c r="B24" s="2493"/>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84320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84320</v>
      </c>
      <c r="M34" s="1575"/>
      <c r="N34" s="1585"/>
    </row>
    <row r="35" spans="1:14" ht="18" customHeight="1" thickTop="1" x14ac:dyDescent="0.2">
      <c r="A35" s="2494" t="s">
        <v>526</v>
      </c>
      <c r="B35" s="249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4165000</v>
      </c>
    </row>
    <row r="37" spans="1:14" ht="13.5" thickBot="1" x14ac:dyDescent="0.25">
      <c r="A37" s="1426" t="s">
        <v>648</v>
      </c>
      <c r="B37" s="1429"/>
      <c r="C37" s="1582"/>
      <c r="D37" s="1582"/>
      <c r="E37" s="1582"/>
      <c r="F37" s="1582"/>
      <c r="G37" s="1582"/>
      <c r="H37" s="1582"/>
      <c r="I37" s="1582"/>
      <c r="J37" s="1582"/>
      <c r="K37" s="1582"/>
      <c r="L37" s="1585"/>
      <c r="M37" s="1575"/>
      <c r="N37" s="1594">
        <f>SUM(N36:N36)</f>
        <v>4165000</v>
      </c>
    </row>
    <row r="38" spans="1:14" s="307" customFormat="1" ht="13.5" customHeight="1" thickTop="1" x14ac:dyDescent="0.2">
      <c r="A38" s="438" t="s">
        <v>417</v>
      </c>
      <c r="B38" s="432">
        <v>714</v>
      </c>
      <c r="C38" s="1573">
        <v>243665</v>
      </c>
      <c r="D38" s="1573">
        <v>0</v>
      </c>
      <c r="E38" s="1573">
        <v>0</v>
      </c>
      <c r="F38" s="1573">
        <v>0</v>
      </c>
      <c r="G38" s="1573">
        <v>104508</v>
      </c>
      <c r="H38" s="1573">
        <v>183972</v>
      </c>
      <c r="I38" s="1573">
        <v>0</v>
      </c>
      <c r="J38" s="1574">
        <v>0</v>
      </c>
      <c r="K38" s="1573">
        <v>0</v>
      </c>
      <c r="L38" s="1586">
        <v>0</v>
      </c>
      <c r="M38" s="1604"/>
      <c r="N38" s="1604"/>
    </row>
    <row r="39" spans="1:14" s="307" customFormat="1" ht="13.5" customHeight="1" x14ac:dyDescent="0.2">
      <c r="A39" s="438" t="s">
        <v>339</v>
      </c>
      <c r="B39" s="432">
        <v>730</v>
      </c>
      <c r="C39" s="1573">
        <v>9147203</v>
      </c>
      <c r="D39" s="1573">
        <v>654053</v>
      </c>
      <c r="E39" s="1573">
        <v>360644</v>
      </c>
      <c r="F39" s="1573">
        <v>661445</v>
      </c>
      <c r="G39" s="1573">
        <v>675959</v>
      </c>
      <c r="H39" s="1573">
        <v>0</v>
      </c>
      <c r="I39" s="1573">
        <v>88627</v>
      </c>
      <c r="J39" s="1574">
        <v>147190</v>
      </c>
      <c r="K39" s="1573">
        <v>190045</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16950800</v>
      </c>
      <c r="N40" s="1604"/>
    </row>
    <row r="41" spans="1:14" ht="13.5" customHeight="1" thickBot="1" x14ac:dyDescent="0.25">
      <c r="A41" s="1426" t="s">
        <v>650</v>
      </c>
      <c r="B41" s="1405"/>
      <c r="C41" s="1594">
        <f>(SUM(C34,C37,C38,C39))</f>
        <v>9390868</v>
      </c>
      <c r="D41" s="1594">
        <f t="shared" ref="D41:L41" si="2">SUM(D34,D37,D38:D39)</f>
        <v>654053</v>
      </c>
      <c r="E41" s="1594">
        <f t="shared" si="2"/>
        <v>360644</v>
      </c>
      <c r="F41" s="1594">
        <f t="shared" si="2"/>
        <v>661445</v>
      </c>
      <c r="G41" s="1594">
        <f t="shared" si="2"/>
        <v>780467</v>
      </c>
      <c r="H41" s="1594">
        <f t="shared" si="2"/>
        <v>183972</v>
      </c>
      <c r="I41" s="1594">
        <f t="shared" si="2"/>
        <v>88627</v>
      </c>
      <c r="J41" s="1594">
        <f t="shared" si="2"/>
        <v>147190</v>
      </c>
      <c r="K41" s="1594">
        <f t="shared" si="2"/>
        <v>190045</v>
      </c>
      <c r="L41" s="1594">
        <f t="shared" si="2"/>
        <v>84320</v>
      </c>
      <c r="M41" s="1594">
        <f>SUM(M40)</f>
        <v>16950800</v>
      </c>
      <c r="N41" s="1594">
        <f>SUM(N37)</f>
        <v>4165000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A31" sqref="AA3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504" t="s">
        <v>1632</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50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516" t="s">
        <v>1165</v>
      </c>
      <c r="B3" s="2517"/>
      <c r="C3" s="1311"/>
      <c r="D3" s="1312"/>
      <c r="E3" s="1312"/>
      <c r="F3" s="1312"/>
      <c r="G3" s="1312"/>
      <c r="H3" s="1312"/>
      <c r="I3" s="1312"/>
      <c r="J3" s="1312"/>
      <c r="K3" s="1313"/>
      <c r="L3" s="446"/>
    </row>
    <row r="4" spans="1:13" ht="15.75" customHeight="1" x14ac:dyDescent="0.2">
      <c r="A4" s="1537" t="s">
        <v>1482</v>
      </c>
      <c r="B4" s="1538">
        <v>1000</v>
      </c>
      <c r="C4" s="1606">
        <f>'Revenues 9-14'!C109</f>
        <v>5035059</v>
      </c>
      <c r="D4" s="1606">
        <f>'Revenues 9-14'!D109</f>
        <v>523542</v>
      </c>
      <c r="E4" s="1606">
        <f>'Revenues 9-14'!E109</f>
        <v>871282</v>
      </c>
      <c r="F4" s="1606">
        <f>'Revenues 9-14'!F109</f>
        <v>293408</v>
      </c>
      <c r="G4" s="1606">
        <f>'Revenues 9-14'!G109</f>
        <v>294066</v>
      </c>
      <c r="H4" s="1606">
        <f>'Revenues 9-14'!H109</f>
        <v>233978</v>
      </c>
      <c r="I4" s="1606">
        <f>'Revenues 9-14'!I109</f>
        <v>27142</v>
      </c>
      <c r="J4" s="1606">
        <f>'Revenues 9-14'!J109</f>
        <v>56320</v>
      </c>
      <c r="K4" s="1606">
        <f>'Revenues 9-14'!K109</f>
        <v>53125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3652301</v>
      </c>
      <c r="D6" s="1607">
        <f>'Revenues 9-14'!D170</f>
        <v>0</v>
      </c>
      <c r="E6" s="1607">
        <f>'Revenues 9-14'!E170</f>
        <v>0</v>
      </c>
      <c r="F6" s="1607">
        <f>'Revenues 9-14'!F170</f>
        <v>218653</v>
      </c>
      <c r="G6" s="1607">
        <f>'Revenues 9-14'!G170</f>
        <v>88427</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839976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9527336</v>
      </c>
      <c r="D8" s="1594">
        <f t="shared" ref="D8:K8" si="0">SUM(D4:D7)</f>
        <v>523542</v>
      </c>
      <c r="E8" s="1594">
        <f t="shared" si="0"/>
        <v>871282</v>
      </c>
      <c r="F8" s="1594">
        <f t="shared" si="0"/>
        <v>512061</v>
      </c>
      <c r="G8" s="1594">
        <f t="shared" si="0"/>
        <v>382493</v>
      </c>
      <c r="H8" s="1594">
        <f t="shared" si="0"/>
        <v>233978</v>
      </c>
      <c r="I8" s="1594">
        <f t="shared" si="0"/>
        <v>27142</v>
      </c>
      <c r="J8" s="1594">
        <f t="shared" si="0"/>
        <v>56320</v>
      </c>
      <c r="K8" s="1594">
        <f t="shared" si="0"/>
        <v>53125</v>
      </c>
      <c r="L8" s="325"/>
    </row>
    <row r="9" spans="1:13" ht="15.75" thickTop="1" x14ac:dyDescent="0.2">
      <c r="A9" s="449" t="s">
        <v>1633</v>
      </c>
      <c r="B9" s="450">
        <v>3998</v>
      </c>
      <c r="C9" s="1586">
        <v>2398007</v>
      </c>
      <c r="D9" s="1613"/>
      <c r="E9" s="1586"/>
      <c r="F9" s="1586"/>
      <c r="G9" s="1614"/>
      <c r="H9" s="1586"/>
      <c r="I9" s="1609" t="s">
        <v>1159</v>
      </c>
      <c r="J9" s="1583"/>
      <c r="K9" s="1586"/>
      <c r="L9" s="325"/>
    </row>
    <row r="10" spans="1:13" s="452" customFormat="1" ht="13.5" thickBot="1" x14ac:dyDescent="0.25">
      <c r="A10" s="1426" t="s">
        <v>1163</v>
      </c>
      <c r="B10" s="1407"/>
      <c r="C10" s="1594">
        <f>SUM(C8:C9)</f>
        <v>11925343</v>
      </c>
      <c r="D10" s="1594">
        <f t="shared" ref="D10:K10" si="1">SUM(D8:D9)</f>
        <v>523542</v>
      </c>
      <c r="E10" s="1594">
        <f t="shared" si="1"/>
        <v>871282</v>
      </c>
      <c r="F10" s="1594">
        <f t="shared" si="1"/>
        <v>512061</v>
      </c>
      <c r="G10" s="1594">
        <f t="shared" si="1"/>
        <v>382493</v>
      </c>
      <c r="H10" s="1594">
        <f t="shared" si="1"/>
        <v>233978</v>
      </c>
      <c r="I10" s="1594">
        <f t="shared" si="1"/>
        <v>27142</v>
      </c>
      <c r="J10" s="1594">
        <f t="shared" si="1"/>
        <v>56320</v>
      </c>
      <c r="K10" s="1594">
        <f t="shared" si="1"/>
        <v>53125</v>
      </c>
      <c r="L10" s="451"/>
    </row>
    <row r="11" spans="1:13" s="452" customFormat="1" ht="16.7" customHeight="1" thickTop="1" x14ac:dyDescent="0.2">
      <c r="A11" s="2490" t="s">
        <v>1166</v>
      </c>
      <c r="B11" s="2491"/>
      <c r="C11" s="1602"/>
      <c r="D11" s="1603"/>
      <c r="E11" s="1603"/>
      <c r="F11" s="1603"/>
      <c r="G11" s="1603"/>
      <c r="H11" s="1603"/>
      <c r="I11" s="1603"/>
      <c r="J11" s="1603"/>
      <c r="K11" s="1615"/>
      <c r="L11" s="451"/>
    </row>
    <row r="12" spans="1:13" ht="15.75" customHeight="1" x14ac:dyDescent="0.2">
      <c r="A12" s="1314" t="s">
        <v>453</v>
      </c>
      <c r="B12" s="1316">
        <v>1000</v>
      </c>
      <c r="C12" s="1606">
        <f>'Expenditures 15-22'!K33</f>
        <v>3843692</v>
      </c>
      <c r="D12" s="1616" t="s">
        <v>1159</v>
      </c>
      <c r="E12" s="1575" t="s">
        <v>1159</v>
      </c>
      <c r="F12" s="1575" t="s">
        <v>1159</v>
      </c>
      <c r="G12" s="1606">
        <f>'Expenditures 15-22'!K229</f>
        <v>99941</v>
      </c>
      <c r="H12" s="1617"/>
      <c r="I12" s="1575" t="s">
        <v>1159</v>
      </c>
      <c r="J12" s="1575" t="s">
        <v>1159</v>
      </c>
      <c r="K12" s="1617" t="s">
        <v>1159</v>
      </c>
      <c r="L12" s="325"/>
    </row>
    <row r="13" spans="1:13" ht="15.75" customHeight="1" x14ac:dyDescent="0.2">
      <c r="A13" s="1314" t="s">
        <v>454</v>
      </c>
      <c r="B13" s="1316">
        <v>2000</v>
      </c>
      <c r="C13" s="1607">
        <f>'Expenditures 15-22'!K74</f>
        <v>2477941</v>
      </c>
      <c r="D13" s="1607">
        <f>'Expenditures 15-22'!K129</f>
        <v>468735</v>
      </c>
      <c r="E13" s="1576" t="s">
        <v>1159</v>
      </c>
      <c r="F13" s="1607">
        <f>'Expenditures 15-22'!K184</f>
        <v>554033</v>
      </c>
      <c r="G13" s="1607">
        <f>'Expenditures 15-22'!K279</f>
        <v>258836</v>
      </c>
      <c r="H13" s="1607">
        <f>'Expenditures 15-22'!K303</f>
        <v>150712</v>
      </c>
      <c r="I13" s="1575" t="s">
        <v>1159</v>
      </c>
      <c r="J13" s="1607">
        <f>'Expenditures 15-22'!K330</f>
        <v>0</v>
      </c>
      <c r="K13" s="1618">
        <f>'Expenditures 15-22'!K352</f>
        <v>0</v>
      </c>
      <c r="L13" s="325"/>
    </row>
    <row r="14" spans="1:13" ht="15.75" customHeight="1" x14ac:dyDescent="0.2">
      <c r="A14" s="1314" t="s">
        <v>446</v>
      </c>
      <c r="B14" s="1316">
        <v>3000</v>
      </c>
      <c r="C14" s="1607">
        <f>'Expenditures 15-22'!K75</f>
        <v>415121</v>
      </c>
      <c r="D14" s="1607">
        <f>'Expenditures 15-22'!K130</f>
        <v>0</v>
      </c>
      <c r="E14" s="1616" t="s">
        <v>1159</v>
      </c>
      <c r="F14" s="1607">
        <f>'Expenditures 15-22'!K185</f>
        <v>0</v>
      </c>
      <c r="G14" s="1607">
        <f>'Expenditures 15-22'!K280</f>
        <v>53505</v>
      </c>
      <c r="H14" s="1612"/>
      <c r="I14" s="1575" t="s">
        <v>1159</v>
      </c>
      <c r="J14" s="1575" t="s">
        <v>1159</v>
      </c>
      <c r="K14" s="1612" t="s">
        <v>1159</v>
      </c>
      <c r="L14" s="325"/>
    </row>
    <row r="15" spans="1:13" ht="15.75" customHeight="1" x14ac:dyDescent="0.2">
      <c r="A15" s="1314" t="s">
        <v>107</v>
      </c>
      <c r="B15" s="1316">
        <v>4000</v>
      </c>
      <c r="C15" s="1607">
        <f>'Expenditures 15-22'!K102</f>
        <v>3169417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50000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859501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9906171</v>
      </c>
      <c r="D17" s="1594">
        <f t="shared" si="2"/>
        <v>468735</v>
      </c>
      <c r="E17" s="1594">
        <f t="shared" si="2"/>
        <v>859501</v>
      </c>
      <c r="F17" s="1594">
        <f t="shared" si="2"/>
        <v>554033</v>
      </c>
      <c r="G17" s="1594">
        <f t="shared" si="2"/>
        <v>412282</v>
      </c>
      <c r="H17" s="1594">
        <f t="shared" si="2"/>
        <v>150712</v>
      </c>
      <c r="I17" s="1575"/>
      <c r="J17" s="1594">
        <f>SUM(J12:J16)</f>
        <v>50000</v>
      </c>
      <c r="K17" s="1594">
        <f>SUM(K12:K16)</f>
        <v>0</v>
      </c>
      <c r="L17" s="325"/>
    </row>
    <row r="18" spans="1:12" ht="15" customHeight="1" thickTop="1" x14ac:dyDescent="0.2">
      <c r="A18" s="1430" t="s">
        <v>1634</v>
      </c>
      <c r="B18" s="1431">
        <v>4180</v>
      </c>
      <c r="C18" s="1606">
        <f t="shared" ref="C18:H18" si="3">C9</f>
        <v>2398007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12304178</v>
      </c>
      <c r="D19" s="1594">
        <f t="shared" si="4"/>
        <v>468735</v>
      </c>
      <c r="E19" s="1594">
        <f t="shared" si="4"/>
        <v>859501</v>
      </c>
      <c r="F19" s="1594">
        <f t="shared" si="4"/>
        <v>554033</v>
      </c>
      <c r="G19" s="1594">
        <f t="shared" si="4"/>
        <v>412282</v>
      </c>
      <c r="H19" s="1594">
        <f t="shared" si="4"/>
        <v>150712</v>
      </c>
      <c r="I19" s="1575"/>
      <c r="J19" s="1594">
        <f>SUM(J17:J18)</f>
        <v>50000</v>
      </c>
      <c r="K19" s="1594">
        <f>SUM(K17:K18)</f>
        <v>0</v>
      </c>
      <c r="L19" s="325"/>
    </row>
    <row r="20" spans="1:12" ht="16.5" thickTop="1" thickBot="1" x14ac:dyDescent="0.25">
      <c r="A20" s="2506" t="s">
        <v>1635</v>
      </c>
      <c r="B20" s="2507"/>
      <c r="C20" s="1622">
        <f>C8-C17</f>
        <v>-378835</v>
      </c>
      <c r="D20" s="1622">
        <f t="shared" ref="D20:K20" si="5">D8-D17</f>
        <v>54807</v>
      </c>
      <c r="E20" s="1622">
        <f t="shared" si="5"/>
        <v>11781</v>
      </c>
      <c r="F20" s="1622">
        <f t="shared" si="5"/>
        <v>-41972</v>
      </c>
      <c r="G20" s="1622">
        <f t="shared" si="5"/>
        <v>-29789</v>
      </c>
      <c r="H20" s="1622">
        <f t="shared" si="5"/>
        <v>83266</v>
      </c>
      <c r="I20" s="1622">
        <f t="shared" si="5"/>
        <v>27142</v>
      </c>
      <c r="J20" s="1622">
        <f t="shared" si="5"/>
        <v>6320</v>
      </c>
      <c r="K20" s="1622">
        <f t="shared" si="5"/>
        <v>53125</v>
      </c>
      <c r="L20" s="325"/>
    </row>
    <row r="21" spans="1:12" ht="16.7" customHeight="1" thickTop="1" x14ac:dyDescent="0.2">
      <c r="A21" s="2518" t="s">
        <v>591</v>
      </c>
      <c r="B21" s="2519"/>
      <c r="C21" s="1602"/>
      <c r="D21" s="1603"/>
      <c r="E21" s="1603"/>
      <c r="F21" s="1603"/>
      <c r="G21" s="1603"/>
      <c r="H21" s="1603"/>
      <c r="I21" s="1603"/>
      <c r="J21" s="1603"/>
      <c r="K21" s="1615"/>
      <c r="L21" s="453"/>
    </row>
    <row r="22" spans="1:12" ht="15.75" customHeight="1" collapsed="1" x14ac:dyDescent="0.2">
      <c r="A22" s="2514" t="s">
        <v>592</v>
      </c>
      <c r="B22" s="2515"/>
      <c r="C22" s="1582"/>
      <c r="D22" s="1582"/>
      <c r="E22" s="1582"/>
      <c r="F22" s="1582"/>
      <c r="G22" s="1582"/>
      <c r="H22" s="1582"/>
      <c r="I22" s="1582"/>
      <c r="J22" s="1582"/>
      <c r="K22" s="1582"/>
      <c r="L22" s="325"/>
    </row>
    <row r="23" spans="1:12" s="433" customFormat="1" ht="15.75" customHeight="1" x14ac:dyDescent="0.2">
      <c r="A23" s="2510" t="s">
        <v>290</v>
      </c>
      <c r="B23" s="2511"/>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4000000</v>
      </c>
      <c r="D25" s="1574">
        <v>85000</v>
      </c>
      <c r="E25" s="1574">
        <v>15000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1767</v>
      </c>
      <c r="B30" s="455">
        <v>7160</v>
      </c>
      <c r="C30" s="1582"/>
      <c r="D30" s="1574">
        <v>0</v>
      </c>
      <c r="E30" s="1582"/>
      <c r="F30" s="1582"/>
      <c r="G30" s="1582"/>
      <c r="H30" s="1582"/>
      <c r="I30" s="1582"/>
      <c r="J30" s="1582"/>
      <c r="K30" s="1582"/>
      <c r="L30" s="453"/>
    </row>
    <row r="31" spans="1:12" s="433" customFormat="1" ht="26.25" x14ac:dyDescent="0.2">
      <c r="A31" s="1260" t="s">
        <v>1771</v>
      </c>
      <c r="B31" s="455">
        <v>7170</v>
      </c>
      <c r="C31" s="1582"/>
      <c r="D31" s="1582"/>
      <c r="E31" s="1579">
        <v>0</v>
      </c>
      <c r="F31" s="1582"/>
      <c r="G31" s="1582"/>
      <c r="H31" s="1582"/>
      <c r="I31" s="1582"/>
      <c r="J31" s="1582"/>
      <c r="K31" s="1582"/>
      <c r="L31" s="453"/>
    </row>
    <row r="32" spans="1:12" s="433" customFormat="1" ht="15.75" customHeight="1" x14ac:dyDescent="0.2">
      <c r="A32" s="2512" t="s">
        <v>974</v>
      </c>
      <c r="B32" s="2513"/>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520" t="s">
        <v>371</v>
      </c>
      <c r="B44" s="2521"/>
      <c r="C44" s="1624">
        <f>SUM(C24:C43)</f>
        <v>4000000</v>
      </c>
      <c r="D44" s="1624">
        <f t="shared" ref="D44:K44" si="6">SUM(D24:D43)</f>
        <v>85000</v>
      </c>
      <c r="E44" s="1624">
        <f t="shared" si="6"/>
        <v>15000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514" t="s">
        <v>108</v>
      </c>
      <c r="B45" s="2515"/>
      <c r="C45" s="1625"/>
      <c r="D45" s="1625"/>
      <c r="E45" s="1625"/>
      <c r="F45" s="1625"/>
      <c r="G45" s="1625"/>
      <c r="H45" s="1625"/>
      <c r="I45" s="1625"/>
      <c r="J45" s="1625"/>
      <c r="K45" s="1625"/>
      <c r="L45" s="325"/>
    </row>
    <row r="46" spans="1:12" s="433" customFormat="1" ht="15.75" customHeight="1" x14ac:dyDescent="0.2">
      <c r="A46" s="2522" t="s">
        <v>109</v>
      </c>
      <c r="B46" s="2523"/>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4100000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496" t="s">
        <v>437</v>
      </c>
      <c r="B76" s="2497"/>
      <c r="C76" s="1624">
        <f t="shared" ref="C76:K76" si="7">SUM(C47:C75)</f>
        <v>0</v>
      </c>
      <c r="D76" s="1624">
        <f t="shared" si="7"/>
        <v>0</v>
      </c>
      <c r="E76" s="1624">
        <f t="shared" si="7"/>
        <v>0</v>
      </c>
      <c r="F76" s="1624">
        <f t="shared" si="7"/>
        <v>0</v>
      </c>
      <c r="G76" s="1624">
        <f t="shared" si="7"/>
        <v>0</v>
      </c>
      <c r="H76" s="1624">
        <f t="shared" si="7"/>
        <v>0</v>
      </c>
      <c r="I76" s="1624">
        <f t="shared" si="7"/>
        <v>4100000</v>
      </c>
      <c r="J76" s="1624">
        <f t="shared" si="7"/>
        <v>0</v>
      </c>
      <c r="K76" s="1624">
        <f t="shared" si="7"/>
        <v>0</v>
      </c>
      <c r="L76" s="453"/>
    </row>
    <row r="77" spans="1:12" ht="14.25" thickTop="1" thickBot="1" x14ac:dyDescent="0.25">
      <c r="A77" s="2498" t="s">
        <v>1167</v>
      </c>
      <c r="B77" s="2499"/>
      <c r="C77" s="1624">
        <f t="shared" ref="C77:K77" si="8">C44-C76</f>
        <v>4000000</v>
      </c>
      <c r="D77" s="1624">
        <f t="shared" si="8"/>
        <v>85000</v>
      </c>
      <c r="E77" s="1624">
        <f t="shared" si="8"/>
        <v>15000</v>
      </c>
      <c r="F77" s="1624">
        <f t="shared" si="8"/>
        <v>0</v>
      </c>
      <c r="G77" s="1624">
        <f t="shared" si="8"/>
        <v>0</v>
      </c>
      <c r="H77" s="1624">
        <f t="shared" si="8"/>
        <v>0</v>
      </c>
      <c r="I77" s="1624">
        <f t="shared" si="8"/>
        <v>-4100000</v>
      </c>
      <c r="J77" s="1624">
        <f t="shared" si="8"/>
        <v>0</v>
      </c>
      <c r="K77" s="1624">
        <f t="shared" si="8"/>
        <v>0</v>
      </c>
      <c r="L77" s="325"/>
    </row>
    <row r="78" spans="1:12" ht="21.75" customHeight="1" thickTop="1" thickBot="1" x14ac:dyDescent="0.25">
      <c r="A78" s="2502" t="s">
        <v>593</v>
      </c>
      <c r="B78" s="2503"/>
      <c r="C78" s="1629">
        <f t="shared" ref="C78:K78" si="9">C20+C77</f>
        <v>3621165</v>
      </c>
      <c r="D78" s="1629">
        <f t="shared" si="9"/>
        <v>139807</v>
      </c>
      <c r="E78" s="1629">
        <f t="shared" si="9"/>
        <v>26781</v>
      </c>
      <c r="F78" s="1629">
        <f t="shared" si="9"/>
        <v>-41972</v>
      </c>
      <c r="G78" s="1629">
        <f t="shared" si="9"/>
        <v>-29789</v>
      </c>
      <c r="H78" s="1629">
        <f t="shared" si="9"/>
        <v>83266</v>
      </c>
      <c r="I78" s="1629">
        <f t="shared" si="9"/>
        <v>-4072858</v>
      </c>
      <c r="J78" s="1629">
        <f t="shared" si="9"/>
        <v>6320</v>
      </c>
      <c r="K78" s="1629">
        <f t="shared" si="9"/>
        <v>53125</v>
      </c>
      <c r="L78" s="457"/>
    </row>
    <row r="79" spans="1:12" ht="13.5" thickTop="1" x14ac:dyDescent="0.2">
      <c r="A79" s="1844" t="str">
        <f>"Fund Balances - July 1, "&amp;'AFR20'!E2-1</f>
        <v>Fund Balances - July 1, 2019</v>
      </c>
      <c r="B79" s="458"/>
      <c r="C79" s="1583">
        <v>5769703</v>
      </c>
      <c r="D79" s="1583">
        <v>514246</v>
      </c>
      <c r="E79" s="1630">
        <v>333863</v>
      </c>
      <c r="F79" s="1630">
        <v>703417</v>
      </c>
      <c r="G79" s="1630">
        <v>810256</v>
      </c>
      <c r="H79" s="1630">
        <v>100706</v>
      </c>
      <c r="I79" s="1630">
        <v>4161485</v>
      </c>
      <c r="J79" s="1630">
        <v>140870</v>
      </c>
      <c r="K79" s="1630">
        <v>136920</v>
      </c>
      <c r="L79" s="325"/>
    </row>
    <row r="80" spans="1:12" x14ac:dyDescent="0.2">
      <c r="A80" s="2508" t="s">
        <v>1768</v>
      </c>
      <c r="B80" s="2509"/>
      <c r="C80" s="1574">
        <v>0</v>
      </c>
      <c r="D80" s="1574">
        <v>0</v>
      </c>
      <c r="E80" s="1574">
        <v>0</v>
      </c>
      <c r="F80" s="1574">
        <v>0</v>
      </c>
      <c r="G80" s="1574">
        <v>0</v>
      </c>
      <c r="H80" s="1574">
        <v>0</v>
      </c>
      <c r="I80" s="1574">
        <v>0</v>
      </c>
      <c r="J80" s="1574">
        <v>0</v>
      </c>
      <c r="K80" s="1574">
        <v>0</v>
      </c>
      <c r="L80" s="325"/>
    </row>
    <row r="81" spans="1:12" ht="13.5" thickBot="1" x14ac:dyDescent="0.25">
      <c r="A81" s="2500" t="str">
        <f>"Fund Balances - June 30, "&amp;'AFR20'!E2</f>
        <v>Fund Balances - June 30, 2020</v>
      </c>
      <c r="B81" s="2501"/>
      <c r="C81" s="1594">
        <f>(SUM(C78:C80))</f>
        <v>9390868</v>
      </c>
      <c r="D81" s="1594">
        <f>SUM(D78:D80)</f>
        <v>654053</v>
      </c>
      <c r="E81" s="1594">
        <f t="shared" ref="E81:K81" si="10">SUM(E78:E80)</f>
        <v>360644</v>
      </c>
      <c r="F81" s="1594">
        <f t="shared" si="10"/>
        <v>661445</v>
      </c>
      <c r="G81" s="1594">
        <f t="shared" si="10"/>
        <v>780467</v>
      </c>
      <c r="H81" s="1594">
        <f t="shared" si="10"/>
        <v>183972</v>
      </c>
      <c r="I81" s="1594">
        <f t="shared" si="10"/>
        <v>88627</v>
      </c>
      <c r="J81" s="1594">
        <f t="shared" si="10"/>
        <v>147190</v>
      </c>
      <c r="K81" s="1594">
        <f t="shared" si="10"/>
        <v>190045</v>
      </c>
      <c r="L81" s="325"/>
    </row>
    <row r="82" spans="1:12" ht="0.75" customHeight="1" thickTop="1" thickBot="1" x14ac:dyDescent="0.25">
      <c r="A82" s="459" t="s">
        <v>340</v>
      </c>
      <c r="B82" s="460"/>
      <c r="C82" s="461">
        <f>(C81-C79)</f>
        <v>3621165</v>
      </c>
      <c r="D82" s="461">
        <f t="shared" ref="D82:K82" si="11">(D81-D79)</f>
        <v>139807</v>
      </c>
      <c r="E82" s="461">
        <f t="shared" si="11"/>
        <v>26781</v>
      </c>
      <c r="F82" s="461">
        <f t="shared" si="11"/>
        <v>-41972</v>
      </c>
      <c r="G82" s="461">
        <f t="shared" si="11"/>
        <v>-29789</v>
      </c>
      <c r="H82" s="461">
        <f t="shared" si="11"/>
        <v>83266</v>
      </c>
      <c r="I82" s="461">
        <f t="shared" si="11"/>
        <v>-4072858</v>
      </c>
      <c r="J82" s="461">
        <f t="shared" si="11"/>
        <v>6320</v>
      </c>
      <c r="K82" s="461">
        <f t="shared" si="11"/>
        <v>53125</v>
      </c>
    </row>
    <row r="83" spans="1:12" ht="14.25" hidden="1" thickTop="1" thickBot="1" x14ac:dyDescent="0.25">
      <c r="A83" s="462" t="s">
        <v>341</v>
      </c>
      <c r="B83" s="428"/>
      <c r="C83" s="463">
        <f>C82/C81</f>
        <v>0.38560493023648079</v>
      </c>
      <c r="D83" s="463">
        <f t="shared" ref="D83:K83" si="12">D82/D81</f>
        <v>0.21375484861318578</v>
      </c>
      <c r="E83" s="463">
        <f t="shared" si="12"/>
        <v>7.4258825878151302E-2</v>
      </c>
      <c r="F83" s="463">
        <f t="shared" si="12"/>
        <v>-6.3455011376607279E-2</v>
      </c>
      <c r="G83" s="463">
        <f t="shared" si="12"/>
        <v>-3.8168173670379404E-2</v>
      </c>
      <c r="H83" s="463">
        <f t="shared" si="12"/>
        <v>0.45260148283434437</v>
      </c>
      <c r="I83" s="463">
        <f t="shared" si="12"/>
        <v>-45.955047558870319</v>
      </c>
      <c r="J83" s="463">
        <f t="shared" si="12"/>
        <v>4.2937699571981791E-2</v>
      </c>
      <c r="K83" s="463">
        <f t="shared" si="12"/>
        <v>0.27953905653924072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A31" sqref="AA31"/>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504" t="s">
        <v>1775</v>
      </c>
      <c r="B1" s="416"/>
      <c r="C1" s="417" t="s">
        <v>422</v>
      </c>
      <c r="D1" s="417" t="s">
        <v>423</v>
      </c>
      <c r="E1" s="417" t="s">
        <v>424</v>
      </c>
      <c r="F1" s="417" t="s">
        <v>425</v>
      </c>
      <c r="G1" s="417" t="s">
        <v>426</v>
      </c>
      <c r="H1" s="417" t="s">
        <v>427</v>
      </c>
      <c r="I1" s="417" t="s">
        <v>428</v>
      </c>
      <c r="J1" s="417" t="s">
        <v>429</v>
      </c>
      <c r="K1" s="417" t="s">
        <v>751</v>
      </c>
    </row>
    <row r="2" spans="1:12" ht="36" x14ac:dyDescent="0.2">
      <c r="A2" s="250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1641</v>
      </c>
      <c r="B5" s="470"/>
      <c r="C5" s="1586">
        <v>4238796</v>
      </c>
      <c r="D5" s="1586">
        <v>397387</v>
      </c>
      <c r="E5" s="1573">
        <v>867825</v>
      </c>
      <c r="F5" s="1631">
        <v>211940</v>
      </c>
      <c r="G5" s="1573">
        <v>119016</v>
      </c>
      <c r="H5" s="1573">
        <v>0</v>
      </c>
      <c r="I5" s="1573">
        <v>19631</v>
      </c>
      <c r="J5" s="1574">
        <v>52556</v>
      </c>
      <c r="K5" s="1573">
        <v>51260</v>
      </c>
    </row>
    <row r="6" spans="1:12" ht="15" x14ac:dyDescent="0.2">
      <c r="A6" s="427" t="s">
        <v>1642</v>
      </c>
      <c r="B6" s="429">
        <v>1130</v>
      </c>
      <c r="C6" s="1573">
        <v>0</v>
      </c>
      <c r="D6" s="1573">
        <v>0</v>
      </c>
      <c r="E6" s="1580"/>
      <c r="F6" s="1580"/>
      <c r="G6" s="1575"/>
      <c r="H6" s="1575"/>
      <c r="I6" s="1575"/>
      <c r="J6" s="1575"/>
      <c r="K6" s="1575"/>
    </row>
    <row r="7" spans="1:12" x14ac:dyDescent="0.2">
      <c r="A7" s="427" t="s">
        <v>110</v>
      </c>
      <c r="B7" s="471">
        <v>1140</v>
      </c>
      <c r="C7" s="1573">
        <v>42183</v>
      </c>
      <c r="D7" s="1573">
        <v>0</v>
      </c>
      <c r="E7" s="1575"/>
      <c r="F7" s="1574">
        <v>0</v>
      </c>
      <c r="G7" s="1574">
        <v>0</v>
      </c>
      <c r="H7" s="1574">
        <v>0</v>
      </c>
      <c r="I7" s="1575"/>
      <c r="J7" s="1575"/>
      <c r="K7" s="1575"/>
    </row>
    <row r="8" spans="1:12" x14ac:dyDescent="0.2">
      <c r="A8" s="427" t="s">
        <v>410</v>
      </c>
      <c r="B8" s="429">
        <v>1150</v>
      </c>
      <c r="C8" s="1580"/>
      <c r="D8" s="1580"/>
      <c r="E8" s="1582"/>
      <c r="F8" s="1582"/>
      <c r="G8" s="1586">
        <v>106028</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4280979</v>
      </c>
      <c r="D12" s="1633">
        <f t="shared" si="0"/>
        <v>397387</v>
      </c>
      <c r="E12" s="1633">
        <f t="shared" si="0"/>
        <v>867825</v>
      </c>
      <c r="F12" s="1633">
        <f t="shared" si="0"/>
        <v>211940</v>
      </c>
      <c r="G12" s="1633">
        <f t="shared" si="0"/>
        <v>225044</v>
      </c>
      <c r="H12" s="1633">
        <f t="shared" si="0"/>
        <v>0</v>
      </c>
      <c r="I12" s="1633">
        <f t="shared" si="0"/>
        <v>19631</v>
      </c>
      <c r="J12" s="1633">
        <f t="shared" si="0"/>
        <v>52556</v>
      </c>
      <c r="K12" s="1594">
        <f t="shared" si="0"/>
        <v>51260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1643</v>
      </c>
      <c r="B16" s="471">
        <v>1230</v>
      </c>
      <c r="C16" s="1632">
        <v>515494</v>
      </c>
      <c r="D16" s="1573">
        <v>120000</v>
      </c>
      <c r="E16" s="1573">
        <v>0</v>
      </c>
      <c r="F16" s="1573">
        <v>75000</v>
      </c>
      <c r="G16" s="1573">
        <v>61500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515494</v>
      </c>
      <c r="D18" s="1635">
        <f t="shared" ref="D18:K18" si="1">SUM(D14:D17)</f>
        <v>120000</v>
      </c>
      <c r="E18" s="1635">
        <f t="shared" si="1"/>
        <v>0</v>
      </c>
      <c r="F18" s="1635">
        <f t="shared" si="1"/>
        <v>75000</v>
      </c>
      <c r="G18" s="1635">
        <f t="shared" si="1"/>
        <v>61500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3420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3420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156547</v>
      </c>
      <c r="D65" s="1573">
        <v>6155</v>
      </c>
      <c r="E65" s="1573">
        <v>3457</v>
      </c>
      <c r="F65" s="1574">
        <v>6468</v>
      </c>
      <c r="G65" s="1573">
        <v>7522</v>
      </c>
      <c r="H65" s="1573">
        <v>1575</v>
      </c>
      <c r="I65" s="1573">
        <v>7511</v>
      </c>
      <c r="J65" s="1574">
        <v>3764</v>
      </c>
      <c r="K65" s="1573">
        <v>1865</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156547</v>
      </c>
      <c r="D67" s="1594">
        <f t="shared" ref="D67:K67" si="2">SUM(D65:D66)</f>
        <v>6155</v>
      </c>
      <c r="E67" s="1594">
        <f t="shared" si="2"/>
        <v>3457</v>
      </c>
      <c r="F67" s="1594">
        <f t="shared" si="2"/>
        <v>6468</v>
      </c>
      <c r="G67" s="1594">
        <f t="shared" si="2"/>
        <v>7522</v>
      </c>
      <c r="H67" s="1594">
        <f t="shared" si="2"/>
        <v>1575</v>
      </c>
      <c r="I67" s="1594">
        <f t="shared" si="2"/>
        <v>7511</v>
      </c>
      <c r="J67" s="1594">
        <f t="shared" si="2"/>
        <v>3764</v>
      </c>
      <c r="K67" s="1594">
        <f t="shared" si="2"/>
        <v>1865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218</v>
      </c>
      <c r="D70" s="1575"/>
      <c r="E70" s="1575"/>
      <c r="F70" s="1575"/>
      <c r="G70" s="1575"/>
      <c r="H70" s="1575"/>
      <c r="I70" s="1575"/>
      <c r="J70" s="1575"/>
      <c r="K70" s="1575"/>
    </row>
    <row r="71" spans="1:11" ht="12.75" customHeight="1" x14ac:dyDescent="0.2">
      <c r="A71" s="427" t="s">
        <v>271</v>
      </c>
      <c r="B71" s="429">
        <v>1613</v>
      </c>
      <c r="C71" s="1632">
        <v>1843</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4179</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6240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13520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13520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13170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13170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31274</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232403</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14415</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45689</v>
      </c>
      <c r="D108" s="1633">
        <f t="shared" ref="D108:K108" si="3">SUM(D95:D107)</f>
        <v>0</v>
      </c>
      <c r="E108" s="1633">
        <f t="shared" si="3"/>
        <v>0</v>
      </c>
      <c r="F108" s="1633">
        <f t="shared" si="3"/>
        <v>0</v>
      </c>
      <c r="G108" s="1633">
        <f t="shared" si="3"/>
        <v>0</v>
      </c>
      <c r="H108" s="1633">
        <f t="shared" si="3"/>
        <v>232403</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5035059</v>
      </c>
      <c r="D109" s="1641">
        <f t="shared" si="4"/>
        <v>523542</v>
      </c>
      <c r="E109" s="1641">
        <f t="shared" si="4"/>
        <v>871282</v>
      </c>
      <c r="F109" s="1641">
        <f t="shared" si="4"/>
        <v>293408</v>
      </c>
      <c r="G109" s="1641">
        <f t="shared" si="4"/>
        <v>294066</v>
      </c>
      <c r="H109" s="1641">
        <f t="shared" si="4"/>
        <v>233978</v>
      </c>
      <c r="I109" s="1641">
        <f t="shared" si="4"/>
        <v>27142</v>
      </c>
      <c r="J109" s="1641">
        <f t="shared" si="4"/>
        <v>56320</v>
      </c>
      <c r="K109" s="1629">
        <f t="shared" si="4"/>
        <v>53125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1647</v>
      </c>
      <c r="B117" s="478">
        <v>3001</v>
      </c>
      <c r="C117" s="1613">
        <v>1324001</v>
      </c>
      <c r="D117" s="1586">
        <v>0</v>
      </c>
      <c r="E117" s="1573">
        <v>0</v>
      </c>
      <c r="F117" s="1586">
        <v>0</v>
      </c>
      <c r="G117" s="1586">
        <v>0</v>
      </c>
      <c r="H117" s="1573">
        <v>0</v>
      </c>
      <c r="I117" s="1575"/>
      <c r="J117" s="1574">
        <v>0</v>
      </c>
      <c r="K117" s="1573">
        <v>0</v>
      </c>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1891</v>
      </c>
      <c r="B120" s="478">
        <v>3030</v>
      </c>
      <c r="C120" s="1632">
        <v>0</v>
      </c>
      <c r="D120" s="1573">
        <v>0</v>
      </c>
      <c r="E120" s="1573">
        <v>0</v>
      </c>
      <c r="F120" s="1573">
        <v>0</v>
      </c>
      <c r="G120" s="1573">
        <v>0</v>
      </c>
      <c r="H120" s="1573">
        <v>0</v>
      </c>
      <c r="I120" s="1575"/>
      <c r="J120" s="1574">
        <v>0</v>
      </c>
      <c r="K120" s="1573">
        <v>0</v>
      </c>
    </row>
    <row r="121" spans="1:11" x14ac:dyDescent="0.2">
      <c r="A121" s="1266" t="s">
        <v>1774</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1324001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35054</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25832</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60886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4363</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6931</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2829</v>
      </c>
      <c r="G152" s="1574">
        <v>0</v>
      </c>
      <c r="H152" s="1575"/>
      <c r="I152" s="1575"/>
      <c r="J152" s="1575"/>
      <c r="K152" s="1575"/>
    </row>
    <row r="153" spans="1:11" ht="12.75" customHeight="1" x14ac:dyDescent="0.2">
      <c r="A153" s="427" t="s">
        <v>1048</v>
      </c>
      <c r="B153" s="478">
        <v>3510</v>
      </c>
      <c r="C153" s="1632">
        <v>0</v>
      </c>
      <c r="D153" s="1573">
        <v>0</v>
      </c>
      <c r="E153" s="1640"/>
      <c r="F153" s="1573">
        <v>215824</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218653</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2256120</v>
      </c>
      <c r="D159" s="1653">
        <v>0</v>
      </c>
      <c r="E159" s="1640"/>
      <c r="F159" s="1651">
        <v>0</v>
      </c>
      <c r="G159" s="1651">
        <v>88427</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524" t="s">
        <v>395</v>
      </c>
      <c r="B169" s="2525"/>
      <c r="C169" s="1658">
        <f t="shared" ref="C169:K169" si="6">SUM(C132,C141,C145,C146:C150,C155,C156:C167,C168)</f>
        <v>2328300</v>
      </c>
      <c r="D169" s="1658">
        <f t="shared" si="6"/>
        <v>0</v>
      </c>
      <c r="E169" s="1658">
        <f t="shared" si="6"/>
        <v>0</v>
      </c>
      <c r="F169" s="1658">
        <f t="shared" si="6"/>
        <v>218653</v>
      </c>
      <c r="G169" s="1658">
        <f t="shared" si="6"/>
        <v>88427</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3652301</v>
      </c>
      <c r="D170" s="1641">
        <f t="shared" si="7"/>
        <v>0</v>
      </c>
      <c r="E170" s="1641">
        <f t="shared" si="7"/>
        <v>0</v>
      </c>
      <c r="F170" s="1641">
        <f t="shared" si="7"/>
        <v>218653</v>
      </c>
      <c r="G170" s="1641">
        <f t="shared" si="7"/>
        <v>88427</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526" t="s">
        <v>1475</v>
      </c>
      <c r="B172" s="2527"/>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530" t="s">
        <v>1645</v>
      </c>
      <c r="B175" s="253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534" t="s">
        <v>1644</v>
      </c>
      <c r="B176" s="2535"/>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532" t="s">
        <v>780</v>
      </c>
      <c r="B181" s="253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528" t="s">
        <v>1776</v>
      </c>
      <c r="B182" s="2529"/>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v>0</v>
      </c>
      <c r="D184" s="1586">
        <v>0</v>
      </c>
      <c r="E184" s="1640"/>
      <c r="F184" s="1586">
        <v>0</v>
      </c>
      <c r="G184" s="1586">
        <v>0</v>
      </c>
      <c r="H184" s="1575"/>
      <c r="I184" s="1575"/>
      <c r="J184" s="1575"/>
      <c r="K184" s="1575"/>
    </row>
    <row r="185" spans="1:11" ht="12.75" customHeight="1" x14ac:dyDescent="0.2">
      <c r="A185" s="427" t="s">
        <v>1586</v>
      </c>
      <c r="B185" s="429">
        <v>4105</v>
      </c>
      <c r="C185" s="1632">
        <v>0</v>
      </c>
      <c r="D185" s="1573">
        <v>0</v>
      </c>
      <c r="E185" s="1640"/>
      <c r="F185" s="1573">
        <v>0</v>
      </c>
      <c r="G185" s="1573">
        <v>0</v>
      </c>
      <c r="H185" s="1575"/>
      <c r="I185" s="1575"/>
      <c r="J185" s="1575"/>
      <c r="K185" s="1575"/>
    </row>
    <row r="186" spans="1:11" ht="12.75" customHeight="1" x14ac:dyDescent="0.2">
      <c r="A186" s="427" t="s">
        <v>1588</v>
      </c>
      <c r="B186" s="429">
        <v>4107</v>
      </c>
      <c r="C186" s="1632">
        <v>0</v>
      </c>
      <c r="D186" s="1573">
        <v>0</v>
      </c>
      <c r="E186" s="1640"/>
      <c r="F186" s="1573">
        <v>0</v>
      </c>
      <c r="G186" s="1573">
        <v>0</v>
      </c>
      <c r="H186" s="1575"/>
      <c r="I186" s="1575"/>
      <c r="J186" s="1575"/>
      <c r="K186" s="1575"/>
    </row>
    <row r="187" spans="1:11" ht="12.75" customHeight="1" x14ac:dyDescent="0.2">
      <c r="A187" s="427" t="s">
        <v>1587</v>
      </c>
      <c r="B187" s="429">
        <v>4199</v>
      </c>
      <c r="C187" s="1632">
        <v>0</v>
      </c>
      <c r="D187" s="1573">
        <v>0</v>
      </c>
      <c r="E187" s="1640"/>
      <c r="F187" s="1573">
        <v>0</v>
      </c>
      <c r="G187" s="1573">
        <v>0</v>
      </c>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200666</v>
      </c>
      <c r="D191" s="1575"/>
      <c r="E191" s="1640"/>
      <c r="F191" s="1575"/>
      <c r="G191" s="1664">
        <v>0</v>
      </c>
      <c r="H191" s="1575"/>
      <c r="I191" s="1575"/>
      <c r="J191" s="1575"/>
      <c r="K191" s="1575"/>
    </row>
    <row r="192" spans="1:11" ht="12.75" customHeight="1" x14ac:dyDescent="0.2">
      <c r="A192" s="427" t="s">
        <v>1038</v>
      </c>
      <c r="B192" s="429">
        <v>4215</v>
      </c>
      <c r="C192" s="1632">
        <v>1088</v>
      </c>
      <c r="D192" s="1575"/>
      <c r="E192" s="1640"/>
      <c r="F192" s="1575"/>
      <c r="G192" s="1664">
        <v>0</v>
      </c>
      <c r="H192" s="1575"/>
      <c r="I192" s="1575"/>
      <c r="J192" s="1575"/>
      <c r="K192" s="1575"/>
    </row>
    <row r="193" spans="1:11" ht="12.75" customHeight="1" x14ac:dyDescent="0.2">
      <c r="A193" s="427" t="s">
        <v>1050</v>
      </c>
      <c r="B193" s="429">
        <v>4220</v>
      </c>
      <c r="C193" s="1632">
        <v>74096</v>
      </c>
      <c r="D193" s="1575"/>
      <c r="E193" s="1640"/>
      <c r="F193" s="1575"/>
      <c r="G193" s="1664">
        <v>0</v>
      </c>
      <c r="H193" s="1575"/>
      <c r="I193" s="1575"/>
      <c r="J193" s="1575"/>
      <c r="K193" s="1575"/>
    </row>
    <row r="194" spans="1:11" ht="12.75" customHeight="1" x14ac:dyDescent="0.2">
      <c r="A194" s="427" t="s">
        <v>1434</v>
      </c>
      <c r="B194" s="429">
        <v>4225</v>
      </c>
      <c r="C194" s="1632">
        <v>50666</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326516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264363</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264363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229557</v>
      </c>
      <c r="D213" s="1573">
        <v>0</v>
      </c>
      <c r="E213" s="1575"/>
      <c r="F213" s="1573">
        <v>0</v>
      </c>
      <c r="G213" s="1573">
        <v>0</v>
      </c>
      <c r="H213" s="1575"/>
      <c r="I213" s="1575"/>
      <c r="J213" s="1575"/>
      <c r="K213" s="1575"/>
    </row>
    <row r="214" spans="1:11" ht="12.75" customHeight="1" x14ac:dyDescent="0.2">
      <c r="A214" s="427" t="s">
        <v>1045</v>
      </c>
      <c r="B214" s="429">
        <v>4625</v>
      </c>
      <c r="C214" s="1632">
        <v>3953</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233510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1892</v>
      </c>
      <c r="B261" s="429">
        <v>4981</v>
      </c>
      <c r="C261" s="1650">
        <v>0</v>
      </c>
      <c r="D261" s="1651">
        <v>0</v>
      </c>
      <c r="E261" s="1575"/>
      <c r="F261" s="1651">
        <v>0</v>
      </c>
      <c r="G261" s="1651">
        <v>0</v>
      </c>
      <c r="H261" s="1575"/>
      <c r="I261" s="1575"/>
      <c r="J261" s="1575"/>
      <c r="K261" s="1575"/>
    </row>
    <row r="262" spans="1:11" ht="12.75" customHeight="1" thickTop="1" thickBot="1" x14ac:dyDescent="0.25">
      <c r="A262" s="1540" t="s">
        <v>1893</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6054</v>
      </c>
      <c r="D263" s="1651">
        <v>0</v>
      </c>
      <c r="E263" s="1575"/>
      <c r="F263" s="1651">
        <v>0</v>
      </c>
      <c r="G263" s="1651">
        <v>0</v>
      </c>
      <c r="H263" s="1575"/>
      <c r="I263" s="1575"/>
      <c r="J263" s="1575"/>
      <c r="K263" s="1575"/>
    </row>
    <row r="264" spans="1:11" ht="12.75" customHeight="1" thickTop="1" thickBot="1" x14ac:dyDescent="0.25">
      <c r="A264" s="427" t="s">
        <v>374</v>
      </c>
      <c r="B264" s="429">
        <v>4992</v>
      </c>
      <c r="C264" s="1650">
        <v>9533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1646</v>
      </c>
      <c r="B266" s="1419"/>
      <c r="C266" s="1641">
        <f t="shared" ref="C266:H266" si="10">SUM(C188,C198,C204,C209,C217,C221,C222,C252:C265)</f>
        <v>839976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839976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9527336</v>
      </c>
      <c r="D268" s="1641">
        <f t="shared" si="12"/>
        <v>523542</v>
      </c>
      <c r="E268" s="1641">
        <f t="shared" si="12"/>
        <v>871282</v>
      </c>
      <c r="F268" s="1641">
        <f t="shared" si="12"/>
        <v>512061</v>
      </c>
      <c r="G268" s="1641">
        <f t="shared" si="12"/>
        <v>382493</v>
      </c>
      <c r="H268" s="1641">
        <f t="shared" si="12"/>
        <v>233978</v>
      </c>
      <c r="I268" s="1641">
        <f t="shared" si="12"/>
        <v>27142</v>
      </c>
      <c r="J268" s="1641">
        <f t="shared" si="12"/>
        <v>56320</v>
      </c>
      <c r="K268" s="1629">
        <f t="shared" si="12"/>
        <v>53125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A31" sqref="AA3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504"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53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542" t="s">
        <v>294</v>
      </c>
      <c r="B3" s="254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2524638</v>
      </c>
      <c r="D5" s="1573">
        <v>448874</v>
      </c>
      <c r="E5" s="1573">
        <v>5546</v>
      </c>
      <c r="F5" s="1573">
        <v>99792</v>
      </c>
      <c r="G5" s="1573">
        <v>12206</v>
      </c>
      <c r="H5" s="1573">
        <v>0</v>
      </c>
      <c r="I5" s="1574">
        <v>0</v>
      </c>
      <c r="J5" s="1574">
        <v>0</v>
      </c>
      <c r="K5" s="1672">
        <f>SUM(C5:J5)</f>
        <v>3091056</v>
      </c>
      <c r="L5" s="1573">
        <v>3181950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132035</v>
      </c>
      <c r="D7" s="1574">
        <v>37049</v>
      </c>
      <c r="E7" s="1574">
        <v>6775</v>
      </c>
      <c r="F7" s="1574">
        <v>52045</v>
      </c>
      <c r="G7" s="1574">
        <v>0</v>
      </c>
      <c r="H7" s="1574">
        <v>0</v>
      </c>
      <c r="I7" s="1574">
        <v>0</v>
      </c>
      <c r="J7" s="1574">
        <v>0</v>
      </c>
      <c r="K7" s="1672">
        <f t="shared" ref="K7:K32" si="0">SUM(C7:J7)</f>
        <v>227904</v>
      </c>
      <c r="L7" s="1573">
        <v>2100000</v>
      </c>
    </row>
    <row r="8" spans="1:14" x14ac:dyDescent="0.2">
      <c r="A8" s="1274" t="s">
        <v>163</v>
      </c>
      <c r="B8" s="503">
        <v>1200</v>
      </c>
      <c r="C8" s="1573">
        <v>120154</v>
      </c>
      <c r="D8" s="1573">
        <v>8379</v>
      </c>
      <c r="E8" s="1573">
        <v>0</v>
      </c>
      <c r="F8" s="1573">
        <v>0</v>
      </c>
      <c r="G8" s="1573">
        <v>0</v>
      </c>
      <c r="H8" s="1573">
        <v>0</v>
      </c>
      <c r="I8" s="1574">
        <v>0</v>
      </c>
      <c r="J8" s="1574">
        <v>0</v>
      </c>
      <c r="K8" s="1672">
        <f t="shared" si="0"/>
        <v>128533</v>
      </c>
      <c r="L8" s="1573">
        <v>135000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121728</v>
      </c>
      <c r="D10" s="1573">
        <v>16400</v>
      </c>
      <c r="E10" s="1573">
        <v>0</v>
      </c>
      <c r="F10" s="1573">
        <v>0</v>
      </c>
      <c r="G10" s="1573">
        <v>0</v>
      </c>
      <c r="H10" s="1573">
        <v>0</v>
      </c>
      <c r="I10" s="1574">
        <v>0</v>
      </c>
      <c r="J10" s="1574">
        <v>0</v>
      </c>
      <c r="K10" s="1672">
        <f t="shared" si="0"/>
        <v>138128</v>
      </c>
      <c r="L10" s="1573">
        <v>154000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111308</v>
      </c>
      <c r="D13" s="1573">
        <v>12615</v>
      </c>
      <c r="E13" s="1573">
        <v>0</v>
      </c>
      <c r="F13" s="1573">
        <v>0</v>
      </c>
      <c r="G13" s="1573">
        <v>0</v>
      </c>
      <c r="H13" s="1573">
        <v>0</v>
      </c>
      <c r="I13" s="1574">
        <v>0</v>
      </c>
      <c r="J13" s="1574">
        <v>0</v>
      </c>
      <c r="K13" s="1672">
        <f t="shared" si="0"/>
        <v>123923</v>
      </c>
      <c r="L13" s="1573">
        <v>125000</v>
      </c>
    </row>
    <row r="14" spans="1:14" x14ac:dyDescent="0.2">
      <c r="A14" s="1274" t="s">
        <v>957</v>
      </c>
      <c r="B14" s="503">
        <v>1500</v>
      </c>
      <c r="C14" s="1573">
        <v>0</v>
      </c>
      <c r="D14" s="1573">
        <v>0</v>
      </c>
      <c r="E14" s="1573">
        <v>5675</v>
      </c>
      <c r="F14" s="1573">
        <v>14869</v>
      </c>
      <c r="G14" s="1573">
        <v>0</v>
      </c>
      <c r="H14" s="1573">
        <v>7996</v>
      </c>
      <c r="I14" s="1574">
        <v>0</v>
      </c>
      <c r="J14" s="1574">
        <v>0</v>
      </c>
      <c r="K14" s="1672">
        <f t="shared" si="0"/>
        <v>28540</v>
      </c>
      <c r="L14" s="1573">
        <v>59000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21395</v>
      </c>
      <c r="D17" s="1574">
        <v>2681</v>
      </c>
      <c r="E17" s="1574">
        <v>740</v>
      </c>
      <c r="F17" s="1574">
        <v>648</v>
      </c>
      <c r="G17" s="1574">
        <v>0</v>
      </c>
      <c r="H17" s="1574">
        <v>0</v>
      </c>
      <c r="I17" s="1574">
        <v>0</v>
      </c>
      <c r="J17" s="1574">
        <v>0</v>
      </c>
      <c r="K17" s="1672">
        <f t="shared" si="0"/>
        <v>25464</v>
      </c>
      <c r="L17" s="1573">
        <v>27500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80144</v>
      </c>
      <c r="I22" s="1673"/>
      <c r="J22" s="1582"/>
      <c r="K22" s="1672">
        <f t="shared" si="0"/>
        <v>80144</v>
      </c>
      <c r="L22" s="1577">
        <v>185000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1648</v>
      </c>
      <c r="B33" s="1381" t="s">
        <v>566</v>
      </c>
      <c r="C33" s="1674">
        <f>SUM(C5:C32)</f>
        <v>3031258</v>
      </c>
      <c r="D33" s="1674">
        <f t="shared" ref="D33:L33" si="1">SUM(D5:D32)</f>
        <v>525998</v>
      </c>
      <c r="E33" s="1674">
        <f t="shared" si="1"/>
        <v>18736</v>
      </c>
      <c r="F33" s="1674">
        <f t="shared" si="1"/>
        <v>167354</v>
      </c>
      <c r="G33" s="1674">
        <f t="shared" si="1"/>
        <v>12206</v>
      </c>
      <c r="H33" s="1674">
        <f t="shared" si="1"/>
        <v>88140</v>
      </c>
      <c r="I33" s="1674">
        <f t="shared" si="1"/>
        <v>0</v>
      </c>
      <c r="J33" s="1674">
        <f t="shared" si="1"/>
        <v>0</v>
      </c>
      <c r="K33" s="1674">
        <f t="shared" si="1"/>
        <v>3843692</v>
      </c>
      <c r="L33" s="1674">
        <f t="shared" si="1"/>
        <v>5967450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120946</v>
      </c>
      <c r="D37" s="1573">
        <v>17949</v>
      </c>
      <c r="E37" s="1573">
        <v>0</v>
      </c>
      <c r="F37" s="1573">
        <v>0</v>
      </c>
      <c r="G37" s="1573">
        <v>0</v>
      </c>
      <c r="H37" s="1573">
        <v>0</v>
      </c>
      <c r="I37" s="1574">
        <v>0</v>
      </c>
      <c r="J37" s="1574">
        <v>0</v>
      </c>
      <c r="K37" s="1672">
        <f t="shared" si="2"/>
        <v>138895</v>
      </c>
      <c r="L37" s="1573">
        <v>160000</v>
      </c>
    </row>
    <row r="38" spans="1:14" x14ac:dyDescent="0.2">
      <c r="A38" s="1274" t="s">
        <v>196</v>
      </c>
      <c r="B38" s="503">
        <v>2130</v>
      </c>
      <c r="C38" s="1573">
        <v>0</v>
      </c>
      <c r="D38" s="1573">
        <v>0</v>
      </c>
      <c r="E38" s="1573">
        <v>42841</v>
      </c>
      <c r="F38" s="1573">
        <v>0</v>
      </c>
      <c r="G38" s="1573">
        <v>0</v>
      </c>
      <c r="H38" s="1573">
        <v>0</v>
      </c>
      <c r="I38" s="1573">
        <v>0</v>
      </c>
      <c r="J38" s="1573">
        <v>0</v>
      </c>
      <c r="K38" s="1672">
        <f t="shared" si="2"/>
        <v>42841</v>
      </c>
      <c r="L38" s="1573">
        <v>37000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1649</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120946</v>
      </c>
      <c r="D42" s="1674">
        <f t="shared" ref="D42:L42" si="3">SUM(D36:D41)</f>
        <v>17949</v>
      </c>
      <c r="E42" s="1674">
        <f t="shared" si="3"/>
        <v>42841</v>
      </c>
      <c r="F42" s="1674">
        <f t="shared" si="3"/>
        <v>0</v>
      </c>
      <c r="G42" s="1674">
        <f t="shared" si="3"/>
        <v>0</v>
      </c>
      <c r="H42" s="1674">
        <f t="shared" si="3"/>
        <v>0</v>
      </c>
      <c r="I42" s="1674">
        <f t="shared" si="3"/>
        <v>0</v>
      </c>
      <c r="J42" s="1674">
        <f t="shared" si="3"/>
        <v>0</v>
      </c>
      <c r="K42" s="1674">
        <f t="shared" si="3"/>
        <v>181736</v>
      </c>
      <c r="L42" s="1674">
        <f t="shared" si="3"/>
        <v>197000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49470</v>
      </c>
      <c r="D44" s="1586">
        <v>5676</v>
      </c>
      <c r="E44" s="1586">
        <v>52974</v>
      </c>
      <c r="F44" s="1586">
        <v>56835</v>
      </c>
      <c r="G44" s="1586">
        <v>0</v>
      </c>
      <c r="H44" s="1586">
        <v>0</v>
      </c>
      <c r="I44" s="1574">
        <v>0</v>
      </c>
      <c r="J44" s="1574">
        <v>0</v>
      </c>
      <c r="K44" s="1678">
        <f>SUM(C44:J44)</f>
        <v>164955</v>
      </c>
      <c r="L44" s="1586">
        <v>20400</v>
      </c>
    </row>
    <row r="45" spans="1:14" x14ac:dyDescent="0.2">
      <c r="A45" s="1274" t="s">
        <v>810</v>
      </c>
      <c r="B45" s="503">
        <v>2220</v>
      </c>
      <c r="C45" s="1573">
        <v>45963</v>
      </c>
      <c r="D45" s="1573">
        <v>9565</v>
      </c>
      <c r="E45" s="1573">
        <v>26450</v>
      </c>
      <c r="F45" s="1573">
        <v>34939</v>
      </c>
      <c r="G45" s="1573">
        <v>53027</v>
      </c>
      <c r="H45" s="1573">
        <v>0</v>
      </c>
      <c r="I45" s="1574">
        <v>0</v>
      </c>
      <c r="J45" s="1574">
        <v>0</v>
      </c>
      <c r="K45" s="1678">
        <f>SUM(C45:J45)</f>
        <v>169944</v>
      </c>
      <c r="L45" s="1573">
        <v>176500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3000</v>
      </c>
    </row>
    <row r="47" spans="1:14" ht="12.75" customHeight="1" thickBot="1" x14ac:dyDescent="0.25">
      <c r="A47" s="1380" t="s">
        <v>557</v>
      </c>
      <c r="B47" s="1381" t="s">
        <v>32</v>
      </c>
      <c r="C47" s="1674">
        <f>SUM(C44:C46)</f>
        <v>95433</v>
      </c>
      <c r="D47" s="1674">
        <f t="shared" ref="D47:K47" si="4">SUM(D44:D46)</f>
        <v>15241</v>
      </c>
      <c r="E47" s="1674">
        <f t="shared" si="4"/>
        <v>79424</v>
      </c>
      <c r="F47" s="1674">
        <f t="shared" si="4"/>
        <v>91774</v>
      </c>
      <c r="G47" s="1674">
        <f t="shared" si="4"/>
        <v>53027</v>
      </c>
      <c r="H47" s="1674">
        <f t="shared" si="4"/>
        <v>0</v>
      </c>
      <c r="I47" s="1674">
        <f t="shared" si="4"/>
        <v>0</v>
      </c>
      <c r="J47" s="1674">
        <f t="shared" si="4"/>
        <v>0</v>
      </c>
      <c r="K47" s="1674">
        <f t="shared" si="4"/>
        <v>334899</v>
      </c>
      <c r="L47" s="1674">
        <f>SUM(L44:L46)</f>
        <v>199900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10185</v>
      </c>
      <c r="D49" s="1586">
        <v>0</v>
      </c>
      <c r="E49" s="1586">
        <v>147176</v>
      </c>
      <c r="F49" s="1586">
        <v>0</v>
      </c>
      <c r="G49" s="1586">
        <v>0</v>
      </c>
      <c r="H49" s="1586">
        <v>30431</v>
      </c>
      <c r="I49" s="1574">
        <v>0</v>
      </c>
      <c r="J49" s="1574">
        <v>0</v>
      </c>
      <c r="K49" s="1678">
        <f>SUM(C49:J49)</f>
        <v>187792</v>
      </c>
      <c r="L49" s="1586">
        <v>204900</v>
      </c>
    </row>
    <row r="50" spans="1:14" x14ac:dyDescent="0.2">
      <c r="A50" s="1274" t="s">
        <v>813</v>
      </c>
      <c r="B50" s="503">
        <v>2320</v>
      </c>
      <c r="C50" s="1574">
        <v>375320</v>
      </c>
      <c r="D50" s="1573">
        <v>45270</v>
      </c>
      <c r="E50" s="1573">
        <v>15880</v>
      </c>
      <c r="F50" s="1573">
        <v>610</v>
      </c>
      <c r="G50" s="1573">
        <v>0</v>
      </c>
      <c r="H50" s="1573">
        <v>577</v>
      </c>
      <c r="I50" s="1574">
        <v>0</v>
      </c>
      <c r="J50" s="1574">
        <v>0</v>
      </c>
      <c r="K50" s="1678">
        <f>SUM(C50:J50)</f>
        <v>437657</v>
      </c>
      <c r="L50" s="1573">
        <v>275500</v>
      </c>
    </row>
    <row r="51" spans="1:14" x14ac:dyDescent="0.2">
      <c r="A51" s="1274" t="s">
        <v>42</v>
      </c>
      <c r="B51" s="503">
        <v>2330</v>
      </c>
      <c r="C51" s="1573">
        <v>4360</v>
      </c>
      <c r="D51" s="1573">
        <v>827</v>
      </c>
      <c r="E51" s="1573">
        <v>10645</v>
      </c>
      <c r="F51" s="1573">
        <v>1484</v>
      </c>
      <c r="G51" s="1573">
        <v>900</v>
      </c>
      <c r="H51" s="1573">
        <v>0</v>
      </c>
      <c r="I51" s="1574">
        <v>0</v>
      </c>
      <c r="J51" s="1574">
        <v>0</v>
      </c>
      <c r="K51" s="1678">
        <f>SUM(C51:J51)</f>
        <v>18216</v>
      </c>
      <c r="L51" s="1573">
        <v>6000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389865</v>
      </c>
      <c r="D53" s="1674">
        <f t="shared" ref="D53:L53" si="5">SUM(D49:D52)</f>
        <v>46097</v>
      </c>
      <c r="E53" s="1674">
        <f t="shared" si="5"/>
        <v>173701</v>
      </c>
      <c r="F53" s="1674">
        <f t="shared" si="5"/>
        <v>2094</v>
      </c>
      <c r="G53" s="1674">
        <f t="shared" si="5"/>
        <v>900</v>
      </c>
      <c r="H53" s="1674">
        <f t="shared" si="5"/>
        <v>31008</v>
      </c>
      <c r="I53" s="1674">
        <f t="shared" si="5"/>
        <v>0</v>
      </c>
      <c r="J53" s="1674">
        <f t="shared" si="5"/>
        <v>0</v>
      </c>
      <c r="K53" s="1674">
        <f t="shared" si="5"/>
        <v>643665</v>
      </c>
      <c r="L53" s="1674">
        <f t="shared" si="5"/>
        <v>486400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426015</v>
      </c>
      <c r="D55" s="1586">
        <v>71506</v>
      </c>
      <c r="E55" s="1586">
        <v>14382</v>
      </c>
      <c r="F55" s="1586">
        <v>0</v>
      </c>
      <c r="G55" s="1586">
        <v>0</v>
      </c>
      <c r="H55" s="1586">
        <v>0</v>
      </c>
      <c r="I55" s="1574">
        <v>0</v>
      </c>
      <c r="J55" s="1574">
        <v>0</v>
      </c>
      <c r="K55" s="1678">
        <f>SUM(C55:J55)</f>
        <v>511903</v>
      </c>
      <c r="L55" s="1586">
        <v>601800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426015</v>
      </c>
      <c r="D57" s="1679">
        <f t="shared" ref="D57:K57" si="6">SUM(D55:D56)</f>
        <v>71506</v>
      </c>
      <c r="E57" s="1679">
        <f t="shared" si="6"/>
        <v>14382</v>
      </c>
      <c r="F57" s="1679">
        <f t="shared" si="6"/>
        <v>0</v>
      </c>
      <c r="G57" s="1679">
        <f t="shared" si="6"/>
        <v>0</v>
      </c>
      <c r="H57" s="1679">
        <f t="shared" si="6"/>
        <v>0</v>
      </c>
      <c r="I57" s="1679">
        <f t="shared" si="6"/>
        <v>0</v>
      </c>
      <c r="J57" s="1679">
        <f t="shared" si="6"/>
        <v>0</v>
      </c>
      <c r="K57" s="1679">
        <f t="shared" si="6"/>
        <v>511903</v>
      </c>
      <c r="L57" s="1674">
        <f>SUM(L55:L56)</f>
        <v>601800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55834</v>
      </c>
      <c r="D60" s="1573">
        <v>6729</v>
      </c>
      <c r="E60" s="1573">
        <v>0</v>
      </c>
      <c r="F60" s="1573">
        <v>1491</v>
      </c>
      <c r="G60" s="1573">
        <v>0</v>
      </c>
      <c r="H60" s="1573">
        <v>0</v>
      </c>
      <c r="I60" s="1574">
        <v>0</v>
      </c>
      <c r="J60" s="1574">
        <v>0</v>
      </c>
      <c r="K60" s="1678">
        <f t="shared" si="7"/>
        <v>64054</v>
      </c>
      <c r="L60" s="1573">
        <v>86000</v>
      </c>
      <c r="M60" s="501"/>
      <c r="N60" s="501"/>
    </row>
    <row r="61" spans="1:14" s="321" customFormat="1" x14ac:dyDescent="0.2">
      <c r="A61" s="1274" t="s">
        <v>195</v>
      </c>
      <c r="B61" s="503">
        <v>2540</v>
      </c>
      <c r="C61" s="1573">
        <v>0</v>
      </c>
      <c r="D61" s="1573">
        <v>0</v>
      </c>
      <c r="E61" s="1573">
        <v>41221</v>
      </c>
      <c r="F61" s="1573">
        <v>260548</v>
      </c>
      <c r="G61" s="1573">
        <v>0</v>
      </c>
      <c r="H61" s="1573">
        <v>0</v>
      </c>
      <c r="I61" s="1574">
        <v>0</v>
      </c>
      <c r="J61" s="1574">
        <v>0</v>
      </c>
      <c r="K61" s="1678">
        <f t="shared" si="7"/>
        <v>301769</v>
      </c>
      <c r="L61" s="1573">
        <v>363500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208405</v>
      </c>
      <c r="D63" s="1573">
        <v>25291</v>
      </c>
      <c r="E63" s="1573">
        <v>5737</v>
      </c>
      <c r="F63" s="1573">
        <v>181895</v>
      </c>
      <c r="G63" s="1573">
        <v>16079</v>
      </c>
      <c r="H63" s="1573">
        <v>0</v>
      </c>
      <c r="I63" s="1574">
        <v>0</v>
      </c>
      <c r="J63" s="1574">
        <v>0</v>
      </c>
      <c r="K63" s="1678">
        <f t="shared" si="7"/>
        <v>437407</v>
      </c>
      <c r="L63" s="1573">
        <v>385000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264239</v>
      </c>
      <c r="D65" s="1674">
        <f t="shared" ref="D65:L65" si="8">SUM(D59:D64)</f>
        <v>32020</v>
      </c>
      <c r="E65" s="1674">
        <f t="shared" si="8"/>
        <v>46958</v>
      </c>
      <c r="F65" s="1674">
        <f t="shared" si="8"/>
        <v>443934</v>
      </c>
      <c r="G65" s="1674">
        <f t="shared" si="8"/>
        <v>16079</v>
      </c>
      <c r="H65" s="1674">
        <f t="shared" si="8"/>
        <v>0</v>
      </c>
      <c r="I65" s="1674">
        <f t="shared" si="8"/>
        <v>0</v>
      </c>
      <c r="J65" s="1674">
        <f t="shared" si="8"/>
        <v>0</v>
      </c>
      <c r="K65" s="1674">
        <f t="shared" si="8"/>
        <v>803230</v>
      </c>
      <c r="L65" s="1674">
        <f t="shared" si="8"/>
        <v>834500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2180</v>
      </c>
      <c r="D71" s="1573">
        <v>328</v>
      </c>
      <c r="E71" s="1573">
        <v>0</v>
      </c>
      <c r="F71" s="1573">
        <v>0</v>
      </c>
      <c r="G71" s="1573">
        <v>0</v>
      </c>
      <c r="H71" s="1573">
        <v>0</v>
      </c>
      <c r="I71" s="1574">
        <v>0</v>
      </c>
      <c r="J71" s="1574">
        <v>0</v>
      </c>
      <c r="K71" s="1678">
        <f>SUM(C71:J71)</f>
        <v>2508</v>
      </c>
      <c r="L71" s="1573">
        <v>2900</v>
      </c>
      <c r="M71" s="501"/>
      <c r="N71" s="501"/>
    </row>
    <row r="72" spans="1:14" s="321" customFormat="1" ht="12.75" customHeight="1" thickBot="1" x14ac:dyDescent="0.25">
      <c r="A72" s="1380" t="s">
        <v>37</v>
      </c>
      <c r="B72" s="1383" t="s">
        <v>36</v>
      </c>
      <c r="C72" s="1674">
        <f>SUM(C67:C71)</f>
        <v>2180</v>
      </c>
      <c r="D72" s="1674">
        <f t="shared" ref="D72:K72" si="9">SUM(D67:D71)</f>
        <v>328</v>
      </c>
      <c r="E72" s="1674">
        <f t="shared" si="9"/>
        <v>0</v>
      </c>
      <c r="F72" s="1674">
        <f t="shared" si="9"/>
        <v>0</v>
      </c>
      <c r="G72" s="1674">
        <f t="shared" si="9"/>
        <v>0</v>
      </c>
      <c r="H72" s="1674">
        <f t="shared" si="9"/>
        <v>0</v>
      </c>
      <c r="I72" s="1674">
        <f t="shared" si="9"/>
        <v>0</v>
      </c>
      <c r="J72" s="1674">
        <f t="shared" si="9"/>
        <v>0</v>
      </c>
      <c r="K72" s="1674">
        <f t="shared" si="9"/>
        <v>2508</v>
      </c>
      <c r="L72" s="1674">
        <f>SUM(L67:L71)</f>
        <v>2900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1298678</v>
      </c>
      <c r="D74" s="1681">
        <f t="shared" ref="D74:K74" si="10">SUM(D42,D47,D53,D57,D65,D72,D73)</f>
        <v>183141</v>
      </c>
      <c r="E74" s="1681">
        <f t="shared" si="10"/>
        <v>357306</v>
      </c>
      <c r="F74" s="1681">
        <f t="shared" si="10"/>
        <v>537802</v>
      </c>
      <c r="G74" s="1681">
        <f t="shared" si="10"/>
        <v>70006</v>
      </c>
      <c r="H74" s="1681">
        <f t="shared" si="10"/>
        <v>31008</v>
      </c>
      <c r="I74" s="1681">
        <f t="shared" si="10"/>
        <v>0</v>
      </c>
      <c r="J74" s="1681">
        <f t="shared" si="10"/>
        <v>0</v>
      </c>
      <c r="K74" s="1681">
        <f t="shared" si="10"/>
        <v>2477941</v>
      </c>
      <c r="L74" s="1681">
        <f>SUM(L42,L47,L53,L57,L65,L72,L73)</f>
        <v>2322500</v>
      </c>
    </row>
    <row r="75" spans="1:14" s="254" customFormat="1" ht="15.75" customHeight="1" thickTop="1" thickBot="1" x14ac:dyDescent="0.25">
      <c r="A75" s="1348" t="s">
        <v>47</v>
      </c>
      <c r="B75" s="1349" t="s">
        <v>571</v>
      </c>
      <c r="C75" s="1649">
        <v>249898</v>
      </c>
      <c r="D75" s="1649">
        <v>33679</v>
      </c>
      <c r="E75" s="1649">
        <v>66818</v>
      </c>
      <c r="F75" s="1649">
        <v>59535</v>
      </c>
      <c r="G75" s="1649">
        <v>5191</v>
      </c>
      <c r="H75" s="1649">
        <v>0</v>
      </c>
      <c r="I75" s="1627">
        <v>0</v>
      </c>
      <c r="J75" s="1627">
        <v>0</v>
      </c>
      <c r="K75" s="1674">
        <f>SUM(C75:J75)</f>
        <v>415121</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1489529</v>
      </c>
      <c r="F78" s="1673"/>
      <c r="G78" s="1673"/>
      <c r="H78" s="1682">
        <v>0</v>
      </c>
      <c r="I78" s="1582"/>
      <c r="J78" s="1582"/>
      <c r="K78" s="1672">
        <f t="shared" ref="K78:K83" si="11">SUM(C78:J78)</f>
        <v>1489529</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1489529</v>
      </c>
      <c r="F84" s="1673"/>
      <c r="G84" s="1673"/>
      <c r="H84" s="1674">
        <f>SUM(H78:H83)</f>
        <v>0</v>
      </c>
      <c r="I84" s="1582"/>
      <c r="J84" s="1582"/>
      <c r="K84" s="1674">
        <f>SUM(K78:K83)</f>
        <v>1489529</v>
      </c>
      <c r="L84" s="1674">
        <f>SUM(L78:L83)</f>
        <v>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1679888</v>
      </c>
      <c r="I86" s="1582"/>
      <c r="J86" s="1582"/>
      <c r="K86" s="1681">
        <f t="shared" ref="K86:K98" si="12">H86</f>
        <v>1679888</v>
      </c>
      <c r="L86" s="1626">
        <v>1200000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1542</v>
      </c>
      <c r="B92" s="1385">
        <v>4200</v>
      </c>
      <c r="C92" s="1673"/>
      <c r="D92" s="1673"/>
      <c r="E92" s="1684"/>
      <c r="F92" s="1673"/>
      <c r="G92" s="1673"/>
      <c r="H92" s="1674">
        <f>SUM(H85:H91)</f>
        <v>1679888</v>
      </c>
      <c r="I92" s="1582"/>
      <c r="J92" s="1582"/>
      <c r="K92" s="1681">
        <f t="shared" si="12"/>
        <v>1679888</v>
      </c>
      <c r="L92" s="1674">
        <f>SUM(L85:L91)</f>
        <v>1200000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1489529</v>
      </c>
      <c r="F102" s="1673"/>
      <c r="G102" s="1673"/>
      <c r="H102" s="1681">
        <f>SUM(H84,H92,H100,H101)</f>
        <v>1679888</v>
      </c>
      <c r="I102" s="1582"/>
      <c r="J102" s="1582"/>
      <c r="K102" s="1681">
        <f>SUM(K84,K92,K100,K101)</f>
        <v>3169417</v>
      </c>
      <c r="L102" s="1681">
        <f>SUM(L84,L92,L100,L101)</f>
        <v>1200000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4579834</v>
      </c>
      <c r="D114" s="1674">
        <f t="shared" ref="D114:K114" si="13">SUM(D33,D74,D75,D102,D112,D113)</f>
        <v>742818</v>
      </c>
      <c r="E114" s="1674">
        <f t="shared" si="13"/>
        <v>1932389</v>
      </c>
      <c r="F114" s="1674">
        <f t="shared" si="13"/>
        <v>764691</v>
      </c>
      <c r="G114" s="1674">
        <f t="shared" si="13"/>
        <v>87403</v>
      </c>
      <c r="H114" s="1674">
        <f>SUM(H33,H74,H75,H102,H112,H113)</f>
        <v>1799036</v>
      </c>
      <c r="I114" s="1674">
        <f t="shared" si="13"/>
        <v>0</v>
      </c>
      <c r="J114" s="1674">
        <f t="shared" si="13"/>
        <v>0</v>
      </c>
      <c r="K114" s="1674">
        <f t="shared" si="13"/>
        <v>9906171</v>
      </c>
      <c r="L114" s="1674">
        <f>SUM(L33,L74,L75,L102,L112,L113)</f>
        <v>9489950</v>
      </c>
    </row>
    <row r="115" spans="1:14" ht="13.5" thickTop="1" x14ac:dyDescent="0.2">
      <c r="A115" s="2561" t="s">
        <v>989</v>
      </c>
      <c r="B115" s="2562"/>
      <c r="C115" s="1675"/>
      <c r="D115" s="1675"/>
      <c r="E115" s="1675"/>
      <c r="F115" s="1675"/>
      <c r="G115" s="1675"/>
      <c r="H115" s="1675"/>
      <c r="I115" s="1675"/>
      <c r="J115" s="1675"/>
      <c r="K115" s="1689">
        <f>'Revenues 9-14'!C268-'Expenditures 15-22'!K114</f>
        <v>-378835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539" t="s">
        <v>293</v>
      </c>
      <c r="B117" s="254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1959</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325560</v>
      </c>
      <c r="D124" s="1573">
        <v>50124</v>
      </c>
      <c r="E124" s="1573">
        <v>90038</v>
      </c>
      <c r="F124" s="1573">
        <v>0</v>
      </c>
      <c r="G124" s="1573">
        <v>3013</v>
      </c>
      <c r="H124" s="1573">
        <v>0</v>
      </c>
      <c r="I124" s="1574">
        <v>0</v>
      </c>
      <c r="J124" s="1574">
        <v>0</v>
      </c>
      <c r="K124" s="1674">
        <f>SUM(C124:J124)</f>
        <v>468735</v>
      </c>
      <c r="L124" s="1573">
        <v>600000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325560</v>
      </c>
      <c r="D127" s="1674">
        <f t="shared" ref="D127:L127" si="14">SUM(D122:D126)</f>
        <v>50124</v>
      </c>
      <c r="E127" s="1674">
        <f t="shared" si="14"/>
        <v>90038</v>
      </c>
      <c r="F127" s="1674">
        <f t="shared" si="14"/>
        <v>0</v>
      </c>
      <c r="G127" s="1674">
        <f t="shared" si="14"/>
        <v>3013</v>
      </c>
      <c r="H127" s="1674">
        <f t="shared" si="14"/>
        <v>0</v>
      </c>
      <c r="I127" s="1674">
        <f t="shared" si="14"/>
        <v>0</v>
      </c>
      <c r="J127" s="1674">
        <f t="shared" si="14"/>
        <v>0</v>
      </c>
      <c r="K127" s="1674">
        <f t="shared" si="14"/>
        <v>468735</v>
      </c>
      <c r="L127" s="1674">
        <f t="shared" si="14"/>
        <v>600000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325560</v>
      </c>
      <c r="D129" s="1681">
        <f t="shared" ref="D129:L129" si="15">SUM(D120,D127,D128)</f>
        <v>50124</v>
      </c>
      <c r="E129" s="1681">
        <f t="shared" si="15"/>
        <v>90038</v>
      </c>
      <c r="F129" s="1681">
        <f t="shared" si="15"/>
        <v>0</v>
      </c>
      <c r="G129" s="1681">
        <f t="shared" si="15"/>
        <v>3013</v>
      </c>
      <c r="H129" s="1681">
        <f t="shared" si="15"/>
        <v>0</v>
      </c>
      <c r="I129" s="1681">
        <f t="shared" si="15"/>
        <v>0</v>
      </c>
      <c r="J129" s="1681">
        <f t="shared" si="15"/>
        <v>0</v>
      </c>
      <c r="K129" s="1681">
        <f t="shared" si="15"/>
        <v>468735</v>
      </c>
      <c r="L129" s="1681">
        <f t="shared" si="15"/>
        <v>600000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1812</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551" t="s">
        <v>616</v>
      </c>
      <c r="B151" s="2533"/>
      <c r="C151" s="1674">
        <f>SUM(C129,C130,C139,C149,C150)</f>
        <v>325560</v>
      </c>
      <c r="D151" s="1674">
        <f t="shared" ref="D151:K151" si="16">SUM(D129,D130,D139,D149,D150)</f>
        <v>50124</v>
      </c>
      <c r="E151" s="1674">
        <f t="shared" si="16"/>
        <v>90038</v>
      </c>
      <c r="F151" s="1674">
        <f t="shared" si="16"/>
        <v>0</v>
      </c>
      <c r="G151" s="1674">
        <f t="shared" si="16"/>
        <v>3013</v>
      </c>
      <c r="H151" s="1674">
        <f t="shared" si="16"/>
        <v>0</v>
      </c>
      <c r="I151" s="1674">
        <f t="shared" si="16"/>
        <v>0</v>
      </c>
      <c r="J151" s="1674">
        <f t="shared" si="16"/>
        <v>0</v>
      </c>
      <c r="K151" s="1674">
        <f t="shared" si="16"/>
        <v>468735</v>
      </c>
      <c r="L151" s="1674">
        <f>SUM(L129,L130,L139,L149,L150)</f>
        <v>600000</v>
      </c>
    </row>
    <row r="152" spans="1:14" ht="12.75" customHeight="1" thickTop="1" x14ac:dyDescent="0.2">
      <c r="A152" s="2554" t="s">
        <v>1168</v>
      </c>
      <c r="B152" s="2555"/>
      <c r="C152" s="1675"/>
      <c r="D152" s="1675"/>
      <c r="E152" s="1675"/>
      <c r="F152" s="1675"/>
      <c r="G152" s="1675"/>
      <c r="H152" s="1675"/>
      <c r="I152" s="1675"/>
      <c r="J152" s="1673"/>
      <c r="K152" s="1689">
        <f>'Revenues 9-14'!D268-'Expenditures 15-22'!K151</f>
        <v>54807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539" t="s">
        <v>617</v>
      </c>
      <c r="B154" s="254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1812</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1814</v>
      </c>
      <c r="C158" s="1673"/>
      <c r="D158" s="1673"/>
      <c r="E158" s="1673"/>
      <c r="F158" s="1673"/>
      <c r="G158" s="1673"/>
      <c r="H158" s="1574">
        <v>0</v>
      </c>
      <c r="I158" s="1673"/>
      <c r="J158" s="1673"/>
      <c r="K158" s="1672">
        <f>H158</f>
        <v>0</v>
      </c>
      <c r="L158" s="1574">
        <v>0</v>
      </c>
      <c r="M158" s="505"/>
      <c r="N158" s="505"/>
    </row>
    <row r="159" spans="1:14" s="506" customFormat="1" ht="12" x14ac:dyDescent="0.2">
      <c r="A159" s="1462" t="s">
        <v>1815</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1816</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184001</v>
      </c>
      <c r="I169" s="1673"/>
      <c r="J169" s="1673"/>
      <c r="K169" s="1672">
        <f>SUM(C169:H169)</f>
        <v>184001</v>
      </c>
      <c r="L169" s="1695">
        <v>184001</v>
      </c>
    </row>
    <row r="170" spans="1:14" ht="33.75" customHeight="1" x14ac:dyDescent="0.2">
      <c r="A170" s="543" t="s">
        <v>1650</v>
      </c>
      <c r="B170" s="545" t="s">
        <v>31</v>
      </c>
      <c r="C170" s="1673"/>
      <c r="D170" s="1673"/>
      <c r="E170" s="1673"/>
      <c r="F170" s="1673"/>
      <c r="G170" s="1673"/>
      <c r="H170" s="1646">
        <v>675000</v>
      </c>
      <c r="I170" s="1673"/>
      <c r="J170" s="1673"/>
      <c r="K170" s="1672">
        <f>SUM(C170:J170)</f>
        <v>675000</v>
      </c>
      <c r="L170" s="1646">
        <v>675000</v>
      </c>
    </row>
    <row r="171" spans="1:14" ht="15.75" customHeight="1" x14ac:dyDescent="0.2">
      <c r="A171" s="507" t="s">
        <v>761</v>
      </c>
      <c r="B171" s="546" t="s">
        <v>84</v>
      </c>
      <c r="C171" s="1673"/>
      <c r="D171" s="1673"/>
      <c r="E171" s="1573">
        <v>500</v>
      </c>
      <c r="F171" s="1673"/>
      <c r="G171" s="1673"/>
      <c r="H171" s="1646">
        <v>0</v>
      </c>
      <c r="I171" s="1582"/>
      <c r="J171" s="1673"/>
      <c r="K171" s="1672">
        <f>SUM(C171:J171)</f>
        <v>500</v>
      </c>
      <c r="L171" s="1646">
        <v>2000</v>
      </c>
    </row>
    <row r="172" spans="1:14" ht="12.75" customHeight="1" thickBot="1" x14ac:dyDescent="0.25">
      <c r="A172" s="1380" t="s">
        <v>633</v>
      </c>
      <c r="B172" s="1381" t="s">
        <v>489</v>
      </c>
      <c r="C172" s="1673"/>
      <c r="D172" s="1673"/>
      <c r="E172" s="1681">
        <f>SUM(E168,E169,E170,E171)</f>
        <v>500</v>
      </c>
      <c r="F172" s="1673"/>
      <c r="G172" s="1673"/>
      <c r="H172" s="1681">
        <f>SUM(H168,H169,H170,H171)</f>
        <v>859001</v>
      </c>
      <c r="I172" s="1684"/>
      <c r="J172" s="1673"/>
      <c r="K172" s="1681">
        <f>SUM(K168,K169,K170,K171)</f>
        <v>859501</v>
      </c>
      <c r="L172" s="1681">
        <f>SUM(L168,L169,L170,L171)</f>
        <v>861001</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500</v>
      </c>
      <c r="F174" s="1673"/>
      <c r="G174" s="1673"/>
      <c r="H174" s="1681">
        <f>SUM(H160,H172,H173)</f>
        <v>859001</v>
      </c>
      <c r="I174" s="1684"/>
      <c r="J174" s="1673"/>
      <c r="K174" s="1681">
        <f>SUM(K160,K172,K173)</f>
        <v>859501</v>
      </c>
      <c r="L174" s="1681">
        <f>SUM(L160,L172,L173)</f>
        <v>861001</v>
      </c>
    </row>
    <row r="175" spans="1:14" ht="13.5" thickTop="1" x14ac:dyDescent="0.2">
      <c r="A175" s="2561" t="s">
        <v>989</v>
      </c>
      <c r="B175" s="2562"/>
      <c r="C175" s="1673"/>
      <c r="D175" s="1673"/>
      <c r="E175" s="1673"/>
      <c r="F175" s="1673"/>
      <c r="G175" s="1673"/>
      <c r="H175" s="1675"/>
      <c r="I175" s="1673"/>
      <c r="J175" s="1673"/>
      <c r="K175" s="1689">
        <f>'Revenues 9-14'!E268-'Expenditures 15-22'!K174</f>
        <v>11781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304409</v>
      </c>
      <c r="D182" s="1573">
        <v>50421</v>
      </c>
      <c r="E182" s="1573">
        <v>118142</v>
      </c>
      <c r="F182" s="1573">
        <v>30157</v>
      </c>
      <c r="G182" s="1573">
        <v>50904</v>
      </c>
      <c r="H182" s="1573">
        <v>0</v>
      </c>
      <c r="I182" s="1574">
        <v>0</v>
      </c>
      <c r="J182" s="1574">
        <v>0</v>
      </c>
      <c r="K182" s="1672">
        <f>SUM(C182:J182)</f>
        <v>554033</v>
      </c>
      <c r="L182" s="1573">
        <v>624500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304409</v>
      </c>
      <c r="D184" s="1681">
        <f t="shared" ref="D184:J184" si="17">SUM(D180,D182,D183)</f>
        <v>50421</v>
      </c>
      <c r="E184" s="1681">
        <f t="shared" si="17"/>
        <v>118142</v>
      </c>
      <c r="F184" s="1681">
        <f t="shared" si="17"/>
        <v>30157</v>
      </c>
      <c r="G184" s="1681">
        <f t="shared" si="17"/>
        <v>50904</v>
      </c>
      <c r="H184" s="1681">
        <f t="shared" si="17"/>
        <v>0</v>
      </c>
      <c r="I184" s="1681">
        <f t="shared" si="17"/>
        <v>0</v>
      </c>
      <c r="J184" s="1681">
        <f t="shared" si="17"/>
        <v>0</v>
      </c>
      <c r="K184" s="1681">
        <f>SUM(K180,K182,K183)</f>
        <v>554033</v>
      </c>
      <c r="L184" s="1681">
        <f>SUM(L180, L182:L183)</f>
        <v>624500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1651</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304409</v>
      </c>
      <c r="D210" s="1674">
        <f>SUM(D184,D185)</f>
        <v>50421</v>
      </c>
      <c r="E210" s="1674">
        <f>SUM(E184,E185,E196)</f>
        <v>118142</v>
      </c>
      <c r="F210" s="1674">
        <f>SUM(F184,F185)</f>
        <v>30157</v>
      </c>
      <c r="G210" s="1674">
        <f>SUM(G184,G185)</f>
        <v>50904</v>
      </c>
      <c r="H210" s="1674">
        <f>SUM(H184,H185,H196,H208,H209)</f>
        <v>0</v>
      </c>
      <c r="I210" s="1674">
        <f>SUM(I184,I185)</f>
        <v>0</v>
      </c>
      <c r="J210" s="1674">
        <f>SUM(J184,J185)</f>
        <v>0</v>
      </c>
      <c r="K210" s="1672">
        <f>SUM(K184,K185,K196,K208,K209)</f>
        <v>554033</v>
      </c>
      <c r="L210" s="1674">
        <f>SUM(L184,L185,L196,L208,L209)</f>
        <v>624500</v>
      </c>
    </row>
    <row r="211" spans="1:14" ht="13.5" thickTop="1" x14ac:dyDescent="0.2">
      <c r="A211" s="2561" t="s">
        <v>989</v>
      </c>
      <c r="B211" s="2562"/>
      <c r="C211" s="1675"/>
      <c r="D211" s="1675"/>
      <c r="E211" s="1675"/>
      <c r="F211" s="1675"/>
      <c r="G211" s="1675"/>
      <c r="H211" s="1675"/>
      <c r="I211" s="1673"/>
      <c r="J211" s="1673"/>
      <c r="K211" s="1689">
        <f>'Revenues 9-14'!F268-'Expenditures 15-22'!K210</f>
        <v>-41972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556" t="s">
        <v>959</v>
      </c>
      <c r="B213" s="255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62327</v>
      </c>
      <c r="E215" s="1673"/>
      <c r="F215" s="1673"/>
      <c r="G215" s="1673"/>
      <c r="H215" s="1673"/>
      <c r="I215" s="1673"/>
      <c r="J215" s="1673"/>
      <c r="K215" s="1672">
        <f>D215</f>
        <v>62327</v>
      </c>
      <c r="L215" s="1573">
        <v>93600</v>
      </c>
    </row>
    <row r="216" spans="1:14" x14ac:dyDescent="0.2">
      <c r="A216" s="1274" t="s">
        <v>162</v>
      </c>
      <c r="B216" s="503" t="s">
        <v>961</v>
      </c>
      <c r="C216" s="1673"/>
      <c r="D216" s="1574">
        <v>9501</v>
      </c>
      <c r="E216" s="1673"/>
      <c r="F216" s="1673"/>
      <c r="G216" s="1673"/>
      <c r="H216" s="1673"/>
      <c r="I216" s="1673"/>
      <c r="J216" s="1673"/>
      <c r="K216" s="1672">
        <f t="shared" ref="K216:K228" si="19">D216</f>
        <v>9501</v>
      </c>
      <c r="L216" s="1573">
        <v>0</v>
      </c>
    </row>
    <row r="217" spans="1:14" x14ac:dyDescent="0.2">
      <c r="A217" s="1274" t="s">
        <v>163</v>
      </c>
      <c r="B217" s="503">
        <v>1200</v>
      </c>
      <c r="C217" s="1673"/>
      <c r="D217" s="1573">
        <v>24424</v>
      </c>
      <c r="E217" s="1673"/>
      <c r="F217" s="1673"/>
      <c r="G217" s="1673"/>
      <c r="H217" s="1673"/>
      <c r="I217" s="1673"/>
      <c r="J217" s="1673"/>
      <c r="K217" s="1672">
        <f t="shared" si="19"/>
        <v>24424</v>
      </c>
      <c r="L217" s="1573">
        <v>43000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1765</v>
      </c>
      <c r="E219" s="1673"/>
      <c r="F219" s="1673"/>
      <c r="G219" s="1673"/>
      <c r="H219" s="1673"/>
      <c r="I219" s="1673"/>
      <c r="J219" s="1673"/>
      <c r="K219" s="1672">
        <f t="shared" si="19"/>
        <v>1765</v>
      </c>
      <c r="L219" s="1573">
        <v>3000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1614</v>
      </c>
      <c r="E222" s="1673"/>
      <c r="F222" s="1673"/>
      <c r="G222" s="1673"/>
      <c r="H222" s="1673"/>
      <c r="I222" s="1673"/>
      <c r="J222" s="1673"/>
      <c r="K222" s="1672">
        <f t="shared" si="19"/>
        <v>1614</v>
      </c>
      <c r="L222" s="1573">
        <v>3000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310</v>
      </c>
      <c r="E226" s="1673"/>
      <c r="F226" s="1673"/>
      <c r="G226" s="1673"/>
      <c r="H226" s="1673"/>
      <c r="I226" s="1673"/>
      <c r="J226" s="1673"/>
      <c r="K226" s="1672">
        <f t="shared" si="19"/>
        <v>310</v>
      </c>
      <c r="L226" s="1573">
        <v>500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99941</v>
      </c>
      <c r="E229" s="1673"/>
      <c r="F229" s="1673"/>
      <c r="G229" s="1673"/>
      <c r="H229" s="1673"/>
      <c r="I229" s="1673"/>
      <c r="J229" s="1673"/>
      <c r="K229" s="1674">
        <f>SUM(K215:K228)</f>
        <v>99941</v>
      </c>
      <c r="L229" s="1674">
        <f>SUM(L215:L228)</f>
        <v>143100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1754</v>
      </c>
      <c r="E233" s="1673"/>
      <c r="F233" s="1673"/>
      <c r="G233" s="1673"/>
      <c r="H233" s="1673"/>
      <c r="I233" s="1673"/>
      <c r="J233" s="1673"/>
      <c r="K233" s="1672">
        <f t="shared" si="20"/>
        <v>1754</v>
      </c>
      <c r="L233" s="1573">
        <v>3000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1754</v>
      </c>
      <c r="E238" s="1673"/>
      <c r="F238" s="1673"/>
      <c r="G238" s="1673"/>
      <c r="H238" s="1673"/>
      <c r="I238" s="1673"/>
      <c r="J238" s="1673"/>
      <c r="K238" s="1674">
        <f>SUM(K232:K237)</f>
        <v>1754</v>
      </c>
      <c r="L238" s="1674">
        <f>SUM(L232:L237)</f>
        <v>3000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10592</v>
      </c>
      <c r="E240" s="1673"/>
      <c r="F240" s="1673"/>
      <c r="G240" s="1673"/>
      <c r="H240" s="1673"/>
      <c r="I240" s="1673"/>
      <c r="J240" s="1673"/>
      <c r="K240" s="1678">
        <f>D240</f>
        <v>10592</v>
      </c>
      <c r="L240" s="1586">
        <v>12000</v>
      </c>
    </row>
    <row r="241" spans="1:12" x14ac:dyDescent="0.2">
      <c r="A241" s="1274" t="s">
        <v>810</v>
      </c>
      <c r="B241" s="503">
        <v>2220</v>
      </c>
      <c r="C241" s="1673"/>
      <c r="D241" s="1573">
        <v>9821</v>
      </c>
      <c r="E241" s="1673"/>
      <c r="F241" s="1673"/>
      <c r="G241" s="1673"/>
      <c r="H241" s="1673"/>
      <c r="I241" s="1673"/>
      <c r="J241" s="1673"/>
      <c r="K241" s="1678">
        <f>D241</f>
        <v>9821</v>
      </c>
      <c r="L241" s="1573">
        <v>12500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20413</v>
      </c>
      <c r="E243" s="1673"/>
      <c r="F243" s="1673"/>
      <c r="G243" s="1673"/>
      <c r="H243" s="1673"/>
      <c r="I243" s="1673"/>
      <c r="J243" s="1673"/>
      <c r="K243" s="1674">
        <f>SUM(K240:K242)</f>
        <v>20413</v>
      </c>
      <c r="L243" s="1674">
        <f>SUM(L240:L242)</f>
        <v>24500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779</v>
      </c>
      <c r="E245" s="1673"/>
      <c r="F245" s="1673"/>
      <c r="G245" s="1673"/>
      <c r="H245" s="1673"/>
      <c r="I245" s="1673"/>
      <c r="J245" s="1673"/>
      <c r="K245" s="1678">
        <f>D245</f>
        <v>779</v>
      </c>
      <c r="L245" s="1586">
        <v>800</v>
      </c>
    </row>
    <row r="246" spans="1:12" x14ac:dyDescent="0.2">
      <c r="A246" s="1274" t="s">
        <v>813</v>
      </c>
      <c r="B246" s="503">
        <v>2320</v>
      </c>
      <c r="C246" s="1673"/>
      <c r="D246" s="1573">
        <v>29009</v>
      </c>
      <c r="E246" s="1673"/>
      <c r="F246" s="1673"/>
      <c r="G246" s="1673"/>
      <c r="H246" s="1673"/>
      <c r="I246" s="1673"/>
      <c r="J246" s="1673"/>
      <c r="K246" s="1678">
        <f t="shared" ref="K246:K256" si="21">D246</f>
        <v>29009</v>
      </c>
      <c r="L246" s="1573">
        <v>37000</v>
      </c>
    </row>
    <row r="247" spans="1:12" x14ac:dyDescent="0.2">
      <c r="A247" s="1274" t="s">
        <v>814</v>
      </c>
      <c r="B247" s="503">
        <v>2330</v>
      </c>
      <c r="C247" s="1673"/>
      <c r="D247" s="1573">
        <v>63</v>
      </c>
      <c r="E247" s="1673"/>
      <c r="F247" s="1673"/>
      <c r="G247" s="1673"/>
      <c r="H247" s="1673"/>
      <c r="I247" s="1673"/>
      <c r="J247" s="1673"/>
      <c r="K247" s="1678">
        <f t="shared" si="21"/>
        <v>63</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1778</v>
      </c>
      <c r="B249" s="557" t="s">
        <v>280</v>
      </c>
      <c r="C249" s="1673"/>
      <c r="D249" s="1579">
        <v>0</v>
      </c>
      <c r="E249" s="1673"/>
      <c r="F249" s="1673"/>
      <c r="G249" s="1673"/>
      <c r="H249" s="1673"/>
      <c r="I249" s="1673"/>
      <c r="J249" s="1673"/>
      <c r="K249" s="1678">
        <f t="shared" si="21"/>
        <v>0</v>
      </c>
      <c r="L249" s="1573">
        <v>0</v>
      </c>
    </row>
    <row r="250" spans="1:12" x14ac:dyDescent="0.2">
      <c r="A250" s="1275" t="s">
        <v>1779</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29851</v>
      </c>
      <c r="E257" s="1673"/>
      <c r="F257" s="1673"/>
      <c r="G257" s="1673"/>
      <c r="H257" s="1673"/>
      <c r="I257" s="1673"/>
      <c r="J257" s="1673"/>
      <c r="K257" s="1674">
        <f>SUM(K245:K256)</f>
        <v>29851</v>
      </c>
      <c r="L257" s="1674">
        <f>SUM(L245:L256)</f>
        <v>37800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31774</v>
      </c>
      <c r="E259" s="1673"/>
      <c r="F259" s="1673"/>
      <c r="G259" s="1673"/>
      <c r="H259" s="1673"/>
      <c r="I259" s="1673"/>
      <c r="J259" s="1673"/>
      <c r="K259" s="1678">
        <f>D259</f>
        <v>31774</v>
      </c>
      <c r="L259" s="1586">
        <v>39000</v>
      </c>
    </row>
    <row r="260" spans="1:14" s="493" customFormat="1" x14ac:dyDescent="0.2">
      <c r="A260" s="1292" t="s">
        <v>1777</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31774</v>
      </c>
      <c r="E261" s="1673"/>
      <c r="F261" s="1673"/>
      <c r="G261" s="1673"/>
      <c r="H261" s="1673"/>
      <c r="I261" s="1673"/>
      <c r="J261" s="1673"/>
      <c r="K261" s="1674">
        <f>SUM(K259:K260)</f>
        <v>31774</v>
      </c>
      <c r="L261" s="1674">
        <f>SUM(L259:L260)</f>
        <v>39000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12382</v>
      </c>
      <c r="E264" s="1673"/>
      <c r="F264" s="1673"/>
      <c r="G264" s="1673"/>
      <c r="H264" s="1673"/>
      <c r="I264" s="1673"/>
      <c r="J264" s="1673"/>
      <c r="K264" s="1678">
        <f t="shared" ref="K264:K269" si="22">D264</f>
        <v>12382</v>
      </c>
      <c r="L264" s="1573">
        <v>16750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66805</v>
      </c>
      <c r="E266" s="1673"/>
      <c r="F266" s="1673"/>
      <c r="G266" s="1673"/>
      <c r="H266" s="1673"/>
      <c r="I266" s="1673"/>
      <c r="J266" s="1673"/>
      <c r="K266" s="1678">
        <f t="shared" si="22"/>
        <v>66805</v>
      </c>
      <c r="L266" s="1573">
        <v>83000</v>
      </c>
    </row>
    <row r="267" spans="1:14" x14ac:dyDescent="0.2">
      <c r="A267" s="1274" t="s">
        <v>947</v>
      </c>
      <c r="B267" s="503">
        <v>2550</v>
      </c>
      <c r="C267" s="1673"/>
      <c r="D267" s="1573">
        <v>55944</v>
      </c>
      <c r="E267" s="1673"/>
      <c r="F267" s="1673"/>
      <c r="G267" s="1673"/>
      <c r="H267" s="1673"/>
      <c r="I267" s="1673"/>
      <c r="J267" s="1673"/>
      <c r="K267" s="1678">
        <f t="shared" si="22"/>
        <v>55944</v>
      </c>
      <c r="L267" s="1573">
        <v>59000</v>
      </c>
    </row>
    <row r="268" spans="1:14" x14ac:dyDescent="0.2">
      <c r="A268" s="1274" t="s">
        <v>100</v>
      </c>
      <c r="B268" s="503">
        <v>2560</v>
      </c>
      <c r="C268" s="1673"/>
      <c r="D268" s="1573">
        <v>39881</v>
      </c>
      <c r="E268" s="1673"/>
      <c r="F268" s="1673"/>
      <c r="G268" s="1673"/>
      <c r="H268" s="1673"/>
      <c r="I268" s="1673"/>
      <c r="J268" s="1673"/>
      <c r="K268" s="1678">
        <f t="shared" si="22"/>
        <v>39881</v>
      </c>
      <c r="L268" s="1573">
        <v>44250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175012</v>
      </c>
      <c r="E270" s="1673"/>
      <c r="F270" s="1673"/>
      <c r="G270" s="1673"/>
      <c r="H270" s="1673"/>
      <c r="I270" s="1673"/>
      <c r="J270" s="1673"/>
      <c r="K270" s="1674">
        <f>SUM(K263:K269)</f>
        <v>175012</v>
      </c>
      <c r="L270" s="1674">
        <f>SUM(L263:L269)</f>
        <v>203000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32</v>
      </c>
      <c r="E276" s="1673"/>
      <c r="F276" s="1673"/>
      <c r="G276" s="1673"/>
      <c r="H276" s="1673"/>
      <c r="I276" s="1673"/>
      <c r="J276" s="1673"/>
      <c r="K276" s="1678">
        <f>D276</f>
        <v>32</v>
      </c>
      <c r="L276" s="1573">
        <v>0</v>
      </c>
    </row>
    <row r="277" spans="1:12" ht="12.75" customHeight="1" thickBot="1" x14ac:dyDescent="0.25">
      <c r="A277" s="1393" t="s">
        <v>37</v>
      </c>
      <c r="B277" s="1381" t="s">
        <v>36</v>
      </c>
      <c r="C277" s="1673"/>
      <c r="D277" s="1674">
        <f>SUM(D272:D276)</f>
        <v>32</v>
      </c>
      <c r="E277" s="1673"/>
      <c r="F277" s="1673"/>
      <c r="G277" s="1673"/>
      <c r="H277" s="1673"/>
      <c r="I277" s="1673"/>
      <c r="J277" s="1673"/>
      <c r="K277" s="1674">
        <f>SUM(K272:K276)</f>
        <v>32</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258836</v>
      </c>
      <c r="E279" s="1673"/>
      <c r="F279" s="1673"/>
      <c r="G279" s="1673"/>
      <c r="H279" s="1673"/>
      <c r="I279" s="1673"/>
      <c r="J279" s="1673"/>
      <c r="K279" s="1681">
        <f>SUM(K238,K243,K257,K261,K270,K277,K278)</f>
        <v>258836</v>
      </c>
      <c r="L279" s="1681">
        <f>SUM(L238,L243,L257,L261,L270,L277,L278)</f>
        <v>307300</v>
      </c>
    </row>
    <row r="280" spans="1:12" ht="15.75" customHeight="1" thickTop="1" thickBot="1" x14ac:dyDescent="0.25">
      <c r="A280" s="1362" t="s">
        <v>870</v>
      </c>
      <c r="B280" s="1351">
        <v>3000</v>
      </c>
      <c r="C280" s="1673"/>
      <c r="D280" s="1651">
        <v>53505</v>
      </c>
      <c r="E280" s="1673"/>
      <c r="F280" s="1673"/>
      <c r="G280" s="1673"/>
      <c r="H280" s="1673"/>
      <c r="I280" s="1673"/>
      <c r="J280" s="1673"/>
      <c r="K280" s="1687">
        <f>D280</f>
        <v>53505</v>
      </c>
      <c r="L280" s="1651">
        <v>53100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1812</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552" t="s">
        <v>502</v>
      </c>
      <c r="B295" s="2553"/>
      <c r="C295" s="1673"/>
      <c r="D295" s="1674">
        <f>SUM(D229,D279,D280,D285)</f>
        <v>412282</v>
      </c>
      <c r="E295" s="1673"/>
      <c r="F295" s="1673"/>
      <c r="G295" s="1673"/>
      <c r="H295" s="1674">
        <f>H293</f>
        <v>0</v>
      </c>
      <c r="I295" s="1673"/>
      <c r="J295" s="1673"/>
      <c r="K295" s="1674">
        <f>SUM(K229,K279,K280,K285,K293,K294)</f>
        <v>412282</v>
      </c>
      <c r="L295" s="1674">
        <f>SUM(L229,L279,L280,L285,L293,L294)</f>
        <v>503500</v>
      </c>
    </row>
    <row r="296" spans="1:14" ht="13.5" thickTop="1" x14ac:dyDescent="0.2">
      <c r="A296" s="2561" t="s">
        <v>989</v>
      </c>
      <c r="B296" s="2562"/>
      <c r="C296" s="1673"/>
      <c r="D296" s="1675"/>
      <c r="E296" s="1673"/>
      <c r="F296" s="1673"/>
      <c r="G296" s="1673"/>
      <c r="H296" s="1707"/>
      <c r="I296" s="1673"/>
      <c r="J296" s="1673"/>
      <c r="K296" s="1689">
        <f>'Revenues 9-14'!G268-'Expenditures 15-22'!K295</f>
        <v>-29789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544" t="s">
        <v>142</v>
      </c>
      <c r="B298" s="253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150712</v>
      </c>
      <c r="H301" s="1573">
        <v>0</v>
      </c>
      <c r="I301" s="1574">
        <v>0</v>
      </c>
      <c r="J301" s="1574">
        <v>0</v>
      </c>
      <c r="K301" s="1672">
        <f>SUM(C301:J301)</f>
        <v>150712</v>
      </c>
      <c r="L301" s="1574">
        <v>240000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150712</v>
      </c>
      <c r="H303" s="1681">
        <f t="shared" si="23"/>
        <v>0</v>
      </c>
      <c r="I303" s="1681">
        <f t="shared" si="23"/>
        <v>0</v>
      </c>
      <c r="J303" s="1681">
        <f t="shared" si="23"/>
        <v>0</v>
      </c>
      <c r="K303" s="1681">
        <f t="shared" si="23"/>
        <v>150712</v>
      </c>
      <c r="L303" s="1681">
        <f t="shared" si="23"/>
        <v>240000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549" t="s">
        <v>275</v>
      </c>
      <c r="B312" s="2550"/>
      <c r="C312" s="1674">
        <f>SUM(C303)</f>
        <v>0</v>
      </c>
      <c r="D312" s="1674">
        <f>SUM(D303)</f>
        <v>0</v>
      </c>
      <c r="E312" s="1674">
        <f>SUM(E303,E310)</f>
        <v>0</v>
      </c>
      <c r="F312" s="1674">
        <f>SUM(F303)</f>
        <v>0</v>
      </c>
      <c r="G312" s="1674">
        <f>SUM(G303)</f>
        <v>150712</v>
      </c>
      <c r="H312" s="1674">
        <f>SUM(H303,H310)</f>
        <v>0</v>
      </c>
      <c r="I312" s="1674">
        <f>SUM(I303)</f>
        <v>0</v>
      </c>
      <c r="J312" s="1674">
        <f>SUM(J303)</f>
        <v>0</v>
      </c>
      <c r="K312" s="1674">
        <f>SUM(K303,K310,K311)</f>
        <v>150712</v>
      </c>
      <c r="L312" s="1674">
        <f>SUM(L303,L310,L311)</f>
        <v>240000</v>
      </c>
      <c r="M312" s="539"/>
      <c r="N312" s="539"/>
    </row>
    <row r="313" spans="1:14" ht="13.5" thickTop="1" x14ac:dyDescent="0.2">
      <c r="A313" s="2545" t="s">
        <v>989</v>
      </c>
      <c r="B313" s="2546"/>
      <c r="C313" s="1677"/>
      <c r="D313" s="1677"/>
      <c r="E313" s="1677"/>
      <c r="F313" s="1677"/>
      <c r="G313" s="1677"/>
      <c r="H313" s="1677"/>
      <c r="I313" s="1677"/>
      <c r="J313" s="1677"/>
      <c r="K313" s="1696">
        <f>'Revenues 9-14'!H268-'Expenditures 15-22'!K312</f>
        <v>83266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558" t="s">
        <v>148</v>
      </c>
      <c r="B315" s="255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560" t="s">
        <v>892</v>
      </c>
      <c r="B317" s="255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1778</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1818</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1812</v>
      </c>
      <c r="C332" s="1714"/>
      <c r="D332" s="1714"/>
      <c r="E332" s="1714"/>
      <c r="F332" s="1714"/>
      <c r="G332" s="1714"/>
      <c r="H332" s="1574">
        <v>50000</v>
      </c>
      <c r="I332" s="1714"/>
      <c r="J332" s="1714"/>
      <c r="K332" s="1672">
        <f>H332</f>
        <v>50000</v>
      </c>
      <c r="L332" s="1574">
        <v>55100</v>
      </c>
      <c r="M332" s="539"/>
      <c r="N332" s="539"/>
    </row>
    <row r="333" spans="1:14" s="548" customFormat="1" ht="12.75" customHeight="1" x14ac:dyDescent="0.2">
      <c r="A333" s="1468" t="s">
        <v>301</v>
      </c>
      <c r="B333" s="1463" t="s">
        <v>1814</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1819</v>
      </c>
      <c r="B334" s="1463" t="s">
        <v>855</v>
      </c>
      <c r="C334" s="1714"/>
      <c r="D334" s="1714"/>
      <c r="E334" s="1714"/>
      <c r="F334" s="1714"/>
      <c r="G334" s="1714"/>
      <c r="H334" s="1674">
        <f>SUM(H332:H333)</f>
        <v>50000</v>
      </c>
      <c r="I334" s="1714"/>
      <c r="J334" s="1714"/>
      <c r="K334" s="1674">
        <f>SUM(K332:K333)</f>
        <v>50000</v>
      </c>
      <c r="L334" s="1674">
        <f>SUM(L332:L333)</f>
        <v>55100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50000</v>
      </c>
      <c r="I342" s="1674">
        <f>SUM(I330)</f>
        <v>0</v>
      </c>
      <c r="J342" s="1674">
        <f>SUM(J330)</f>
        <v>0</v>
      </c>
      <c r="K342" s="1674">
        <f>SUM(K330,K334,K340)</f>
        <v>50000</v>
      </c>
      <c r="L342" s="1681">
        <f>SUM(L330,L334,L340,L341)</f>
        <v>55100</v>
      </c>
    </row>
    <row r="343" spans="1:14" ht="12.75" customHeight="1" thickTop="1" x14ac:dyDescent="0.2">
      <c r="A343" s="2547" t="s">
        <v>989</v>
      </c>
      <c r="B343" s="2548"/>
      <c r="C343" s="1673"/>
      <c r="D343" s="1673"/>
      <c r="E343" s="1673"/>
      <c r="F343" s="1673"/>
      <c r="G343" s="1673"/>
      <c r="H343" s="1673"/>
      <c r="I343" s="1673"/>
      <c r="J343" s="1673"/>
      <c r="K343" s="1689">
        <f>'Revenues 9-14'!J268-'Expenditures 15-22'!K342</f>
        <v>6320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537" t="s">
        <v>960</v>
      </c>
      <c r="B345" s="253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52940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52940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52940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v>0</v>
      </c>
      <c r="I354" s="1716"/>
      <c r="J354" s="1673"/>
      <c r="K354" s="1713">
        <f>H354</f>
        <v>0</v>
      </c>
      <c r="L354" s="1577">
        <v>0</v>
      </c>
    </row>
    <row r="355" spans="1:14" ht="12.75" customHeight="1" x14ac:dyDescent="0.2">
      <c r="A355" s="1283" t="s">
        <v>1821</v>
      </c>
      <c r="B355" s="562" t="s">
        <v>1814</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1652</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52940</v>
      </c>
    </row>
    <row r="368" spans="1:14" ht="13.5" thickTop="1" x14ac:dyDescent="0.2">
      <c r="A368" s="2561" t="s">
        <v>989</v>
      </c>
      <c r="B368" s="2562"/>
      <c r="C368" s="1694"/>
      <c r="D368" s="1694"/>
      <c r="E368" s="1677"/>
      <c r="F368" s="1677"/>
      <c r="G368" s="1677"/>
      <c r="H368" s="1677"/>
      <c r="I368" s="1677"/>
      <c r="J368" s="1676"/>
      <c r="K368" s="1672">
        <f>'Revenues 9-14'!K268-'Expenditures 15-22'!K367</f>
        <v>53125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22</vt:i4>
      </vt:variant>
    </vt:vector>
  </HeadingPairs>
  <TitlesOfParts>
    <vt:vector size="6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20</vt:lpstr>
      <vt:lpstr> SEFA</vt:lpstr>
      <vt:lpstr>SEFA NOTES</vt:lpstr>
      <vt:lpstr>SF&amp;QC Sec-1</vt:lpstr>
      <vt:lpstr>SF&amp;QC Sec-3</vt:lpstr>
      <vt:lpstr>Finding 2020-001</vt:lpstr>
      <vt:lpstr>Finding 2020-002</vt:lpstr>
      <vt:lpstr>Finding 2020-003</vt:lpstr>
      <vt:lpstr>Finding 2020-004</vt:lpstr>
      <vt:lpstr>Finding 2020-005</vt:lpstr>
      <vt:lpstr>Finding 2020-006</vt:lpstr>
      <vt:lpstr>Finding 2020-007</vt:lpstr>
      <vt:lpstr>SSPAF</vt:lpstr>
      <vt:lpstr>CAP 2020-001</vt:lpstr>
      <vt:lpstr>CAP 2020-002</vt:lpstr>
      <vt:lpstr>CAP 2020-003</vt:lpstr>
      <vt:lpstr>CAP 2020-004</vt:lpstr>
      <vt:lpstr>CAP 2020-005</vt:lpstr>
      <vt:lpstr>CAP 2020-006</vt:lpstr>
      <vt:lpstr>CAP 2020-007</vt:lpstr>
      <vt:lpstr>' SEFA'!Print_Area</vt:lpstr>
      <vt:lpstr>'Finding 2020-005'!Print_Area</vt:lpstr>
      <vt:lpstr>'Finding 2020-006'!Print_Area</vt:lpstr>
      <vt:lpstr>'Finding 2020-007'!Print_Area</vt:lpstr>
      <vt:lpstr>'SEFA 20'!Print_Area</vt:lpstr>
      <vt:lpstr>'SEFA NOTES'!Print_Area</vt:lpstr>
      <vt:lpstr>'SEFA Reconcile'!Print_Area</vt:lpstr>
      <vt:lpstr>'SF&amp;QC Sec-1'!Print_Area</vt:lpstr>
      <vt:lpstr>'SF&amp;QC Sec-3'!Print_Area</vt:lpstr>
      <vt:lpstr>'Single Audit Checklist'!Print_Area</vt:lpstr>
      <vt:lpstr>'Single Audit Cover'!Print_Area</vt:lpstr>
      <vt:lpstr>'SEFA 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2021-01-04T22:05:58Z</cp:lastPrinted>
  <dcterms:created xsi:type="dcterms:W3CDTF">2003-10-29T19:06:34Z</dcterms:created>
  <dcterms:modified xsi:type="dcterms:W3CDTF">2021-01-15T13:35:37Z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