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2E2295E-C1A2-42E7-9712-DB11B304676F}" xr6:coauthVersionLast="36" xr6:coauthVersionMax="36" xr10:uidLastSave="{00000000-0000-0000-0000-000000000000}"/>
  <bookViews>
    <workbookView xWindow="0" yWindow="0" windowWidth="23040" windowHeight="10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16">'Shared Outsourced Services 31'!$A$1:$F$55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F17" i="183"/>
  <c r="E17" i="183"/>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1" i="127"/>
  <c r="B62"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H342" i="29" l="1"/>
  <c r="B7189" i="106"/>
  <c r="D7189" i="106" s="1"/>
  <c r="E64" i="184"/>
  <c r="N64" i="184" s="1"/>
  <c r="B7171" i="106"/>
  <c r="D7171" i="106" s="1"/>
  <c r="E62" i="184"/>
  <c r="N62" i="184" s="1"/>
  <c r="H15" i="184"/>
  <c r="G33" i="108"/>
  <c r="E17" i="184"/>
  <c r="H17" i="184" s="1"/>
  <c r="B7705" i="106"/>
  <c r="D7705" i="106" s="1"/>
  <c r="E67" i="184"/>
  <c r="N67" i="184" s="1"/>
  <c r="B7126" i="106"/>
  <c r="D7126" i="106" s="1"/>
  <c r="E57" i="184"/>
  <c r="N57" i="184" s="1"/>
  <c r="D31" i="108"/>
  <c r="E16" i="184"/>
  <c r="H16" i="184" s="1"/>
  <c r="C342" i="29"/>
  <c r="B7216" i="106" s="1"/>
  <c r="D7216" i="106" s="1"/>
  <c r="D24" i="37"/>
  <c r="B4270" i="106" s="1"/>
  <c r="D4270" i="106" s="1"/>
  <c r="B7696" i="106"/>
  <c r="D7696" i="106" s="1"/>
  <c r="E66" i="184"/>
  <c r="N66" i="184" s="1"/>
  <c r="B7198" i="106"/>
  <c r="D7198" i="106" s="1"/>
  <c r="E65" i="184"/>
  <c r="N65" i="184" s="1"/>
  <c r="B7180" i="106"/>
  <c r="D7180" i="106" s="1"/>
  <c r="E63" i="184"/>
  <c r="N63" i="184" s="1"/>
  <c r="B7162" i="106"/>
  <c r="D7162" i="106" s="1"/>
  <c r="E61" i="184"/>
  <c r="N61" i="184" s="1"/>
  <c r="B7153" i="106"/>
  <c r="D7153" i="106" s="1"/>
  <c r="E60" i="184"/>
  <c r="N60" i="184" s="1"/>
  <c r="B7135" i="106"/>
  <c r="D7135" i="106" s="1"/>
  <c r="E58" i="184"/>
  <c r="E19" i="184"/>
  <c r="H12" i="184"/>
  <c r="H19" i="184" s="1"/>
  <c r="L20" i="184" s="1"/>
  <c r="B7826" i="106"/>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E367" i="29" l="1"/>
  <c r="B3635" i="106"/>
  <c r="B7222" i="106"/>
  <c r="D7222" i="106" s="1"/>
  <c r="F76" i="34"/>
  <c r="B7887" i="106" s="1"/>
  <c r="D7887" i="106" s="1"/>
  <c r="L16" i="11"/>
  <c r="B2061" i="106" s="1"/>
  <c r="D2061" i="106" s="1"/>
  <c r="B2031" i="106"/>
  <c r="D2031" i="106" s="1"/>
  <c r="B7220" i="106"/>
  <c r="D7220" i="106" s="1"/>
  <c r="F75" i="34"/>
  <c r="B7886" i="106" s="1"/>
  <c r="D7886" i="106" s="1"/>
  <c r="K342" i="29"/>
  <c r="F13" i="34" s="1"/>
  <c r="N58" i="184"/>
  <c r="N68" i="184" s="1"/>
  <c r="E68" i="184"/>
  <c r="L114" i="29"/>
  <c r="F41" i="108"/>
  <c r="G43" i="108"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F77" i="3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6215" i="106" l="1"/>
  <c r="D6215" i="106" s="1"/>
  <c r="J41" i="3"/>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3567" i="106"/>
  <c r="D3567" i="106" s="1"/>
  <c r="K41" i="3"/>
  <c r="D51" i="36"/>
  <c r="B6216" i="106"/>
  <c r="D6216" i="106" s="1"/>
  <c r="B2912" i="106"/>
  <c r="D2912" i="106" s="1"/>
  <c r="I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B3568" i="106"/>
  <c r="D3568" i="106" s="1"/>
  <c r="D52" i="36"/>
  <c r="D50" i="36"/>
  <c r="B2913" i="106"/>
  <c r="D2913" i="106" s="1"/>
  <c r="B189" i="106"/>
  <c r="D189" i="106" s="1"/>
  <c r="G41" i="3"/>
  <c r="B170" i="106"/>
  <c r="D170" i="106" s="1"/>
  <c r="F41" i="3"/>
  <c r="B140" i="106"/>
  <c r="D140" i="106" s="1"/>
  <c r="E41" i="3"/>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190" i="106"/>
  <c r="D190" i="106" s="1"/>
  <c r="D48" i="36"/>
  <c r="B171" i="106"/>
  <c r="D171" i="106" s="1"/>
  <c r="D47" i="36"/>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<sst xmlns="http://schemas.openxmlformats.org/spreadsheetml/2006/main" count="5209" uniqueCount="2104">
  <si>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</si>
  <si>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</si>
  <si>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</si>
  <si>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</si>
  <si>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</si>
  <si>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</si>
  <si>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</si>
  <si>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</si>
  <si>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</si>
  <si>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</si>
  <si>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</si>
  <si>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</si>
  <si>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</si>
  <si>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</si>
  <si>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</si>
  <si>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</si>
  <si>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</si>
  <si>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</si>
  <si>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</si>
  <si>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</si>
  <si>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</si>
  <si>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</si>
  <si>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</si>
  <si>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</si>
  <si>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</si>
  <si>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</si>
  <si>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</si>
  <si>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</si>
  <si>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</si>
  <si>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</si>
  <si>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</si>
  <si>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</si>
  <si>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</si>
  <si>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</si>
  <si>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</si>
  <si>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</si>
  <si>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</si>
  <si>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</si>
  <si>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</si>
  <si>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</si>
  <si>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</si>
  <si>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</si>
  <si>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</si>
  <si>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</si>
  <si>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</si>
  <si>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</si>
  <si>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</si>
  <si>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</si>
  <si>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</si>
  <si>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</si>
  <si>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</si>
  <si>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</si>
  <si>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</si>
  <si>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</si>
  <si>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</si>
  <si>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</si>
  <si>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</si>
  <si>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</si>
  <si>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</si>
  <si>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</si>
  <si>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</si>
  <si>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</si>
  <si>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</si>
  <si>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</si>
  <si>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</si>
  <si>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</si>
  <si>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</si>
  <si>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</si>
  <si>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</si>
  <si>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</si>
  <si>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</si>
  <si>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</si>
  <si>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</si>
  <si>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</si>
  <si>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</si>
  <si>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</si>
  <si>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</si>
  <si>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</si>
  <si>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</si>
  <si>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</si>
  <si>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</si>
  <si>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</si>
  <si>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</si>
  <si>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</si>
  <si>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</si>
  <si>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</si>
  <si>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</si>
  <si>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</si>
  <si>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</si>
  <si>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</si>
  <si>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</si>
  <si>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</si>
  <si>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</si>
  <si>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</si>
  <si>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</si>
  <si>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</si>
  <si>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</si>
  <si>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</si>
  <si>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</si>
  <si>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</si>
  <si>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</si>
  <si>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</si>
  <si>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</si>
  <si>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</si>
  <si>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</si>
  <si>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</si>
  <si>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</si>
  <si>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</si>
  <si>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</si>
  <si>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</si>
  <si>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</si>
  <si>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</si>
  <si>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</si>
  <si>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</si>
  <si>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</si>
  <si>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</si>
  <si>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</si>
  <si>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</si>
  <si>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</si>
  <si>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</si>
  <si>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</si>
  <si>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</si>
  <si>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</si>
  <si>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</si>
  <si>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</si>
  <si>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</si>
  <si>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</si>
  <si>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</si>
  <si>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</si>
  <si>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</si>
  <si>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</si>
  <si>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</si>
  <si>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</si>
  <si>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</si>
  <si>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</si>
  <si>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</si>
  <si>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</si>
  <si>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</si>
  <si>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</si>
  <si>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</si>
  <si>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</si>
  <si>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</si>
  <si>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</si>
  <si>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</si>
  <si>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</si>
  <si>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</si>
  <si>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</si>
  <si>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</si>
  <si>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</si>
  <si>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</si>
  <si>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</si>
  <si>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</si>
  <si>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</si>
  <si>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</si>
  <si>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</si>
  <si>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</si>
  <si>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</si>
  <si>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</si>
  <si>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</si>
  <si>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</si>
  <si>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</si>
  <si>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</si>
  <si>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</si>
  <si>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</si>
  <si>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</si>
  <si>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</si>
  <si>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</si>
  <si>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</si>
  <si>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</si>
  <si>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</si>
  <si>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</si>
  <si>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</si>
  <si>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</si>
  <si>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</si>
  <si>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</si>
  <si>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</si>
  <si>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</si>
  <si>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</si>
  <si>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</si>
  <si>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</si>
  <si>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</si>
  <si>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</si>
  <si>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</si>
  <si>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</si>
  <si>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</si>
  <si>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</si>
  <si>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</si>
  <si>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</si>
  <si>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</si>
  <si>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</si>
  <si>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</si>
  <si>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</si>
  <si>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</si>
  <si>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</si>
  <si>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</si>
  <si>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</si>
  <si>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</si>
  <si>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</si>
  <si>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</si>
  <si>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</si>
  <si>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</si>
  <si>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</si>
  <si>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</si>
  <si>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</si>
  <si>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</si>
  <si>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</si>
  <si>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</si>
  <si>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</si>
  <si>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</si>
  <si>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</si>
  <si>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</si>
  <si>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</si>
  <si>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</si>
  <si>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</si>
  <si>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</si>
  <si>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</si>
  <si>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</si>
  <si>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</si>
  <si>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</si>
  <si>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</si>
  <si>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</si>
  <si>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</si>
  <si>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</si>
  <si>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</si>
  <si>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</si>
  <si>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</si>
  <si>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</si>
  <si>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</si>
  <si>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</si>
  <si>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</si>
  <si>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</si>
  <si>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</si>
  <si>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</si>
  <si>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</si>
  <si>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</si>
  <si>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</si>
  <si>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</si>
  <si>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</si>
  <si>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</si>
  <si>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</si>
  <si>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</si>
  <si>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</si>
  <si>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</si>
  <si>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</si>
  <si>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</si>
  <si>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</si>
  <si>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</si>
  <si>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</si>
  <si>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</si>
  <si>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</si>
  <si>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</si>
  <si>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</si>
  <si>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</si>
  <si>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</si>
  <si>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</si>
  <si>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</si>
  <si>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</si>
  <si>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</si>
  <si>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</si>
  <si>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</si>
  <si>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</si>
  <si>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</si>
  <si>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</si>
  <si>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</si>
  <si>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</si>
  <si>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</si>
  <si>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</si>
  <si>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</si>
  <si>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</si>
  <si>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</si>
  <si>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</si>
  <si>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</si>
  <si>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</si>
  <si>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</si>
  <si>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</si>
  <si>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</si>
  <si>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</si>
  <si>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</si>
  <si>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</si>
  <si>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</si>
  <si>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</si>
  <si>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</si>
  <si>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</si>
  <si>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</si>
  <si>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</si>
  <si>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</si>
  <si>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</si>
  <si>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</si>
  <si>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</si>
  <si>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</si>
  <si>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</si>
  <si>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</si>
  <si>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</si>
  <si>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</si>
  <si>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</si>
  <si>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</si>
  <si>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</si>
  <si>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</si>
  <si>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</si>
  <si>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</si>
  <si>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</si>
  <si>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</si>
  <si>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</si>
  <si>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</si>
  <si>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</si>
  <si>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</si>
  <si>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</si>
  <si>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</si>
  <si>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</si>
  <si>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</si>
  <si>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</si>
  <si>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</si>
  <si>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</si>
  <si>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</si>
  <si>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</si>
  <si>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</si>
  <si>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</si>
  <si>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</si>
  <si>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</si>
  <si>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</si>
  <si>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</si>
  <si>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</si>
  <si>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</si>
  <si>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</si>
  <si>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</si>
  <si>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</si>
  <si>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</si>
  <si>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</si>
  <si>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</si>
  <si>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</si>
  <si>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</si>
  <si>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</si>
  <si>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</si>
  <si>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</si>
  <si>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</si>
  <si>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</si>
  <si>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</si>
  <si>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</si>
  <si>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</si>
  <si>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</si>
  <si>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</si>
  <si>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</si>
  <si>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</si>
  <si>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</si>
  <si>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</si>
  <si>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</si>
  <si>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</si>
  <si>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</si>
  <si>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</si>
  <si>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</si>
  <si>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</si>
  <si>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</si>
  <si>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</si>
  <si>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</si>
  <si>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</si>
  <si>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</si>
  <si>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</si>
  <si>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</si>
  <si>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</si>
  <si>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</si>
  <si>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</si>
  <si>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</si>
  <si>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</si>
  <si>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</si>
  <si>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</si>
  <si>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</si>
  <si>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</si>
  <si>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</si>
  <si>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</si>
  <si>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</si>
  <si>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</si>
  <si>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</si>
  <si>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</si>
  <si>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</si>
  <si>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</si>
  <si>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</si>
  <si>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</si>
  <si>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</si>
  <si>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</si>
  <si>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</si>
  <si>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</si>
  <si>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</si>
  <si>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</si>
  <si>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</si>
  <si>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</si>
  <si>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</si>
  <si>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</si>
  <si>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</si>
  <si>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</si>
  <si>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</si>
  <si>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</si>
  <si>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</si>
  <si>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</si>
  <si>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</si>
  <si>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</si>
  <si>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</si>
  <si>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</si>
  <si>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</si>
  <si>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</si>
  <si>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</si>
  <si>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</si>
  <si>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</si>
  <si>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</si>
  <si>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</si>
  <si>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</si>
  <si>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</si>
  <si>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</si>
  <si>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</si>
  <si>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</si>
  <si>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</si>
  <si>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</si>
  <si>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</si>
  <si>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</si>
  <si>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</si>
  <si>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</si>
  <si>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</si>
  <si>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</si>
  <si>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</si>
  <si>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</si>
  <si>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</si>
  <si>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</si>
  <si>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</si>
  <si>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</si>
  <si>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</si>
  <si>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</si>
  <si>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</si>
  <si>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</si>
  <si>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</si>
  <si>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</si>
  <si>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</si>
  <si>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</si>
  <si>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</si>
  <si>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</si>
  <si>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</si>
  <si>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</si>
  <si>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</si>
  <si>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</si>
  <si>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</si>
  <si>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</si>
  <si>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</si>
  <si>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</si>
  <si>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</si>
  <si>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</si>
  <si>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</si>
  <si>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</si>
  <si>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</si>
  <si>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</si>
  <si>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</si>
  <si>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</si>
  <si>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</si>
  <si>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</si>
  <si>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</si>
  <si>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</si>
  <si>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</si>
  <si>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</si>
  <si>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</si>
  <si>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</si>
  <si>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</si>
  <si>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</si>
  <si>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</si>
  <si>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</si>
  <si>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</si>
  <si>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</si>
  <si>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</si>
  <si>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</si>
  <si>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</si>
  <si>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</si>
  <si>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</si>
  <si>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</si>
  <si>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</si>
  <si>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</si>
  <si>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</si>
  <si>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</si>
  <si>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</si>
  <si>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</si>
  <si>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</si>
  <si>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</si>
  <si>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</si>
  <si>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</si>
  <si>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</si>
  <si>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</si>
  <si>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</si>
  <si>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</si>
  <si>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</si>
  <si>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</si>
  <si>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</si>
  <si>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</si>
  <si>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</si>
  <si>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</si>
  <si>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</si>
  <si>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</si>
  <si>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</si>
  <si>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</si>
  <si>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</si>
  <si>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</si>
  <si>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</si>
  <si>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</si>
  <si>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</si>
  <si>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</si>
  <si>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</si>
  <si>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</si>
  <si>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</si>
  <si>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</si>
  <si>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</si>
  <si>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</si>
  <si>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</si>
  <si>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</si>
  <si>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</si>
  <si>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</si>
  <si>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</si>
  <si>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</si>
  <si>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</si>
  <si>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</si>
  <si>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</si>
  <si>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</si>
  <si>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</si>
  <si>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</si>
  <si>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</si>
  <si>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</si>
  <si>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</si>
  <si>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</si>
  <si>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</si>
  <si>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</si>
  <si>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</si>
  <si>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</si>
  <si>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</si>
  <si>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</si>
  <si>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</si>
  <si>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</si>
  <si>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</si>
  <si>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</si>
  <si>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</si>
  <si>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</si>
  <si>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</si>
  <si>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</si>
  <si>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</si>
  <si>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</si>
  <si>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</si>
  <si>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</si>
  <si>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</si>
  <si>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</si>
  <si>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</si>
  <si>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</si>
  <si>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</si>
  <si>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</si>
  <si>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</si>
  <si>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</si>
  <si>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</si>
  <si>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</si>
  <si>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</si>
  <si>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</si>
  <si>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</si>
  <si>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</si>
  <si>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</si>
  <si>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</si>
  <si>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</si>
  <si>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</si>
  <si>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</si>
  <si>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</si>
  <si>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</si>
  <si>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</si>
  <si>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</si>
  <si>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</si>
  <si>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</si>
  <si>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</si>
  <si>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</si>
  <si>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</si>
  <si>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</si>
  <si>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</si>
  <si>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</si>
  <si>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</si>
  <si>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</si>
  <si>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</si>
  <si>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</si>
  <si>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</si>
  <si>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</si>
  <si>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</si>
  <si>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</si>
  <si>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</si>
  <si>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</si>
  <si>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</si>
  <si>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</si>
  <si>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</si>
  <si>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</si>
  <si>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</si>
  <si>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</si>
  <si>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</si>
  <si>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</si>
  <si>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</si>
  <si>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</si>
  <si>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</si>
  <si>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</si>
  <si>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</si>
  <si>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</si>
  <si>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</si>
  <si>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</si>
  <si>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</si>
  <si>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</si>
  <si>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</si>
  <si>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</si>
  <si>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</si>
  <si>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</si>
  <si>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</si>
  <si>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</si>
  <si>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</si>
  <si>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</si>
  <si>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</si>
  <si>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</si>
  <si>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</si>
  <si>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</si>
  <si>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</si>
  <si>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</si>
  <si>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</si>
  <si>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</si>
  <si>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</si>
  <si>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</si>
  <si>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</si>
  <si>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</si>
  <si>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</si>
  <si>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</si>
  <si>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</si>
  <si>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</si>
  <si>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</si>
  <si>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</si>
  <si>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</si>
  <si>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</si>
  <si>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</si>
  <si>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</si>
  <si>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</si>
  <si>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</si>
  <si>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</si>
  <si>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</si>
  <si>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</si>
  <si>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</si>
  <si>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</si>
  <si>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</si>
  <si>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</si>
  <si>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</si>
  <si>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</si>
  <si>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</si>
  <si>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</si>
  <si>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</si>
  <si>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</si>
  <si>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</si>
  <si>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</si>
  <si>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</si>
  <si>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</si>
  <si>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</si>
  <si>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</si>
  <si>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</si>
  <si>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</si>
  <si>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</si>
  <si>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</si>
  <si>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</si>
  <si>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</si>
  <si>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</si>
  <si>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</si>
  <si>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</si>
  <si>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</si>
  <si>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</si>
  <si>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</si>
  <si>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</si>
  <si>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</si>
  <si>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</si>
  <si>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</si>
  <si>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</si>
  <si>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</si>
  <si>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</si>
  <si>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</si>
  <si>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</si>
  <si>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</si>
  <si>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</si>
  <si>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</si>
  <si>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</si>
  <si>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</si>
  <si>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</si>
  <si>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</si>
  <si>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</si>
  <si>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</si>
  <si>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</si>
  <si>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</si>
  <si>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</si>
  <si>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</si>
  <si>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</si>
  <si>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</si>
  <si>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</si>
  <si>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</si>
  <si>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</si>
  <si>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</si>
  <si>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</si>
  <si>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</si>
  <si>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</si>
  <si>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</si>
  <si>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</si>
  <si>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</si>
  <si>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</si>
  <si>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</si>
  <si>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</si>
  <si>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</si>
  <si>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</si>
  <si>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</si>
  <si>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</si>
  <si>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</si>
  <si>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</si>
  <si>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</si>
  <si>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</si>
  <si>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</si>
  <si>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</si>
  <si>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</si>
  <si>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</si>
  <si>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</si>
  <si>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</si>
  <si>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</si>
  <si>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</si>
  <si>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</si>
  <si>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</si>
  <si>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</si>
  <si>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</si>
  <si>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</si>
  <si>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</si>
  <si>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</si>
  <si>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</si>
  <si>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</si>
  <si>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</si>
  <si>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</si>
  <si>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</si>
  <si>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</si>
  <si>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</si>
  <si>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</si>
  <si>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</si>
  <si>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</si>
  <si>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</si>
  <si>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</si>
  <si>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</si>
  <si>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</si>
  <si>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</si>
  <si>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</si>
  <si>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</si>
  <si>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</si>
  <si>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</si>
  <si>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</si>
  <si>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</si>
  <si>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</si>
  <si>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</si>
  <si>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</si>
  <si>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</si>
  <si>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</si>
  <si>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</si>
  <si>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</si>
  <si>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</si>
  <si>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</si>
  <si>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</si>
  <si>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</si>
  <si>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</si>
  <si>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</si>
  <si>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</si>
  <si>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</si>
  <si>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</si>
  <si>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</si>
  <si>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</si>
  <si>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</si>
  <si>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</si>
  <si>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</si>
  <si>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</si>
  <si>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</si>
  <si>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</si>
  <si>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</si>
  <si>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</si>
  <si>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</si>
  <si>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</si>
  <si>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</si>
  <si>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</si>
  <si>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</si>
  <si>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</si>
  <si>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</si>
  <si>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</si>
  <si>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</si>
  <si>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</si>
  <si>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</si>
  <si>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</si>
  <si>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</si>
  <si>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</si>
  <si>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</si>
  <si>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</si>
  <si>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</si>
  <si>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</si>
  <si>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</si>
  <si>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</si>
  <si>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</si>
  <si>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</si>
  <si>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</si>
  <si>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</si>
  <si>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</si>
  <si>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</si>
  <si>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</si>
  <si>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</si>
  <si>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</si>
  <si>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</si>
  <si>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</si>
  <si>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</si>
  <si>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</si>
  <si>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</si>
  <si>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</si>
  <si>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</si>
  <si>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</si>
  <si>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</si>
  <si>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</si>
  <si>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</si>
  <si>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</si>
  <si>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</si>
  <si>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</si>
  <si>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</si>
  <si>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</si>
  <si>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</si>
  <si>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</si>
  <si>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</si>
  <si>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</si>
  <si>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</si>
  <si>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</si>
  <si>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</si>
  <si>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</si>
  <si>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</si>
  <si>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</si>
  <si>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</si>
  <si>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</si>
  <si>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</si>
  <si>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</si>
  <si>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</si>
  <si>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</si>
  <si>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</si>
  <si>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</si>
  <si>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</si>
  <si>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</si>
  <si>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</si>
  <si>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</si>
  <si>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</si>
  <si>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</si>
  <si>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</si>
  <si>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</si>
  <si>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</si>
  <si>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</si>
  <si>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</si>
  <si>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</si>
  <si>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</si>
  <si>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</si>
  <si>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</si>
  <si>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</si>
  <si>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</si>
  <si>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</si>
  <si>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</si>
  <si>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</si>
  <si>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</si>
  <si>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</si>
  <si>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</si>
  <si>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</si>
  <si>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</si>
  <si>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</si>
  <si>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</si>
  <si>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</si>
  <si>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</si>
  <si>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</si>
  <si>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</si>
  <si>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</si>
  <si>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</si>
  <si>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</si>
  <si>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</si>
  <si>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</si>
  <si>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</si>
  <si>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</si>
  <si>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</si>
  <si>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</si>
  <si>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</si>
  <si>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</si>
  <si>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</si>
  <si>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</si>
  <si>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</si>
  <si>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</si>
  <si>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</si>
  <si>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</si>
  <si>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</si>
  <si>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</si>
  <si>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</si>
  <si>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</si>
  <si>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</si>
  <si>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</si>
  <si>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</si>
  <si>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</si>
  <si>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</si>
  <si>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</si>
  <si>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</si>
  <si>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</si>
  <si>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</si>
  <si>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</si>
  <si>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</si>
  <si>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</si>
  <si>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</si>
  <si>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</si>
  <si>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</si>
  <si>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</si>
  <si>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</si>
  <si>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</si>
  <si>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</si>
  <si>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</si>
  <si>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</si>
  <si>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</si>
  <si>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</si>
  <si>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</si>
  <si>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</si>
  <si>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</si>
  <si>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</si>
  <si>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</si>
  <si>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</si>
  <si>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</si>
  <si>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</si>
  <si>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</si>
  <si>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</si>
  <si>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</si>
  <si>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</si>
  <si>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</si>
  <si>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</si>
  <si>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</si>
  <si>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</si>
  <si>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</si>
  <si>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</si>
  <si>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</si>
  <si>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</si>
  <si>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</si>
  <si>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</si>
  <si>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</si>
  <si>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</si>
  <si>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</si>
  <si>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</si>
  <si>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</si>
  <si>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</si>
  <si>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</si>
  <si>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</si>
  <si>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</si>
  <si>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</si>
  <si>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</si>
  <si>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</si>
  <si>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</si>
  <si>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</si>
  <si>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</si>
  <si>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</si>
  <si>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</si>
  <si>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</si>
  <si>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</si>
  <si>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</si>
  <si>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</si>
  <si>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</si>
  <si>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</si>
  <si>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</si>
  <si>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</si>
  <si>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</si>
  <si>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</si>
  <si>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</si>
  <si>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</si>
  <si>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</si>
  <si>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</si>
  <si>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</si>
  <si>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</si>
  <si>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</si>
  <si>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</si>
  <si>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</si>
  <si>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</si>
  <si>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</si>
  <si>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</si>
  <si>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</si>
  <si>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</si>
  <si>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</si>
  <si>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</si>
  <si>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</si>
  <si>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</si>
  <si>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</si>
  <si>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</si>
  <si>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</si>
  <si>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</si>
  <si>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</si>
  <si>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</si>
  <si>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</si>
  <si>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</si>
  <si>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</si>
  <si>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</si>
  <si>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</si>
  <si>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</si>
  <si>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</si>
  <si>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</si>
  <si>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</si>
  <si>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</si>
  <si>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</si>
  <si>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</si>
  <si>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</si>
  <si>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</si>
  <si>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</si>
  <si>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</si>
  <si>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</si>
  <si>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</si>
  <si>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</si>
  <si>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</si>
  <si>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</si>
  <si>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</si>
  <si>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</si>
  <si>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</si>
  <si>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</si>
  <si>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</si>
  <si>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</si>
  <si>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</si>
  <si>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</si>
  <si>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</si>
  <si>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</si>
  <si>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</si>
  <si>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</si>
  <si>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</si>
  <si>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</si>
  <si>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</si>
  <si>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</si>
  <si>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</si>
  <si>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</si>
  <si>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</si>
  <si>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</si>
  <si>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</si>
  <si>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</si>
  <si>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</si>
  <si>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</si>
  <si>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</si>
  <si>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</si>
  <si>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</si>
  <si>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</si>
  <si>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</si>
  <si>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</si>
  <si>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</si>
  <si>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</si>
  <si>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</si>
  <si>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</si>
  <si>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</si>
  <si>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</si>
  <si>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</si>
  <si>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</si>
  <si>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</si>
  <si>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</si>
  <si>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</si>
  <si>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</si>
  <si>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</si>
  <si>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</si>
  <si>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</si>
  <si>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</si>
  <si>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</si>
  <si>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</si>
  <si>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</si>
  <si>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</si>
  <si>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</si>
  <si>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</si>
  <si>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</si>
  <si>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</si>
  <si>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</si>
  <si>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</si>
  <si>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</si>
  <si>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</si>
  <si>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</si>
  <si>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</si>
  <si>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</si>
  <si>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</si>
  <si>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</si>
  <si>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</si>
  <si>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</si>
  <si>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</si>
  <si>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</si>
  <si>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</si>
  <si>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</si>
  <si>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</si>
  <si>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</si>
  <si>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</si>
  <si>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</si>
  <si>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</si>
  <si>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</si>
  <si>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</si>
  <si>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</si>
  <si>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</si>
  <si>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</si>
  <si>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</si>
  <si>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</si>
  <si>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</si>
  <si>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</si>
  <si>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</si>
  <si>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</si>
  <si>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</si>
  <si>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</si>
  <si>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</si>
  <si>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</si>
  <si>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</si>
  <si>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</si>
  <si>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</si>
  <si>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</si>
  <si>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</si>
  <si>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</si>
  <si>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</si>
  <si>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</si>
  <si>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</si>
  <si>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</si>
  <si>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</si>
  <si>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</si>
  <si>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</si>
  <si>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</si>
  <si>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</si>
  <si>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</si>
  <si>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</si>
  <si>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</si>
  <si>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</si>
  <si>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</si>
  <si>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</si>
  <si>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</si>
  <si>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</si>
  <si>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</si>
  <si>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</si>
  <si>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</si>
  <si>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</si>
  <si>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</si>
  <si>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</si>
  <si>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</si>
  <si>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</si>
  <si>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</si>
  <si>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</si>
  <si>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</si>
  <si>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</si>
  <si>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</si>
  <si>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</si>
  <si>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</si>
  <si>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</si>
  <si>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</si>
  <si>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</si>
  <si>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</si>
  <si>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</si>
  <si>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</si>
  <si>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</si>
  <si>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</si>
  <si>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</si>
  <si>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</si>
  <si>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</si>
  <si>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</si>
  <si>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</si>
  <si>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</si>
  <si>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</si>
  <si>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</si>
  <si>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</si>
  <si>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</si>
  <si>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</si>
  <si>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</si>
  <si>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</si>
  <si>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</si>
  <si>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</si>
  <si>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</si>
  <si>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</si>
  <si>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</si>
  <si>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</si>
  <si>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</si>
  <si>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</si>
  <si>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</si>
  <si>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</si>
  <si>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</si>
  <si>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</si>
  <si>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</si>
  <si>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</si>
  <si>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</si>
  <si>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</si>
  <si>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</si>
  <si>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</si>
  <si>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</si>
  <si>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</si>
  <si>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</si>
  <si>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</si>
  <si>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</si>
  <si>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</si>
  <si>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</si>
  <si>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</si>
  <si>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</si>
  <si>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</si>
  <si>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</si>
  <si>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</si>
  <si>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</si>
  <si>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</si>
  <si>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</si>
  <si>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</si>
  <si>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</si>
  <si>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</si>
  <si>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</si>
  <si>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</si>
  <si>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</si>
  <si>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</si>
  <si>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</si>
  <si>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</si>
  <si>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</si>
  <si>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</si>
  <si>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</si>
  <si>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</si>
  <si>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</si>
  <si>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</si>
  <si>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</si>
  <si>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</si>
  <si>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</si>
  <si>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</si>
  <si>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</si>
  <si>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</si>
  <si>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</si>
  <si>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</si>
  <si>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</si>
  <si>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</si>
  <si>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</si>
  <si>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</si>
  <si>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</si>
  <si>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</si>
  <si>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</si>
  <si>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</si>
  <si>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</si>
  <si>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</si>
  <si>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</si>
  <si>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</si>
  <si>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</si>
  <si>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</si>
  <si>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</si>
  <si>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</si>
  <si>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</si>
  <si>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</si>
  <si>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</si>
  <si>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</si>
  <si>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</si>
  <si>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</si>
  <si>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</si>
  <si>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</si>
  <si>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</si>
  <si>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</si>
  <si>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</si>
  <si>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</si>
  <si>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</si>
  <si>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</si>
  <si>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</si>
  <si>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</si>
  <si>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</si>
  <si>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</si>
  <si>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</si>
  <si>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</si>
  <si>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</si>
  <si>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</si>
  <si>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</si>
  <si>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</si>
  <si>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</si>
  <si>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</si>
  <si>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</si>
  <si>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</si>
  <si>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</si>
  <si>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</si>
  <si>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</si>
  <si>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</si>
  <si>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</si>
  <si>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</si>
  <si>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</si>
  <si>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</si>
  <si>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</si>
  <si>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</si>
  <si>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</si>
  <si>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</si>
  <si>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</si>
  <si>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</si>
  <si>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</si>
  <si>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</si>
  <si>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</si>
  <si>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</si>
  <si>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</si>
  <si>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</si>
  <si>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</si>
  <si>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</si>
  <si>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</si>
  <si>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</si>
  <si>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</si>
  <si>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</si>
  <si>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</si>
  <si>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</si>
  <si>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</si>
  <si>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</si>
  <si>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</si>
  <si>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</si>
  <si>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</si>
  <si>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</si>
  <si>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</si>
  <si>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</si>
  <si>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</si>
  <si>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</si>
  <si>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</si>
  <si>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</si>
  <si>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</si>
  <si>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</si>
  <si>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</si>
  <si>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</si>
  <si>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</si>
  <si>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</si>
  <si>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</si>
  <si>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</si>
  <si>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</si>
  <si>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</si>
  <si>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</si>
  <si>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</si>
  <si>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</si>
  <si>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</si>
  <si>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</si>
  <si>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</si>
  <si>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</si>
  <si>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</si>
  <si>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</si>
  <si>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</si>
  <si>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</si>
  <si>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</si>
  <si>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</si>
  <si>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</si>
  <si>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</si>
  <si>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</si>
  <si>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</si>
  <si>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</si>
  <si>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</si>
  <si>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</si>
  <si>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</si>
  <si>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</si>
  <si>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</si>
  <si>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</si>
  <si>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</si>
  <si>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</si>
  <si>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</si>
  <si>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</si>
  <si>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</si>
  <si>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</si>
  <si>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</si>
  <si>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</si>
  <si>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</si>
  <si>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</si>
  <si>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</si>
  <si>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</si>
  <si>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</si>
  <si>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</si>
  <si>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</si>
  <si>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</si>
  <si>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</si>
  <si>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</si>
  <si>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</si>
  <si>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</si>
  <si>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</si>
  <si>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</si>
  <si>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</si>
  <si>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</si>
  <si>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</si>
  <si>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</si>
  <si>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</si>
  <si>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</si>
  <si>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</si>
  <si>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</si>
  <si>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</si>
  <si>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</si>
  <si>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</si>
  <si>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</si>
  <si>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</si>
  <si>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</si>
  <si>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</si>
  <si>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</si>
  <si>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</si>
  <si>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</si>
  <si>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</si>
  <si>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</si>
  <si>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</si>
  <si>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</si>
  <si>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</si>
  <si>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</si>
  <si>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</si>
  <si>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</si>
  <si>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</si>
  <si>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</si>
  <si>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</si>
  <si>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</si>
  <si>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</si>
  <si>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</si>
  <si>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</si>
  <si>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</si>
  <si>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</si>
  <si>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</si>
  <si>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</si>
  <si>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</si>
  <si>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</si>
  <si>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</si>
  <si>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</si>
  <si>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</si>
  <si>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</si>
  <si>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</si>
  <si>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</si>
  <si>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</si>
  <si>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</si>
  <si>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</si>
  <si>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</si>
  <si>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</si>
  <si>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</si>
  <si>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</si>
  <si>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</si>
  <si>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</si>
  <si>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</si>
  <si>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</si>
  <si>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</si>
  <si>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</si>
  <si>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</si>
  <si>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</si>
  <si>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</si>
  <si>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</si>
  <si>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</si>
  <si>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</si>
  <si>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</si>
  <si>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</si>
  <si>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</si>
  <si>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</si>
  <si>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</si>
  <si>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</si>
  <si>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</si>
  <si>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</si>
  <si>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</si>
  <si>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</si>
  <si>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</si>
  <si>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</si>
  <si>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</si>
  <si>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</si>
  <si>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</si>
  <si>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</si>
  <si>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</si>
  <si>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</si>
  <si>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</si>
  <si>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</si>
  <si>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</si>
  <si>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</si>
  <si>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</si>
  <si>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</si>
  <si>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</si>
  <si>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</si>
  <si>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</si>
  <si>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</si>
  <si>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</si>
  <si>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</si>
  <si>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</si>
  <si>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</si>
  <si>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</si>
  <si>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</si>
  <si>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</si>
  <si>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</si>
  <si>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</si>
  <si>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</si>
  <si>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</si>
  <si>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</si>
  <si>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</si>
  <si>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</si>
  <si>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</si>
  <si>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</si>
  <si>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</si>
  <si>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</si>
  <si>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</si>
  <si>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</si>
  <si>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</si>
  <si>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</si>
  <si>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</si>
  <si>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</si>
  <si>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</si>
  <si>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</si>
  <si>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</si>
  <si>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</si>
  <si>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</si>
  <si>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</si>
  <si>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</si>
  <si>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</si>
  <si>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</si>
  <si>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</si>
  <si>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</si>
  <si>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</si>
  <si>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</si>
  <si>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</si>
  <si>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</si>
  <si>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</si>
  <si>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</si>
  <si>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</si>
  <si>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</si>
  <si>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</si>
  <si>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</si>
  <si>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</si>
  <si>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</si>
  <si>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</si>
  <si>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</si>
  <si>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</si>
  <si>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</si>
  <si>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</si>
  <si>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</si>
  <si>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</si>
  <si>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</si>
  <si>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</si>
  <si>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</si>
  <si>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</si>
  <si>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</si>
  <si>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</si>
  <si>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</si>
  <si>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</si>
  <si>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</si>
  <si>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</si>
  <si>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</si>
  <si>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</si>
  <si>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</si>
  <si>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</si>
  <si>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</si>
  <si>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</si>
  <si>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</si>
  <si>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</si>
  <si>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</si>
  <si>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</si>
  <si>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</si>
  <si>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</si>
  <si>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</si>
  <si>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</si>
  <si>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</si>
  <si>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</si>
  <si>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</si>
  <si>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</si>
  <si>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</si>
  <si>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</si>
  <si>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</si>
  <si>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</si>
  <si>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</si>
  <si>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</si>
  <si>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</si>
  <si>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</si>
  <si>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</si>
  <si>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</si>
  <si>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</si>
  <si>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</si>
  <si>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</si>
  <si>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</si>
  <si>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</si>
  <si>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</si>
  <si>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</si>
  <si>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</si>
  <si>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</si>
  <si>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</si>
  <si>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</si>
  <si>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</si>
  <si>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</si>
  <si>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</si>
  <si>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</si>
  <si>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</si>
  <si>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</si>
  <si>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</si>
  <si>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</si>
  <si>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</si>
  <si>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</si>
  <si>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</si>
  <si>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</si>
  <si>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</si>
  <si>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</si>
  <si>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</si>
  <si>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</si>
  <si>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</si>
  <si>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</si>
  <si>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</si>
  <si>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</si>
  <si>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</si>
  <si>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</si>
  <si>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</si>
  <si>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</si>
  <si>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</si>
  <si>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</si>
  <si>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</si>
  <si>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</si>
  <si>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</si>
  <si>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</si>
  <si>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</si>
  <si>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</si>
  <si>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</si>
  <si>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</si>
  <si>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</si>
  <si>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</si>
  <si>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</si>
  <si>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</si>
  <si>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</si>
  <si>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</si>
  <si>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</si>
  <si>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</si>
  <si>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</si>
  <si>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</si>
  <si>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</si>
  <si>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</si>
  <si>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</si>
  <si>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</si>
  <si>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</si>
  <si>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</si>
  <si>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</si>
  <si>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</si>
  <si>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</si>
  <si>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</si>
  <si>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</si>
  <si>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</si>
  <si>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</si>
  <si>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</si>
  <si>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</si>
  <si>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</si>
  <si>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</si>
  <si>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</si>
  <si>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</si>
  <si>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</si>
  <si>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</si>
  <si>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</si>
  <si>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</si>
  <si>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</si>
  <si>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</si>
  <si>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</si>
  <si>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</si>
  <si>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</si>
  <si>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</si>
  <si>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</si>
  <si>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</si>
  <si>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</si>
  <si>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</si>
  <si>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</si>
  <si>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</si>
  <si>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</si>
  <si>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</si>
  <si>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</si>
  <si>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</si>
  <si>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</si>
  <si>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</si>
  <si>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</si>
  <si>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</si>
  <si>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</si>
  <si>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</si>
  <si>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</si>
  <si>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</si>
  <si>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</si>
  <si>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</si>
  <si>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</si>
  <si>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</si>
  <si>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</si>
  <si>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</si>
  <si>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</si>
  <si>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</si>
  <si>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</si>
  <si>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</si>
  <si>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</si>
  <si>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</si>
  <si>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</si>
  <si>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</si>
  <si>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</si>
  <si>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</si>
  <si>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</si>
  <si>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</si>
  <si>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</si>
  <si>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</si>
  <si>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</si>
  <si>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</si>
  <si>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</si>
  <si>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</si>
  <si>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</si>
  <si>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</si>
  <si>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</si>
  <si>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</si>
  <si>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</si>
  <si>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</si>
  <si>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</si>
  <si>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</si>
  <si>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</si>
  <si>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</si>
  <si>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</si>
  <si>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</si>
  <si>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</si>
  <si>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</si>
  <si>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</si>
  <si>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</si>
  <si>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</si>
  <si>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</si>
  <si>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</si>
  <si>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</si>
  <si>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</si>
  <si>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</si>
  <si>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</si>
  <si>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</si>
  <si>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</si>
  <si>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</si>
  <si>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</si>
  <si>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</si>
  <si>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</si>
  <si>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</si>
  <si>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</si>
  <si>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</si>
  <si>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</si>
  <si>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</si>
  <si>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</si>
  <si>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</si>
  <si>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</si>
  <si>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</si>
  <si>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</si>
  <si>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</si>
  <si>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</si>
  <si>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</si>
  <si>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</si>
  <si>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</si>
  <si>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</si>
  <si>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</si>
  <si>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</si>
  <si>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</si>
  <si>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</si>
  <si>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</si>
  <si>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</si>
  <si>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</si>
  <si>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</si>
  <si>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</si>
  <si>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</si>
  <si>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</si>
  <si>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</si>
  <si>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</si>
  <si>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</si>
  <si>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</si>
  <si>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</si>
  <si>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</si>
  <si>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</si>
  <si>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</si>
  <si>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</si>
  <si>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</si>
  <si>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</si>
  <si>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</si>
  <si>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</si>
  <si>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</si>
  <si>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</si>
  <si>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</si>
  <si>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</si>
  <si>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</si>
  <si>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</si>
  <si>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</si>
  <si>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</si>
  <si>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</si>
  <si>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</si>
  <si>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</si>
  <si>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</si>
  <si>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</si>
  <si>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</si>
  <si>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</si>
  <si>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</si>
  <si>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</si>
  <si>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</si>
  <si>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</si>
  <si>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</si>
  <si>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</si>
  <si>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</si>
  <si>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</si>
  <si>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</si>
  <si>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</si>
  <si>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</si>
  <si>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</si>
  <si>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</si>
  <si>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</si>
  <si>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</si>
  <si>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</si>
  <si>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</si>
  <si>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</si>
  <si>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</si>
  <si>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</si>
  <si>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</si>
  <si>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</si>
  <si>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</si>
  <si>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</si>
  <si>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</si>
  <si>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</si>
  <si>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</si>
  <si>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</si>
  <si>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</si>
  <si>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</si>
  <si>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</si>
  <si>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</si>
  <si>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</si>
  <si>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</si>
  <si>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</si>
  <si>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</si>
  <si>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</si>
  <si>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</si>
  <si>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</si>
  <si>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</si>
  <si>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</si>
  <si>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</si>
  <si>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</si>
  <si>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</si>
  <si>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</si>
  <si>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</si>
  <si>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</si>
  <si>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</si>
  <si>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</si>
  <si>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</si>
  <si>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</si>
  <si>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</si>
  <si>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</si>
  <si>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</si>
  <si>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</si>
  <si>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</si>
  <si>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</si>
  <si>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</si>
  <si>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</si>
  <si>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</si>
  <si>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</si>
  <si>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</si>
  <si>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</si>
  <si>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</si>
  <si>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</si>
  <si>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</si>
  <si>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</si>
  <si>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</si>
  <si>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</si>
  <si>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</si>
  <si>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</si>
  <si>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</si>
  <si>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</si>
  <si>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</si>
  <si>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</si>
  <si>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</si>
  <si>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</si>
  <si>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</si>
  <si>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</si>
  <si>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</si>
  <si>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</si>
  <si>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</si>
  <si>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</si>
  <si>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</si>
  <si>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</si>
  <si>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</si>
  <si>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</si>
  <si>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</si>
  <si>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</si>
  <si>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</si>
  <si>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</si>
  <si>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</si>
  <si>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</si>
  <si>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</si>
  <si>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</si>
  <si>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</si>
  <si>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</si>
  <si>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</si>
  <si>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</si>
  <si>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</si>
  <si>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</si>
  <si>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</si>
  <si>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</si>
  <si>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</si>
  <si>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</si>
  <si>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</si>
  <si>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</si>
  <si>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</si>
  <si>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</si>
  <si>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</si>
  <si>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</si>
  <si>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</si>
  <si>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</si>
  <si>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</si>
  <si>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</si>
  <si>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</si>
  <si>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</si>
  <si>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</si>
  <si>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</si>
  <si>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</si>
  <si>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</si>
  <si>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</si>
  <si>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</si>
  <si>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</si>
  <si>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</si>
  <si>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</si>
  <si>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</si>
  <si>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</si>
  <si>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</si>
  <si>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</si>
  <si>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</si>
  <si>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</si>
  <si>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</si>
  <si>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</si>
  <si>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</si>
  <si>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</si>
  <si>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</si>
  <si>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</si>
  <si>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</si>
  <si>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</si>
  <si>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</si>
  <si>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</si>
  <si>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</si>
  <si>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</si>
  <si>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</si>
  <si>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</si>
  <si>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</si>
  <si>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</si>
  <si>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</si>
  <si>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</si>
  <si>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</si>
  <si>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</si>
  <si>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</si>
  <si>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</si>
  <si>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</si>
  <si>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</si>
  <si>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</si>
  <si>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</si>
  <si>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</si>
  <si>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</si>
  <si>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</si>
  <si>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</si>
  <si>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</si>
  <si>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</si>
  <si>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</si>
  <si>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</si>
  <si>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</si>
  <si>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</si>
  <si>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</si>
  <si>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</si>
  <si>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</si>
  <si>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</si>
  <si>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</si>
  <si>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</si>
  <si>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</si>
  <si>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</si>
  <si>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</si>
  <si>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</si>
  <si>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</si>
  <si>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</si>
  <si>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</si>
  <si>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</si>
  <si>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</si>
  <si>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</si>
  <si>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</si>
  <si>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</si>
  <si>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</si>
  <si>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</si>
  <si>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</si>
  <si>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</si>
  <si>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</si>
  <si>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</si>
  <si>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</si>
  <si>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</si>
  <si>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</si>
  <si>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</si>
  <si>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</si>
  <si>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</si>
  <si>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</si>
  <si>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</si>
  <si>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</si>
  <si>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</si>
  <si>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</si>
  <si>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</si>
  <si>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</si>
  <si>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</si>
  <si>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</si>
  <si>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</si>
  <si>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</si>
  <si>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</si>
  <si>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</si>
  <si>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</si>
  <si>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</si>
  <si>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</si>
  <si>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</si>
  <si>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</si>
  <si>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</si>
  <si>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</si>
  <si>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</si>
  <si>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</si>
  <si>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</si>
  <si>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</si>
  <si>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</si>
  <si>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</si>
  <si>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</si>
  <si>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</si>
  <si>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</si>
  <si>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</si>
  <si>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</si>
  <si>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</si>
  <si>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</si>
  <si>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</si>
  <si>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</si>
  <si>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</si>
  <si>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</si>
  <si>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</si>
  <si>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</si>
  <si>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</si>
  <si>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</si>
  <si>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</si>
  <si>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</si>
  <si>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</si>
  <si>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</si>
  <si>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</si>
  <si>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</si>
  <si>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</si>
  <si>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</si>
  <si>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</si>
  <si>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</si>
  <si>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</si>
  <si>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</si>
  <si>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</si>
  <si>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</si>
  <si>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</si>
  <si>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</si>
  <si>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</si>
  <si>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</si>
  <si>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</si>
  <si>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</si>
  <si>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</si>
  <si>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</si>
  <si>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</si>
  <si>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</si>
  <si>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</si>
  <si>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</si>
  <si>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</si>
  <si>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</si>
  <si>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</si>
  <si>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</si>
  <si>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</si>
  <si>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</si>
  <si>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</si>
  <si>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</si>
  <si>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</si>
  <si>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</si>
  <si>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</si>
  <si>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</si>
  <si>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</si>
  <si>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</si>
  <si>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</si>
  <si>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</si>
  <si>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</si>
  <si>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</si>
  <si>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</si>
  <si>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</si>
  <si>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</si>
  <si>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</si>
  <si>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</si>
  <si>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</si>
  <si>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</si>
  <si>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</si>
  <si>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</si>
  <si>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</si>
  <si>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</si>
  <si>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</si>
  <si>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</si>
  <si>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</si>
  <si>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</si>
  <si>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</si>
  <si>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</si>
  <si>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</si>
  <si>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</si>
  <si>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</si>
  <si>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</si>
  <si>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</si>
  <si>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</si>
  <si>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</si>
  <si>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</si>
  <si>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</si>
  <si>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</si>
  <si>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</si>
  <si>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</si>
  <si>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</si>
  <si>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Meister, Hilton, Chitwood &amp; Associates, Inc.</t>
  </si>
  <si>
    <t>Ron Hilton</t>
  </si>
  <si>
    <t>809 W. Detweiller Drive, Suite 806</t>
  </si>
  <si>
    <t>Peoria</t>
  </si>
  <si>
    <t>IL</t>
  </si>
  <si>
    <t>(309) 683-0441</t>
  </si>
  <si>
    <t>(309) 692-0492</t>
  </si>
  <si>
    <t>066-004769</t>
  </si>
  <si>
    <t>ron.hilton1@comcast.net</t>
  </si>
  <si>
    <t>x</t>
  </si>
  <si>
    <t>5137 West Cisna Road</t>
  </si>
  <si>
    <t>Bartonville</t>
  </si>
  <si>
    <t>dreiley@monroe70.org</t>
  </si>
  <si>
    <t>Darrick Reiley</t>
  </si>
  <si>
    <t>309-697-3120</t>
  </si>
  <si>
    <t>309-697-3185</t>
  </si>
  <si>
    <t>General Obligation School Bonds, Series 2016</t>
  </si>
  <si>
    <t>General Obligation School Bonds, Series 2020</t>
  </si>
  <si>
    <t>Capital leases</t>
  </si>
  <si>
    <t>2.   The amount of funds on hand exceed the required amount of the Treasurer's bond for one month during the year ended June 30, 2020.                                                                                                                                           23. The District has prepared these financial statements using accounting practices prescribed or permitted by the Illinois State Board of Education, which differs from accounting principles generally accepted in the United States of America.</t>
  </si>
  <si>
    <t>B</t>
  </si>
  <si>
    <t>A</t>
  </si>
  <si>
    <t>Special Education Association of Peoria County</t>
  </si>
  <si>
    <t xml:space="preserve">A. Oak Grove, Pleasant Hill, SEAPCO, Brimfield, Norwood, Bartonville, Hollis, Dunlap, Elmwood, Limestone Walters, Robein, Delavan, ROE 48, Area 111 Tech </t>
  </si>
  <si>
    <t>B. Oak Grove, Pleasant Hill, Norwood, Bartonville Grade, Hollis, Limestone Walters, Pleasant Valley, Limestone High School</t>
  </si>
  <si>
    <t>Page 5 - Line 190 - Other Current Assets: Education Fund - Employee Insurance paid in advance $3,937,</t>
  </si>
  <si>
    <t xml:space="preserve">                                  Municipal Retirement/Social Security Fund - Refund due from previously paid expenditures $172</t>
  </si>
  <si>
    <t>Page 10 - Line 1790 - Other District/School Activity Revenue: Education Fund - Daycare and aftercare revenues $61,786</t>
  </si>
  <si>
    <t>Page 10 - Line 1999 - Other Local Revenues: Education Fund -  Miscellaneous refunds $172</t>
  </si>
  <si>
    <t>Page 18 - Line 5400 - Debt services - Other - Bond agent fees $500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</si>
  <si>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</si>
  <si>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office personnel that is involved in the accounting function.  Therefore, the District does not have an adequate segregation of duties over accounting transactions as the employee is responsible for initiating and recording transactions in the general ledger as well as performing reconciliations.</t>
  </si>
  <si>
    <t>One employee is responsible for most aspects of the cash receipts and disbursements,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</si>
  <si>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</si>
  <si>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</si>
  <si>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Superintendent’s and Board of Education's close oversight and review of accounting information on a regular basis is the best means of preventing or detecting errors or fraud.</t>
  </si>
  <si>
    <t>Due to the small size of the District, it is not practical to hire additional personnel solely for the purpose of achieving an ideal segregation of duties over the accounting function.  Some segregation of duties has occurred to the extent possible.</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</si>
  <si>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</si>
  <si>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</si>
  <si>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Changes in accounting standards may not be identified and implemented by the Board of Education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</si>
  <si>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</si>
  <si>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</si>
  <si>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</si>
  <si>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have qualified internal personnel to perform a complete review of the District's  financial statements.  In addition, it is not economically practical to hire an outside consultant to conduct this review.  However, the District does have an external treasurer that reviews the annual  financial report.  The District believes that the treasurer's and management's review of the balances and amounts are adequate in the circumstances and no additional procedures are considered necessary.</t>
  </si>
  <si>
    <t>Trans-Pupil Transportation Services-purchased services</t>
  </si>
  <si>
    <t>First Student</t>
  </si>
  <si>
    <t>Page 16 - Line 2900 - Other Support Services: Education Fund - Debt issuance costs $8,500, Bond agent fees $750</t>
  </si>
  <si>
    <t>Page 24 - Total long-term debt issued - Short-term capital leases - Proceeds of $9,480 are included on page 8, line 7990 - other sources not classified elsewhere</t>
  </si>
  <si>
    <t>Page 24 - Total long-term debt issued - Long-term capital leases - Proceeds of $25,000 are  included on page 8, line 7990 - other sources not classified elsewhere</t>
  </si>
  <si>
    <t xml:space="preserve">                                                                       Short-term capital leases - Proceeds of $9,480 are also included on page 8, line 7990 (total of $34,480)</t>
  </si>
  <si>
    <t>Page 24 - Capital lease principal retired July 1, 2019 thru June 30, 2020 - long-term $20,453 is include on page 15, function 1100 - Regular programs,</t>
  </si>
  <si>
    <t xml:space="preserve">                  object 600 - other objects (Fund 10).  Short-term capital lease payment of $16,143 is also included in account 10-1100-600.</t>
  </si>
  <si>
    <t>Monroe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</si>
</sst>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55" fillId="0" borderId="0" xfId="3" applyFont="1" applyAlignment="1" applyProtection="1">
      <alignment horizontal="center" vertical="center"/>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2060</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2060</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48072070002</v>
      </c>
      <c r="B13" s="2103"/>
      <c r="C13" s="2103"/>
      <c r="D13" s="2103"/>
      <c r="E13" s="2103"/>
      <c r="F13" s="2103"/>
      <c r="G13" s="2103"/>
      <c r="H13" s="2104"/>
      <c r="I13" s="31"/>
      <c r="J13" s="30"/>
      <c r="K13" s="28"/>
      <c r="L13" s="30"/>
      <c r="M13" s="30"/>
      <c r="N13" s="30"/>
      <c r="O13" s="30"/>
      <c r="P13" s="30"/>
      <c r="Q13" s="30"/>
      <c r="R13" s="30"/>
      <c r="S13" s="30"/>
      <c r="T13" s="2108" t="s">
        <v>2051</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2054</v>
      </c>
      <c r="B15" s="2106"/>
      <c r="C15" s="2106"/>
      <c r="D15" s="2106"/>
      <c r="E15" s="2106"/>
      <c r="F15" s="2106"/>
      <c r="G15" s="2106"/>
      <c r="H15" s="2107"/>
      <c r="T15" s="2112" t="s">
        <v>2052</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2103</v>
      </c>
      <c r="B17" s="2076"/>
      <c r="C17" s="2076"/>
      <c r="D17" s="2076"/>
      <c r="E17" s="2076"/>
      <c r="F17" s="2076"/>
      <c r="G17" s="2076"/>
      <c r="H17" s="2101"/>
      <c r="T17" s="2119" t="s">
        <v>2053</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2061</v>
      </c>
      <c r="B19" s="2061"/>
      <c r="C19" s="2061"/>
      <c r="D19" s="2061"/>
      <c r="E19" s="2061"/>
      <c r="F19" s="2061"/>
      <c r="G19" s="2061"/>
      <c r="H19" s="2041"/>
      <c r="I19" s="30"/>
      <c r="J19" s="96"/>
      <c r="K19" s="40"/>
      <c r="L19" s="38"/>
      <c r="M19" s="109" t="s">
        <v>312</v>
      </c>
      <c r="P19" s="27"/>
      <c r="Q19" s="27"/>
      <c r="R19" s="27"/>
      <c r="S19" s="31"/>
      <c r="T19" s="2105" t="s">
        <v>2054</v>
      </c>
      <c r="U19" s="2040"/>
      <c r="V19" s="2040"/>
      <c r="W19" s="2041"/>
      <c r="X19" s="2117" t="s">
        <v>2055</v>
      </c>
      <c r="Y19" s="2118"/>
      <c r="Z19" s="2115">
        <v>61615</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2062</v>
      </c>
      <c r="B21" s="2040"/>
      <c r="C21" s="2040"/>
      <c r="D21" s="2040"/>
      <c r="E21" s="2040"/>
      <c r="F21" s="2040"/>
      <c r="G21" s="2040"/>
      <c r="H21" s="2041"/>
      <c r="I21" s="2095" t="s">
        <v>673</v>
      </c>
      <c r="J21" s="2090"/>
      <c r="K21" s="2090"/>
      <c r="L21" s="2090"/>
      <c r="M21" s="2090"/>
      <c r="N21" s="2090"/>
      <c r="O21" s="2090"/>
      <c r="P21" s="2090"/>
      <c r="Q21" s="2090"/>
      <c r="R21" s="2090"/>
      <c r="S21" s="2096"/>
      <c r="T21" s="2130" t="s">
        <v>2056</v>
      </c>
      <c r="U21" s="2131"/>
      <c r="V21" s="2131"/>
      <c r="W21" s="2131"/>
      <c r="X21" s="2136" t="s">
        <v>2057</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t="s">
        <v>2063</v>
      </c>
      <c r="B23" s="2093"/>
      <c r="C23" s="2093"/>
      <c r="D23" s="2093"/>
      <c r="E23" s="2093"/>
      <c r="F23" s="2093"/>
      <c r="G23" s="2093"/>
      <c r="H23" s="2094"/>
      <c r="T23" s="2075" t="s">
        <v>2058</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61607</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2060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2064</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2063</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927191</v>
      </c>
      <c r="C4" s="1722">
        <v>423180</v>
      </c>
      <c r="D4" s="1723">
        <f>B4-C4</f>
        <v>504011</v>
      </c>
      <c r="E4" s="1722">
        <v>970000</v>
      </c>
      <c r="F4" s="1723">
        <f>E4-C4</f>
        <v>546820</v>
      </c>
    </row>
    <row r="5" spans="1:8" ht="13.7" customHeight="1" x14ac:dyDescent="0.2">
      <c r="A5" s="579" t="s">
        <v>865</v>
      </c>
      <c r="B5" s="1724">
        <f>'Revenues 9-14'!D5</f>
        <v>119485</v>
      </c>
      <c r="C5" s="1664">
        <v>54535</v>
      </c>
      <c r="D5" s="1725">
        <f t="shared" ref="D5:D18" si="0">B5-C5</f>
        <v>64950</v>
      </c>
      <c r="E5" s="1664">
        <v>125004</v>
      </c>
      <c r="F5" s="1725">
        <f>E5-C5</f>
        <v>70469</v>
      </c>
    </row>
    <row r="6" spans="1:8" ht="13.7" customHeight="1" x14ac:dyDescent="0.2">
      <c r="A6" s="579" t="s">
        <v>408</v>
      </c>
      <c r="B6" s="1724">
        <f>'Revenues 9-14'!E5</f>
        <v>7767</v>
      </c>
      <c r="C6" s="1664">
        <v>0</v>
      </c>
      <c r="D6" s="1725">
        <f t="shared" si="0"/>
        <v>7767</v>
      </c>
      <c r="E6" s="1664">
        <v>0</v>
      </c>
      <c r="F6" s="1725">
        <f t="shared" ref="F6:F18" si="1">E6-C6</f>
        <v>0</v>
      </c>
    </row>
    <row r="7" spans="1:8" ht="13.7" customHeight="1" x14ac:dyDescent="0.2">
      <c r="A7" s="579" t="s">
        <v>154</v>
      </c>
      <c r="B7" s="1724">
        <f>'Revenues 9-14'!F5</f>
        <v>85197</v>
      </c>
      <c r="C7" s="1664">
        <v>43627</v>
      </c>
      <c r="D7" s="1725">
        <f t="shared" si="0"/>
        <v>41570</v>
      </c>
      <c r="E7" s="1664">
        <v>100000</v>
      </c>
      <c r="F7" s="1725">
        <f t="shared" si="1"/>
        <v>56373</v>
      </c>
    </row>
    <row r="8" spans="1:8" ht="13.7" customHeight="1" x14ac:dyDescent="0.2">
      <c r="A8" s="579" t="s">
        <v>1169</v>
      </c>
      <c r="B8" s="1724">
        <f>'Revenues 9-14'!G5</f>
        <v>33231</v>
      </c>
      <c r="C8" s="1664">
        <v>16143</v>
      </c>
      <c r="D8" s="1725">
        <f t="shared" si="0"/>
        <v>17088</v>
      </c>
      <c r="E8" s="1664">
        <v>37004</v>
      </c>
      <c r="F8" s="1725">
        <f t="shared" si="1"/>
        <v>20861</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23899</v>
      </c>
      <c r="C10" s="1664">
        <v>10908</v>
      </c>
      <c r="D10" s="1725">
        <f t="shared" si="0"/>
        <v>12991</v>
      </c>
      <c r="E10" s="1664">
        <v>25004</v>
      </c>
      <c r="F10" s="1725">
        <f t="shared" si="1"/>
        <v>14096</v>
      </c>
    </row>
    <row r="11" spans="1:8" x14ac:dyDescent="0.2">
      <c r="A11" s="579" t="s">
        <v>406</v>
      </c>
      <c r="B11" s="1724">
        <f>'Revenues 9-14'!J5</f>
        <v>259776</v>
      </c>
      <c r="C11" s="1664">
        <v>119974</v>
      </c>
      <c r="D11" s="1725">
        <f t="shared" si="0"/>
        <v>139802</v>
      </c>
      <c r="E11" s="1664">
        <v>275002</v>
      </c>
      <c r="F11" s="1725">
        <f t="shared" si="1"/>
        <v>155028</v>
      </c>
    </row>
    <row r="12" spans="1:8" ht="13.7" customHeight="1" x14ac:dyDescent="0.2">
      <c r="A12" s="579" t="s">
        <v>156</v>
      </c>
      <c r="B12" s="1724">
        <f>'Revenues 9-14'!K5</f>
        <v>23899</v>
      </c>
      <c r="C12" s="1664">
        <v>10908</v>
      </c>
      <c r="D12" s="1725">
        <f t="shared" si="0"/>
        <v>12991</v>
      </c>
      <c r="E12" s="1664">
        <v>25004</v>
      </c>
      <c r="F12" s="1725">
        <f t="shared" si="1"/>
        <v>14096</v>
      </c>
    </row>
    <row r="13" spans="1:8" ht="13.7" customHeight="1" x14ac:dyDescent="0.2">
      <c r="A13" s="579" t="s">
        <v>930</v>
      </c>
      <c r="B13" s="1724">
        <f>SUM('Revenues 9-14'!C6:D6)</f>
        <v>23899</v>
      </c>
      <c r="C13" s="1664">
        <v>10908</v>
      </c>
      <c r="D13" s="1725">
        <f t="shared" si="0"/>
        <v>12991</v>
      </c>
      <c r="E13" s="1664">
        <v>25004</v>
      </c>
      <c r="F13" s="1725">
        <f t="shared" si="1"/>
        <v>14096</v>
      </c>
    </row>
    <row r="14" spans="1:8" ht="13.7" customHeight="1" x14ac:dyDescent="0.2">
      <c r="A14" s="579" t="s">
        <v>407</v>
      </c>
      <c r="B14" s="1724">
        <f>SUM('Revenues 9-14'!C7:D7,'Revenues 9-14'!F7:H7)</f>
        <v>9562</v>
      </c>
      <c r="C14" s="1664">
        <v>4364</v>
      </c>
      <c r="D14" s="1725">
        <f t="shared" si="0"/>
        <v>5198</v>
      </c>
      <c r="E14" s="1664">
        <v>10003</v>
      </c>
      <c r="F14" s="1725">
        <f t="shared" si="1"/>
        <v>5639</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33231</v>
      </c>
      <c r="C16" s="1664">
        <v>16143</v>
      </c>
      <c r="D16" s="1725">
        <f t="shared" si="0"/>
        <v>17088</v>
      </c>
      <c r="E16" s="1664">
        <v>37004</v>
      </c>
      <c r="F16" s="1725">
        <f t="shared" si="1"/>
        <v>20861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1547137</v>
      </c>
      <c r="C19" s="1726">
        <f>SUM(C4:C18)</f>
        <v>710690</v>
      </c>
      <c r="D19" s="1726">
        <f>SUM(D4:D18)</f>
        <v>836447</v>
      </c>
      <c r="E19" s="1726">
        <f>SUM(E4:E18)</f>
        <v>1629029</v>
      </c>
      <c r="F19" s="1726">
        <f>SUM(F4:F18)</f>
        <v>918339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1" colorId="8" zoomScale="110" zoomScaleNormal="110" workbookViewId="0">
      <selection activeCell="E27" sqref="E2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v>6663</v>
      </c>
      <c r="D27" s="1664">
        <v>9480</v>
      </c>
      <c r="E27" s="1664">
        <v>16143</v>
      </c>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2067</v>
      </c>
      <c r="B32" s="595">
        <v>42395</v>
      </c>
      <c r="C32" s="1734">
        <v>200000</v>
      </c>
      <c r="D32" s="1735">
        <v>1</v>
      </c>
      <c r="E32" s="1734">
        <v>55000</v>
      </c>
      <c r="F32" s="1734"/>
      <c r="G32" s="1734"/>
      <c r="H32" s="1734">
        <v>55000</v>
      </c>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t="s">
        <v>2068</v>
      </c>
      <c r="B34" s="595">
        <v>43861</v>
      </c>
      <c r="C34" s="1734">
        <v>1250000</v>
      </c>
      <c r="D34" s="1735">
        <v>1</v>
      </c>
      <c r="E34" s="1734"/>
      <c r="F34" s="1734">
        <v>1250000</v>
      </c>
      <c r="G34" s="1734"/>
      <c r="H34" s="1734"/>
      <c r="I34" s="1736">
        <f t="shared" si="1"/>
        <v>1250000</v>
      </c>
      <c r="J34" s="1734">
        <v>1063813</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t="s">
        <v>2069</v>
      </c>
      <c r="B36" s="595">
        <v>43777</v>
      </c>
      <c r="C36" s="1734">
        <v>40481</v>
      </c>
      <c r="D36" s="1735">
        <v>7</v>
      </c>
      <c r="E36" s="1734">
        <v>7983</v>
      </c>
      <c r="F36" s="1734">
        <v>25000</v>
      </c>
      <c r="G36" s="1734"/>
      <c r="H36" s="1734">
        <v>20453</v>
      </c>
      <c r="I36" s="1736">
        <f t="shared" si="1"/>
        <v>12530</v>
      </c>
      <c r="J36" s="1734">
        <v>12530</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1490481</v>
      </c>
      <c r="D49" s="1742"/>
      <c r="E49" s="1736">
        <f t="shared" ref="E49:J49" si="2">SUM(E31:E48)</f>
        <v>62983</v>
      </c>
      <c r="F49" s="1736">
        <f t="shared" si="2"/>
        <v>1275000</v>
      </c>
      <c r="G49" s="1736">
        <f t="shared" si="2"/>
        <v>0</v>
      </c>
      <c r="H49" s="1736">
        <f t="shared" si="2"/>
        <v>75453</v>
      </c>
      <c r="I49" s="1736">
        <f t="shared" si="2"/>
        <v>1262530</v>
      </c>
      <c r="J49" s="1736">
        <f t="shared" si="2"/>
        <v>1076343</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2069</v>
      </c>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v>0</v>
      </c>
      <c r="I3" s="1744"/>
      <c r="J3" s="1745">
        <v>33381</v>
      </c>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v>9562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97457</v>
      </c>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9562</v>
      </c>
      <c r="I12" s="1755">
        <f>SUM(I5:I11)</f>
        <v>0</v>
      </c>
      <c r="J12" s="1755">
        <f>SUM(J5:J11)</f>
        <v>97457</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v>9562</v>
      </c>
      <c r="I14" s="1749"/>
      <c r="J14" s="1751"/>
      <c r="K14" s="1745"/>
    </row>
    <row r="15" spans="1:11" x14ac:dyDescent="0.2">
      <c r="A15" s="2325" t="s">
        <v>4</v>
      </c>
      <c r="B15" s="2325"/>
      <c r="C15" s="2325"/>
      <c r="D15" s="2325"/>
      <c r="E15" s="2326"/>
      <c r="F15" s="635" t="s">
        <v>850</v>
      </c>
      <c r="G15" s="1749"/>
      <c r="H15" s="1744"/>
      <c r="I15" s="1744"/>
      <c r="J15" s="1745">
        <v>56889</v>
      </c>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v>21380</v>
      </c>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21380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9562</v>
      </c>
      <c r="I23" s="1755">
        <f>SUM(I14:I16,I21,I22)</f>
        <v>0</v>
      </c>
      <c r="J23" s="1755">
        <f>SUM(J14:J16,J21,J22)</f>
        <v>78269</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52569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52569</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16025</v>
      </c>
      <c r="D5" s="1770"/>
      <c r="E5" s="1770"/>
      <c r="F5" s="1765">
        <f>(C5+D5)-E5</f>
        <v>16025</v>
      </c>
      <c r="G5" s="676"/>
      <c r="H5" s="680"/>
      <c r="I5" s="680"/>
      <c r="J5" s="680"/>
      <c r="K5" s="637"/>
      <c r="L5" s="1442">
        <f>F5-K5</f>
        <v>16025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1920880</v>
      </c>
      <c r="D8" s="1771"/>
      <c r="E8" s="1771"/>
      <c r="F8" s="1765">
        <f>(C8+D8)-E8</f>
        <v>1920880</v>
      </c>
      <c r="G8" s="681">
        <v>50</v>
      </c>
      <c r="H8" s="619">
        <v>1228603</v>
      </c>
      <c r="I8" s="619">
        <v>25238</v>
      </c>
      <c r="J8" s="619"/>
      <c r="K8" s="1442">
        <f>(H8+I8)-J8</f>
        <v>1253841</v>
      </c>
      <c r="L8" s="1442">
        <f>F8-K8</f>
        <v>667039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612120</v>
      </c>
      <c r="D10" s="1772">
        <v>54852</v>
      </c>
      <c r="E10" s="1772">
        <v>11270</v>
      </c>
      <c r="F10" s="1773">
        <f>(C10+D10)-E10</f>
        <v>655702</v>
      </c>
      <c r="G10" s="681">
        <v>20</v>
      </c>
      <c r="H10" s="683">
        <v>160156</v>
      </c>
      <c r="I10" s="683">
        <v>32787</v>
      </c>
      <c r="J10" s="683">
        <v>11270</v>
      </c>
      <c r="K10" s="1442">
        <f>(H10+I10)-J10</f>
        <v>181673</v>
      </c>
      <c r="L10" s="1442">
        <f>F10-K10</f>
        <v>474029</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179746</v>
      </c>
      <c r="D12" s="1771">
        <v>14904</v>
      </c>
      <c r="E12" s="1771">
        <v>12689</v>
      </c>
      <c r="F12" s="1765">
        <f>(C12+D12)-E12</f>
        <v>181961</v>
      </c>
      <c r="G12" s="681">
        <v>10</v>
      </c>
      <c r="H12" s="619">
        <v>85011</v>
      </c>
      <c r="I12" s="619">
        <v>18195</v>
      </c>
      <c r="J12" s="619">
        <v>12689</v>
      </c>
      <c r="K12" s="1442">
        <f>(H12+I12)-J12</f>
        <v>90517</v>
      </c>
      <c r="L12" s="1442">
        <f>F12-K12</f>
        <v>91444</v>
      </c>
    </row>
    <row r="13" spans="1:14" ht="14.25" thickTop="1" thickBot="1" x14ac:dyDescent="0.25">
      <c r="A13" s="684" t="s">
        <v>1112</v>
      </c>
      <c r="B13" s="679">
        <v>252</v>
      </c>
      <c r="C13" s="1771">
        <v>125347</v>
      </c>
      <c r="D13" s="1771">
        <v>57074</v>
      </c>
      <c r="E13" s="1771">
        <v>17688</v>
      </c>
      <c r="F13" s="1765">
        <f>(C13+D13)-E13</f>
        <v>164733</v>
      </c>
      <c r="G13" s="681">
        <v>5</v>
      </c>
      <c r="H13" s="619">
        <v>73085</v>
      </c>
      <c r="I13" s="619">
        <v>32945</v>
      </c>
      <c r="J13" s="619">
        <v>17688</v>
      </c>
      <c r="K13" s="1442">
        <f>(H13+I13)-J13</f>
        <v>88342</v>
      </c>
      <c r="L13" s="1442">
        <f>F13-K13</f>
        <v>76391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122323</v>
      </c>
      <c r="E15" s="1771"/>
      <c r="F15" s="1765">
        <f>(C15+D15)-E15</f>
        <v>122323</v>
      </c>
      <c r="G15" s="685" t="s">
        <v>857</v>
      </c>
      <c r="H15" s="632"/>
      <c r="I15" s="632"/>
      <c r="J15" s="632"/>
      <c r="K15" s="632"/>
      <c r="L15" s="1442">
        <f>F15-K15</f>
        <v>122323</v>
      </c>
    </row>
    <row r="16" spans="1:14" ht="15" customHeight="1" thickTop="1" thickBot="1" x14ac:dyDescent="0.25">
      <c r="A16" s="1438" t="s">
        <v>638</v>
      </c>
      <c r="B16" s="1439">
        <v>200</v>
      </c>
      <c r="C16" s="1765">
        <f>SUM(C3,C5:C6,C8:C10,C12:C15)</f>
        <v>2854118</v>
      </c>
      <c r="D16" s="1765">
        <f>SUM(D3,D5:D6,D8:D10,D12:D15)</f>
        <v>249153</v>
      </c>
      <c r="E16" s="1765">
        <f>SUM(E3,E5:E6,E8:E10,E12:E15)</f>
        <v>41647</v>
      </c>
      <c r="F16" s="1765">
        <f>SUM(F3,F5:F6,F8:F10,F12:F15)</f>
        <v>3061624</v>
      </c>
      <c r="G16" s="681"/>
      <c r="H16" s="1435">
        <f>SUM(H3,H6,H8:H10,H12:H14,)</f>
        <v>1546855</v>
      </c>
      <c r="I16" s="1435">
        <f>SUM(I3,I6,I8:I10,I12:I14,)</f>
        <v>109165</v>
      </c>
      <c r="J16" s="1435">
        <f>SUM(J3,J6,J8:J10,J12:J14,)</f>
        <v>41647</v>
      </c>
      <c r="K16" s="1435">
        <f>(H16+I16)-J16</f>
        <v>1614373</v>
      </c>
      <c r="L16" s="1435">
        <f>F16-K16</f>
        <v>1447251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109165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7"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2370912</v>
      </c>
      <c r="G8" s="701"/>
    </row>
    <row r="9" spans="1:9" x14ac:dyDescent="0.2">
      <c r="A9" s="705" t="s">
        <v>457</v>
      </c>
      <c r="B9" s="706" t="s">
        <v>1848</v>
      </c>
      <c r="C9" s="707"/>
      <c r="D9" s="705" t="s">
        <v>498</v>
      </c>
      <c r="E9" s="704"/>
      <c r="F9" s="1775">
        <f>'Expenditures 15-22'!K151</f>
        <v>194633</v>
      </c>
      <c r="G9" s="708"/>
    </row>
    <row r="10" spans="1:9" x14ac:dyDescent="0.2">
      <c r="A10" s="705" t="s">
        <v>496</v>
      </c>
      <c r="B10" s="706" t="s">
        <v>1849</v>
      </c>
      <c r="C10" s="707"/>
      <c r="D10" s="705" t="s">
        <v>498</v>
      </c>
      <c r="E10" s="704"/>
      <c r="F10" s="1775">
        <f>'Expenditures 15-22'!K174</f>
        <v>56738</v>
      </c>
      <c r="G10" s="708"/>
    </row>
    <row r="11" spans="1:9" x14ac:dyDescent="0.2">
      <c r="A11" s="705" t="s">
        <v>458</v>
      </c>
      <c r="B11" s="706" t="s">
        <v>1850</v>
      </c>
      <c r="C11" s="707"/>
      <c r="D11" s="705" t="s">
        <v>498</v>
      </c>
      <c r="E11" s="704"/>
      <c r="F11" s="1775">
        <f>'Expenditures 15-22'!K210</f>
        <v>123300</v>
      </c>
      <c r="G11" s="708"/>
    </row>
    <row r="12" spans="1:9" x14ac:dyDescent="0.2">
      <c r="A12" s="705" t="s">
        <v>459</v>
      </c>
      <c r="B12" s="706" t="s">
        <v>1851</v>
      </c>
      <c r="C12" s="707"/>
      <c r="D12" s="705" t="s">
        <v>498</v>
      </c>
      <c r="E12" s="704"/>
      <c r="F12" s="1775">
        <f>'Expenditures 15-22'!K295</f>
        <v>87136</v>
      </c>
      <c r="G12" s="708"/>
    </row>
    <row r="13" spans="1:9" x14ac:dyDescent="0.2">
      <c r="A13" s="705" t="s">
        <v>106</v>
      </c>
      <c r="B13" s="706" t="s">
        <v>1852</v>
      </c>
      <c r="C13" s="707"/>
      <c r="D13" s="705" t="s">
        <v>498</v>
      </c>
      <c r="E13" s="704"/>
      <c r="F13" s="1775">
        <f>'Expenditures 15-22'!K342</f>
        <v>223987</v>
      </c>
      <c r="G13" s="709"/>
    </row>
    <row r="14" spans="1:9" ht="12" customHeight="1" thickBot="1" x14ac:dyDescent="0.25">
      <c r="A14" s="1443"/>
      <c r="B14" s="1444"/>
      <c r="C14" s="1445"/>
      <c r="D14" s="1446" t="s">
        <v>498</v>
      </c>
      <c r="E14" s="1447" t="s">
        <v>952</v>
      </c>
      <c r="F14" s="1776">
        <f>SUM(F8:F13)</f>
        <v>3056706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56075</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319241</v>
      </c>
      <c r="G53" s="701"/>
    </row>
    <row r="54" spans="1:7" x14ac:dyDescent="0.2">
      <c r="A54" s="705" t="s">
        <v>456</v>
      </c>
      <c r="B54" s="705" t="s">
        <v>1459</v>
      </c>
      <c r="C54" s="724" t="s">
        <v>975</v>
      </c>
      <c r="D54" s="720" t="s">
        <v>1086</v>
      </c>
      <c r="E54" s="704"/>
      <c r="F54" s="1782">
        <f>'Expenditures 15-22'!G114</f>
        <v>141537</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45057</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8159</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6891</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5670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637630</v>
      </c>
      <c r="G77" s="701"/>
    </row>
    <row r="78" spans="1:9" s="728" customFormat="1" ht="12" customHeight="1" thickTop="1" thickBot="1" x14ac:dyDescent="0.25">
      <c r="A78" s="1450"/>
      <c r="B78" s="1448"/>
      <c r="C78" s="1445"/>
      <c r="D78" s="1449" t="s">
        <v>2012</v>
      </c>
      <c r="E78" s="1447"/>
      <c r="F78" s="1788">
        <f>(F14-F77)</f>
        <v>2419076</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304</v>
      </c>
      <c r="G79" s="733"/>
      <c r="H79" s="705"/>
      <c r="I79" s="705"/>
    </row>
    <row r="80" spans="1:9" s="728" customFormat="1" ht="12" customHeight="1" thickBot="1" x14ac:dyDescent="0.25">
      <c r="A80" s="1452"/>
      <c r="B80" s="1448"/>
      <c r="C80" s="1445"/>
      <c r="D80" s="1449" t="s">
        <v>2013</v>
      </c>
      <c r="E80" s="1447" t="s">
        <v>952</v>
      </c>
      <c r="F80" s="1790">
        <f>IF(F79&gt;0,F78/F79," Complete Line 79")</f>
        <v>7957.4868421052633</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41728</v>
      </c>
      <c r="G95" s="745"/>
    </row>
    <row r="96" spans="1:7" x14ac:dyDescent="0.2">
      <c r="A96" s="741" t="s">
        <v>139</v>
      </c>
      <c r="B96" s="741" t="s">
        <v>174</v>
      </c>
      <c r="C96" s="743">
        <v>1700</v>
      </c>
      <c r="D96" s="751" t="str">
        <f>'Revenues 9-14'!A82</f>
        <v>Total District/School Activity Income</v>
      </c>
      <c r="E96" s="739"/>
      <c r="F96" s="1793">
        <f>SUM('Revenues 9-14'!C82,'Revenues 9-14'!D82)</f>
        <v>73617</v>
      </c>
      <c r="G96" s="745"/>
    </row>
    <row r="97" spans="1:7" x14ac:dyDescent="0.2">
      <c r="A97" s="741" t="s">
        <v>456</v>
      </c>
      <c r="B97" s="741" t="s">
        <v>175</v>
      </c>
      <c r="C97" s="743">
        <f>'Revenues 9-14'!B84</f>
        <v>1811</v>
      </c>
      <c r="D97" s="744" t="str">
        <f>'Revenues 9-14'!A84</f>
        <v>Rentals - Regular Textbooks</v>
      </c>
      <c r="E97" s="739"/>
      <c r="F97" s="1793">
        <f>'Revenues 9-14'!C84</f>
        <v>15583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7000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-3975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267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46668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22226</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51382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54063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2425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5698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5503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59453</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431638</v>
      </c>
    </row>
    <row r="176" spans="1:7" ht="12" customHeight="1" x14ac:dyDescent="0.2">
      <c r="A176" s="1443"/>
      <c r="B176" s="1453"/>
      <c r="C176" s="1454"/>
      <c r="D176" s="1455" t="s">
        <v>2014</v>
      </c>
      <c r="E176" s="1456"/>
      <c r="F176" s="1793">
        <f>'PCTC-OEPP 27-28'!F78-F175</f>
        <v>1987438</v>
      </c>
    </row>
    <row r="177" spans="1:9" ht="12" customHeight="1" x14ac:dyDescent="0.2">
      <c r="A177" s="1443"/>
      <c r="B177" s="1453"/>
      <c r="C177" s="1454"/>
      <c r="D177" s="1455" t="s">
        <v>1794</v>
      </c>
      <c r="E177" s="1456"/>
      <c r="F177" s="1793">
        <f>'Cap Outlay Deprec 26'!I18</f>
        <v>109165</v>
      </c>
    </row>
    <row r="178" spans="1:9" ht="12" customHeight="1" x14ac:dyDescent="0.2">
      <c r="A178" s="1443"/>
      <c r="B178" s="1453"/>
      <c r="C178" s="1454"/>
      <c r="D178" s="1455" t="s">
        <v>2015</v>
      </c>
      <c r="E178" s="1456"/>
      <c r="F178" s="1793">
        <f>F176+F177</f>
        <v>2096603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304</v>
      </c>
      <c r="G179" s="763"/>
      <c r="I179" s="701"/>
    </row>
    <row r="180" spans="1:9" ht="12" customHeight="1" thickBot="1" x14ac:dyDescent="0.25">
      <c r="A180" s="1443"/>
      <c r="B180" s="1457"/>
      <c r="C180" s="1454"/>
      <c r="D180" s="1455" t="s">
        <v>2017</v>
      </c>
      <c r="E180" s="1456" t="s">
        <v>1528</v>
      </c>
      <c r="F180" s="1798">
        <f>F178/F179</f>
        <v>6896.7203947368425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B19" sqref="B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1914"/>
      <c r="B18" s="1908"/>
      <c r="C18" s="1915"/>
      <c r="D18" s="1886"/>
      <c r="E18" s="1906">
        <f t="shared" ref="E18:E81" si="0">IF(D18&lt;25000,D18,"25,000")</f>
        <v>0</v>
      </c>
      <c r="F18" s="1906" t="str">
        <f t="shared" ref="F18:F81" si="1">IF(D18&gt;=25000,(D18-E18),"0")</f>
        <v>0</v>
      </c>
      <c r="G18" s="1887"/>
    </row>
    <row r="19" spans="1:7" x14ac:dyDescent="0.25">
      <c r="A19" s="1888" t="s">
        <v>2095</v>
      </c>
      <c r="B19" s="1908">
        <v>402550300</v>
      </c>
      <c r="C19" s="2038" t="s">
        <v>2096</v>
      </c>
      <c r="D19" s="1886">
        <v>177766</v>
      </c>
      <c r="E19" s="1906" t="str">
        <f t="shared" si="0"/>
        <v>25,000</v>
      </c>
      <c r="F19" s="1906">
        <f t="shared" si="1"/>
        <v>152766</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177766</v>
      </c>
      <c r="E142" s="1893">
        <f>SUM(E18:E141)</f>
        <v>0</v>
      </c>
      <c r="F142" s="1894">
        <f>SUM(F18:F141)</f>
        <v>152766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&amp;LPage 29&amp;RPage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0</v>
      </c>
      <c r="F9" s="805"/>
      <c r="G9" s="806"/>
      <c r="H9" s="157"/>
      <c r="I9" s="157"/>
    </row>
    <row r="10" spans="1:13" s="542" customFormat="1" ht="12" customHeight="1" x14ac:dyDescent="0.2">
      <c r="A10" s="802" t="s">
        <v>1894</v>
      </c>
      <c r="B10" s="803"/>
      <c r="C10" s="807"/>
      <c r="D10" s="804"/>
      <c r="E10" s="1800">
        <v>0</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13116</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0</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1494955</v>
      </c>
      <c r="F19" s="1802"/>
      <c r="G19" s="1804">
        <f>'Expenditures 15-22'!K33-SUM('Expenditures 15-22'!G33,'Expenditures 15-22'!I33)+'Expenditures 15-22'!D229</f>
        <v>1494955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55935</v>
      </c>
      <c r="F22" s="1805"/>
      <c r="G22" s="1808">
        <f>'Expenditures 15-22'!K47-SUM('Expenditures 15-22'!G47,'Expenditures 15-22'!I47)+'Expenditures 15-22'!D243</f>
        <v>55935</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402410</v>
      </c>
      <c r="F23" s="1805"/>
      <c r="G23" s="1807">
        <f>'Expenditures 15-22'!K53-SUM('Expenditures 15-22'!G53,'Expenditures 15-22'!I53)+'Expenditures 15-22'!D257+'Expenditures 15-22'!K330-SUM('Expenditures 15-22'!G330,'Expenditures 15-22'!I330)</f>
        <v>402410</v>
      </c>
      <c r="H23" s="817"/>
      <c r="I23" s="157"/>
    </row>
    <row r="24" spans="1:9" s="542" customFormat="1" ht="12" customHeight="1" x14ac:dyDescent="0.2">
      <c r="A24" s="824" t="s">
        <v>562</v>
      </c>
      <c r="B24" s="825"/>
      <c r="C24" s="823">
        <v>2400</v>
      </c>
      <c r="D24" s="1805"/>
      <c r="E24" s="1807">
        <f>'Expenditures 15-22'!K57-SUM('Expenditures 15-22'!G57,'Expenditures 15-22'!I57)+'Expenditures 15-22'!D261</f>
        <v>67498</v>
      </c>
      <c r="F24" s="1805"/>
      <c r="G24" s="1808">
        <f>'Expenditures 15-22'!K57-SUM('Expenditures 15-22'!G57,'Expenditures 15-22'!I57)+'Expenditures 15-22'!D261</f>
        <v>67498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65399</v>
      </c>
      <c r="E27" s="1807">
        <f>E8</f>
        <v>0</v>
      </c>
      <c r="F27" s="1807">
        <f>'Expenditures 15-22'!K60-SUM('Expenditures 15-22'!G60,'Expenditures 15-22'!I60)+'Expenditures 15-22'!D264-E8</f>
        <v>65399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163689</v>
      </c>
      <c r="F28" s="1809">
        <f>'Expenditures 15-22'!K61-SUM('Expenditures 15-22'!G61,'Expenditures 15-22'!I61)+'Expenditures 15-22'!K124-SUM('Expenditures 15-22'!G124,'Expenditures 15-22'!I124)+'Expenditures 15-22'!D266-E9</f>
        <v>163689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123300</v>
      </c>
      <c r="F29" s="1805"/>
      <c r="G29" s="1808">
        <f>'Expenditures 15-22'!K62-SUM('Expenditures 15-22'!G62,'Expenditures 15-22'!I62)+'Expenditures 15-22'!K125-SUM('Expenditures 15-22'!G125,'Expenditures 15-22'!I125)+'Expenditures 15-22'!K182-SUM('Expenditures 15-22'!G182,'Expenditures 15-22'!I182)+'Expenditures 15-22'!D267</f>
        <v>123300</v>
      </c>
      <c r="H29" s="815"/>
    </row>
    <row r="30" spans="1:9" ht="12" customHeight="1" x14ac:dyDescent="0.2">
      <c r="A30" s="824" t="s">
        <v>100</v>
      </c>
      <c r="B30" s="827"/>
      <c r="C30" s="823">
        <v>2560</v>
      </c>
      <c r="D30" s="1805"/>
      <c r="E30" s="1807">
        <f>'Expenditures 15-22'!K63-SUM('Expenditures 15-22'!G63,'Expenditures 15-22'!I63)+'Expenditures 15-22'!D268-E10</f>
        <v>96487</v>
      </c>
      <c r="F30" s="1805"/>
      <c r="G30" s="1807">
        <f>'Expenditures 15-22'!K63-SUM('Expenditures 15-22'!G63,'Expenditures 15-22'!I63)+'Expenditures 15-22'!D268-E10</f>
        <v>96487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9250</v>
      </c>
      <c r="F38" s="1805"/>
      <c r="G38" s="1807">
        <f>'Expenditures 15-22'!K73-SUM('Expenditures 15-22'!G73,'Expenditures 15-22'!I73)+'Expenditures 15-22'!K128-SUM('Expenditures 15-22'!G128,'Expenditures 15-22'!I128)+'Expenditures 15-22'!K183-SUM('Expenditures 15-22'!G183,'Expenditures 15-22'!I183)+'Expenditures 15-22'!D278</f>
        <v>9250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-152766</v>
      </c>
      <c r="F40" s="1805"/>
      <c r="G40" s="1809">
        <f>-'Contracts Paid in CY 29'!F142</f>
        <v>-152766</v>
      </c>
    </row>
    <row r="41" spans="1:7" ht="12" customHeight="1" x14ac:dyDescent="0.2">
      <c r="A41" s="828" t="s">
        <v>155</v>
      </c>
      <c r="B41" s="829"/>
      <c r="C41" s="830"/>
      <c r="D41" s="1809">
        <f>SUM(D19:D39)</f>
        <v>65399</v>
      </c>
      <c r="E41" s="1809">
        <f>SUM(E19:E40)</f>
        <v>2260758</v>
      </c>
      <c r="F41" s="1809">
        <f>SUM(F19:F39)</f>
        <v>229088</v>
      </c>
      <c r="G41" s="1809">
        <f>SUM(G19:G40)</f>
        <v>2097069</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65399</v>
      </c>
      <c r="F43" s="1458" t="s">
        <v>470</v>
      </c>
      <c r="G43" s="1810">
        <f>F41</f>
        <v>229088</v>
      </c>
    </row>
    <row r="44" spans="1:7" ht="12" customHeight="1" x14ac:dyDescent="0.2">
      <c r="A44" s="817"/>
      <c r="B44" s="157"/>
      <c r="C44" s="831"/>
      <c r="D44" s="1458" t="s">
        <v>471</v>
      </c>
      <c r="E44" s="1810">
        <f>E41</f>
        <v>2260758</v>
      </c>
      <c r="F44" s="1458" t="s">
        <v>471</v>
      </c>
      <c r="G44" s="1810">
        <f>G41</f>
        <v>2097069</v>
      </c>
    </row>
    <row r="45" spans="1:7" ht="12" customHeight="1" x14ac:dyDescent="0.2">
      <c r="A45" s="817"/>
      <c r="B45" s="157"/>
      <c r="C45" s="157"/>
      <c r="D45" s="1459" t="s">
        <v>999</v>
      </c>
      <c r="E45" s="1811">
        <f>(E43/E44)</f>
        <v>2.8927908250241732E-2</v>
      </c>
      <c r="F45" s="1459" t="s">
        <v>999</v>
      </c>
      <c r="G45" s="1811">
        <f>(G43/G44)</f>
        <v>0.10924199442173815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38" zoomScale="110" zoomScaleNormal="110" workbookViewId="0">
      <selection activeCell="F55" sqref="A1:F5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Monroe SD 70</v>
      </c>
      <c r="D6" s="2417"/>
      <c r="E6" s="2417"/>
      <c r="F6" s="1482"/>
      <c r="G6" s="1507"/>
      <c r="L6" s="1507"/>
      <c r="M6" s="1855"/>
      <c r="N6" s="1855"/>
      <c r="O6" s="1855"/>
    </row>
    <row r="7" spans="1:15" ht="11.25" customHeight="1" thickBot="1" x14ac:dyDescent="0.3">
      <c r="A7" s="1480"/>
      <c r="B7" s="1481"/>
      <c r="C7" s="2418">
        <f>COVER!A13</f>
        <v>48072070002</v>
      </c>
      <c r="D7" s="2418"/>
      <c r="E7" s="2418"/>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2060</v>
      </c>
      <c r="D16" s="1495" t="s">
        <v>2060</v>
      </c>
      <c r="E16" s="1498"/>
      <c r="F16" s="1497" t="s">
        <v>2071</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2060</v>
      </c>
      <c r="D19" s="1495" t="s">
        <v>2060</v>
      </c>
      <c r="E19" s="1498"/>
      <c r="F19" s="1497" t="s">
        <v>2072</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2060</v>
      </c>
      <c r="D21" s="1495" t="s">
        <v>2060</v>
      </c>
      <c r="E21" s="1498"/>
      <c r="F21" s="1497" t="s">
        <v>2071</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2060</v>
      </c>
      <c r="D26" s="1495" t="s">
        <v>2060</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t="s">
        <v>2060</v>
      </c>
      <c r="D27" s="1495" t="s">
        <v>2060</v>
      </c>
      <c r="E27" s="1498"/>
      <c r="F27" s="1497" t="s">
        <v>2071</v>
      </c>
      <c r="G27" s="1507"/>
      <c r="H27" s="1507">
        <f t="shared" si="0"/>
        <v>5</v>
      </c>
      <c r="I27" s="1507">
        <f t="shared" si="1"/>
        <v>5</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2060</v>
      </c>
      <c r="D30" s="1495" t="s">
        <v>2060</v>
      </c>
      <c r="E30" s="1498"/>
      <c r="F30" s="1497" t="s">
        <v>2071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2060</v>
      </c>
      <c r="D32" s="1495" t="s">
        <v>2060</v>
      </c>
      <c r="E32" s="1498"/>
      <c r="F32" s="1497" t="s">
        <v>2071</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t="s">
        <v>2074</v>
      </c>
      <c r="B41" s="2411"/>
      <c r="C41" s="2411"/>
      <c r="D41" s="2411"/>
      <c r="E41" s="2411"/>
      <c r="F41" s="2412"/>
      <c r="H41" s="1508"/>
      <c r="I41" s="1508"/>
      <c r="J41" s="1508"/>
      <c r="K41" s="1508"/>
    </row>
    <row r="42" spans="1:15" s="1499" customFormat="1" ht="12" customHeight="1" x14ac:dyDescent="0.25">
      <c r="A42" s="2410" t="s">
        <v>2075</v>
      </c>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G12" sqref="G12"/>
    </sheetView>
  </sheetViews>
  <sheetFormatPr defaultColWidth="9.140625" defaultRowHeight="12.75" x14ac:dyDescent="0.2"/>
  <cols>
    <col min="1" max="1" width="2.85546875" style="1923" customWidth="1"/>
    <col min="2" max="2" width="3" style="1923" customWidth="1"/>
    <col min="3" max="3" width="48.5703125" style="1923" customWidth="1"/>
    <col min="4" max="4" width="7.42578125" style="1923" customWidth="1"/>
    <col min="5" max="5" width="11.28515625" style="1923" customWidth="1"/>
    <col min="6" max="6" width="10.85546875" style="1923" customWidth="1"/>
    <col min="7" max="8" width="9.140625" style="1923"/>
    <col min="9" max="9" width="11.140625" style="1923" customWidth="1"/>
    <col min="10" max="10" width="10.85546875" style="1923" customWidth="1"/>
    <col min="11" max="11" width="9.140625" style="1923"/>
    <col min="12" max="12" width="14.140625" style="1923" customWidth="1"/>
    <col min="13" max="13" width="9.140625" style="1923"/>
    <col min="14" max="14" width="18.7109375" style="1923" customWidth="1"/>
    <col min="15" max="16384" width="9.140625" style="1923"/>
  </cols>
  <sheetData>
    <row r="1" spans="1:14" x14ac:dyDescent="0.2">
      <c r="A1" s="1981"/>
      <c r="B1" s="1982"/>
      <c r="C1" s="1982"/>
      <c r="D1" s="1982"/>
      <c r="E1" s="1982"/>
      <c r="F1" s="1982"/>
      <c r="G1" s="1997" t="s">
        <v>402</v>
      </c>
      <c r="H1" s="1998"/>
      <c r="I1" s="1982"/>
      <c r="J1" s="1982"/>
      <c r="K1" s="1982"/>
      <c r="L1" s="1982"/>
      <c r="M1" s="1982"/>
      <c r="N1" s="1983"/>
    </row>
    <row r="2" spans="1:14" x14ac:dyDescent="0.2">
      <c r="A2" s="1999"/>
      <c r="B2" s="838"/>
      <c r="C2" s="838"/>
      <c r="D2" s="838"/>
      <c r="E2" s="838"/>
      <c r="F2" s="838"/>
      <c r="G2" s="1925" t="s">
        <v>2002</v>
      </c>
      <c r="H2" s="1922"/>
      <c r="I2" s="838"/>
      <c r="J2" s="838"/>
      <c r="K2" s="838"/>
      <c r="L2" s="838"/>
      <c r="M2" s="838"/>
      <c r="N2" s="2000"/>
    </row>
    <row r="3" spans="1:14" x14ac:dyDescent="0.2">
      <c r="A3" s="1999"/>
      <c r="B3" s="838"/>
      <c r="C3" s="838"/>
      <c r="D3" s="838"/>
      <c r="E3" s="838"/>
      <c r="F3" s="838"/>
      <c r="G3" s="1925" t="s">
        <v>403</v>
      </c>
      <c r="H3" s="838"/>
      <c r="I3" s="838"/>
      <c r="J3" s="838"/>
      <c r="K3" s="838"/>
      <c r="L3" s="838"/>
      <c r="M3" s="838"/>
      <c r="N3" s="2000"/>
    </row>
    <row r="4" spans="1:14" x14ac:dyDescent="0.2">
      <c r="A4" s="1999"/>
      <c r="B4" s="838"/>
      <c r="C4" s="838"/>
      <c r="D4" s="838"/>
      <c r="E4" s="838"/>
      <c r="F4" s="838"/>
      <c r="G4" s="1925" t="s">
        <v>863</v>
      </c>
      <c r="H4" s="838"/>
      <c r="I4" s="838"/>
      <c r="J4" s="838"/>
      <c r="K4" s="838"/>
      <c r="L4" s="838"/>
      <c r="M4" s="838"/>
      <c r="N4" s="2000"/>
    </row>
    <row r="5" spans="1:14" x14ac:dyDescent="0.2">
      <c r="A5" s="1999"/>
      <c r="B5" s="838"/>
      <c r="C5" s="838"/>
      <c r="D5" s="838"/>
      <c r="E5" s="838"/>
      <c r="F5" s="1925"/>
      <c r="G5" s="1925"/>
      <c r="H5" s="838"/>
      <c r="I5" s="838"/>
      <c r="J5" s="838"/>
      <c r="K5" s="838"/>
      <c r="L5" s="838"/>
      <c r="M5" s="838"/>
      <c r="N5" s="2000"/>
    </row>
    <row r="6" spans="1:14" x14ac:dyDescent="0.2">
      <c r="A6" s="2001" t="s">
        <v>667</v>
      </c>
      <c r="B6" s="1377"/>
      <c r="C6" s="1377"/>
      <c r="D6" s="1377"/>
      <c r="E6" s="1378"/>
      <c r="F6" s="1924"/>
      <c r="G6" s="1925"/>
      <c r="H6" s="838"/>
      <c r="I6" s="1926" t="s">
        <v>1021</v>
      </c>
      <c r="J6" s="2439" t="str">
        <f>COVER!A17</f>
        <v>Monroe SD 70</v>
      </c>
      <c r="K6" s="2439"/>
      <c r="L6" s="2453"/>
      <c r="M6" s="838"/>
      <c r="N6" s="2000"/>
    </row>
    <row r="7" spans="1:14" x14ac:dyDescent="0.2">
      <c r="A7" s="2454" t="s">
        <v>864</v>
      </c>
      <c r="B7" s="2455"/>
      <c r="C7" s="2455"/>
      <c r="D7" s="2455"/>
      <c r="E7" s="2456"/>
      <c r="F7" s="839"/>
      <c r="G7" s="838"/>
      <c r="H7" s="838"/>
      <c r="I7" s="1926" t="s">
        <v>369</v>
      </c>
      <c r="J7" s="2441">
        <f>COVER!A13</f>
        <v>48072070002</v>
      </c>
      <c r="K7" s="2441"/>
      <c r="L7" s="2441"/>
      <c r="M7" s="838"/>
      <c r="N7" s="2000"/>
    </row>
    <row r="8" spans="1:14" x14ac:dyDescent="0.2">
      <c r="A8" s="2002"/>
      <c r="B8" s="1927"/>
      <c r="C8" s="1927"/>
      <c r="D8" s="1927"/>
      <c r="E8" s="1928"/>
      <c r="F8" s="1929"/>
      <c r="G8" s="1912"/>
      <c r="H8" s="1912"/>
      <c r="I8" s="1912"/>
      <c r="J8" s="1912"/>
      <c r="K8" s="1912"/>
      <c r="L8" s="1912"/>
      <c r="M8" s="838"/>
      <c r="N8" s="2000"/>
    </row>
    <row r="9" spans="1:14" x14ac:dyDescent="0.2">
      <c r="A9" s="2003"/>
      <c r="B9" s="840"/>
      <c r="C9" s="840"/>
      <c r="D9" s="841"/>
      <c r="E9" s="1930" t="s">
        <v>2018</v>
      </c>
      <c r="F9" s="1857"/>
      <c r="G9" s="1857"/>
      <c r="H9" s="1857"/>
      <c r="I9" s="1931" t="s">
        <v>2019</v>
      </c>
      <c r="J9" s="1857"/>
      <c r="K9" s="1857"/>
      <c r="L9" s="1858"/>
      <c r="M9" s="838"/>
      <c r="N9" s="2000"/>
    </row>
    <row r="10" spans="1:14" x14ac:dyDescent="0.2">
      <c r="A10" s="2004"/>
      <c r="B10" s="1932"/>
      <c r="C10" s="1933"/>
      <c r="D10" s="1934"/>
      <c r="E10" s="1935" t="s">
        <v>422</v>
      </c>
      <c r="F10" s="1936" t="s">
        <v>423</v>
      </c>
      <c r="G10" s="1937" t="s">
        <v>429</v>
      </c>
      <c r="H10" s="1938"/>
      <c r="I10" s="1936" t="s">
        <v>422</v>
      </c>
      <c r="J10" s="1936" t="s">
        <v>423</v>
      </c>
      <c r="K10" s="1937" t="s">
        <v>429</v>
      </c>
      <c r="L10" s="1936"/>
      <c r="M10" s="838"/>
      <c r="N10" s="2000"/>
    </row>
    <row r="11" spans="1:14" ht="51" x14ac:dyDescent="0.2">
      <c r="A11" s="2457" t="s">
        <v>478</v>
      </c>
      <c r="B11" s="2458"/>
      <c r="C11" s="2459"/>
      <c r="D11" s="1939" t="s">
        <v>866</v>
      </c>
      <c r="E11" s="1939" t="s">
        <v>64</v>
      </c>
      <c r="F11" s="1939" t="s">
        <v>6</v>
      </c>
      <c r="G11" s="1940" t="s">
        <v>2020</v>
      </c>
      <c r="H11" s="1941" t="s">
        <v>155</v>
      </c>
      <c r="I11" s="1939" t="s">
        <v>64</v>
      </c>
      <c r="J11" s="1939" t="s">
        <v>6</v>
      </c>
      <c r="K11" s="1940" t="s">
        <v>2001</v>
      </c>
      <c r="L11" s="1941" t="s">
        <v>155</v>
      </c>
      <c r="M11" s="838"/>
      <c r="N11" s="2000"/>
    </row>
    <row r="12" spans="1:14" x14ac:dyDescent="0.2">
      <c r="A12" s="2005">
        <v>1</v>
      </c>
      <c r="B12" s="1942" t="s">
        <v>813</v>
      </c>
      <c r="C12" s="842"/>
      <c r="D12" s="1943">
        <v>2320</v>
      </c>
      <c r="E12" s="1946">
        <f>'Expenditures 15-22'!K50</f>
        <v>160587</v>
      </c>
      <c r="F12" s="1944"/>
      <c r="G12" s="1970">
        <f>G68</f>
        <v>33000</v>
      </c>
      <c r="H12" s="1946">
        <f t="shared" ref="H12:H18" si="0">SUM(E12:G12)</f>
        <v>193587</v>
      </c>
      <c r="I12" s="1945">
        <v>147200</v>
      </c>
      <c r="J12" s="1944"/>
      <c r="K12" s="1945">
        <v>43201</v>
      </c>
      <c r="L12" s="1946">
        <f t="shared" ref="L12:L18" si="1">SUM(I12:K12)</f>
        <v>190401</v>
      </c>
      <c r="M12" s="838"/>
      <c r="N12" s="2000"/>
    </row>
    <row r="13" spans="1:14" x14ac:dyDescent="0.2">
      <c r="A13" s="2005">
        <v>2</v>
      </c>
      <c r="B13" s="1942" t="s">
        <v>42</v>
      </c>
      <c r="C13" s="842"/>
      <c r="D13" s="1943">
        <v>2330</v>
      </c>
      <c r="E13" s="1946">
        <f>'Expenditures 15-22'!K51</f>
        <v>0</v>
      </c>
      <c r="F13" s="1944"/>
      <c r="G13" s="1970">
        <f>H68</f>
        <v>0</v>
      </c>
      <c r="H13" s="1946">
        <f t="shared" si="0"/>
        <v>0</v>
      </c>
      <c r="I13" s="1945">
        <v>0</v>
      </c>
      <c r="J13" s="1944"/>
      <c r="K13" s="1945">
        <v>0</v>
      </c>
      <c r="L13" s="1946">
        <f t="shared" si="1"/>
        <v>0</v>
      </c>
      <c r="M13" s="838"/>
      <c r="N13" s="2000"/>
    </row>
    <row r="14" spans="1:14" x14ac:dyDescent="0.2">
      <c r="A14" s="2005">
        <v>3</v>
      </c>
      <c r="B14" s="1942" t="s">
        <v>43</v>
      </c>
      <c r="C14" s="842"/>
      <c r="D14" s="1947">
        <v>2490</v>
      </c>
      <c r="E14" s="1946">
        <f>'Expenditures 15-22'!K56</f>
        <v>0</v>
      </c>
      <c r="F14" s="1944"/>
      <c r="G14" s="1970">
        <f>I68</f>
        <v>0</v>
      </c>
      <c r="H14" s="1946">
        <f t="shared" si="0"/>
        <v>0</v>
      </c>
      <c r="I14" s="1945">
        <v>0</v>
      </c>
      <c r="J14" s="1944"/>
      <c r="K14" s="1945">
        <v>0</v>
      </c>
      <c r="L14" s="1946">
        <f t="shared" si="1"/>
        <v>0</v>
      </c>
      <c r="M14" s="838"/>
      <c r="N14" s="2000"/>
    </row>
    <row r="15" spans="1:14" x14ac:dyDescent="0.2">
      <c r="A15" s="2005">
        <v>4</v>
      </c>
      <c r="B15" s="1942" t="s">
        <v>1059</v>
      </c>
      <c r="C15" s="842"/>
      <c r="D15" s="1943">
        <v>2510</v>
      </c>
      <c r="E15" s="1946">
        <f>'Expenditures 15-22'!K59</f>
        <v>0</v>
      </c>
      <c r="F15" s="1946">
        <f>'Expenditures 15-22'!K122</f>
        <v>0</v>
      </c>
      <c r="G15" s="1970">
        <f>J68</f>
        <v>0</v>
      </c>
      <c r="H15" s="1946">
        <f t="shared" si="0"/>
        <v>0</v>
      </c>
      <c r="I15" s="1945">
        <v>0</v>
      </c>
      <c r="J15" s="1945">
        <v>0</v>
      </c>
      <c r="K15" s="1945">
        <v>0</v>
      </c>
      <c r="L15" s="1946">
        <f t="shared" si="1"/>
        <v>0</v>
      </c>
      <c r="M15" s="838"/>
      <c r="N15" s="2000"/>
    </row>
    <row r="16" spans="1:14" x14ac:dyDescent="0.2">
      <c r="A16" s="2005">
        <v>5</v>
      </c>
      <c r="B16" s="1942" t="s">
        <v>101</v>
      </c>
      <c r="C16" s="842"/>
      <c r="D16" s="1943">
        <v>2570</v>
      </c>
      <c r="E16" s="1946">
        <f>'Expenditures 15-22'!K64</f>
        <v>0</v>
      </c>
      <c r="F16" s="1944"/>
      <c r="G16" s="1970">
        <f>K68</f>
        <v>0</v>
      </c>
      <c r="H16" s="1946">
        <f t="shared" si="0"/>
        <v>0</v>
      </c>
      <c r="I16" s="1945">
        <v>0</v>
      </c>
      <c r="J16" s="1944"/>
      <c r="K16" s="1945">
        <v>0</v>
      </c>
      <c r="L16" s="1946">
        <f t="shared" si="1"/>
        <v>0</v>
      </c>
      <c r="M16" s="838"/>
      <c r="N16" s="2000"/>
    </row>
    <row r="17" spans="1:14" x14ac:dyDescent="0.2">
      <c r="A17" s="2005">
        <v>6</v>
      </c>
      <c r="B17" s="1942" t="s">
        <v>1051</v>
      </c>
      <c r="C17" s="842"/>
      <c r="D17" s="1943">
        <v>2610</v>
      </c>
      <c r="E17" s="1946">
        <f>'Expenditures 15-22'!K67</f>
        <v>0</v>
      </c>
      <c r="F17" s="1944"/>
      <c r="G17" s="1970">
        <f>L68</f>
        <v>0</v>
      </c>
      <c r="H17" s="1946">
        <f t="shared" si="0"/>
        <v>0</v>
      </c>
      <c r="I17" s="1945">
        <v>0</v>
      </c>
      <c r="J17" s="1944"/>
      <c r="K17" s="1945">
        <v>0</v>
      </c>
      <c r="L17" s="1946">
        <f t="shared" si="1"/>
        <v>0</v>
      </c>
      <c r="M17" s="838"/>
      <c r="N17" s="2000"/>
    </row>
    <row r="18" spans="1:14" ht="26.25" customHeight="1" x14ac:dyDescent="0.2">
      <c r="A18" s="2006">
        <v>7</v>
      </c>
      <c r="B18" s="2460" t="s">
        <v>7</v>
      </c>
      <c r="C18" s="2461"/>
      <c r="D18" s="2462"/>
      <c r="E18" s="1948">
        <v>0</v>
      </c>
      <c r="F18" s="1948">
        <v>0</v>
      </c>
      <c r="G18" s="1945">
        <v>0</v>
      </c>
      <c r="H18" s="1949">
        <f t="shared" si="0"/>
        <v>0</v>
      </c>
      <c r="I18" s="1945">
        <v>0</v>
      </c>
      <c r="J18" s="1945">
        <v>0</v>
      </c>
      <c r="K18" s="1945">
        <v>0</v>
      </c>
      <c r="L18" s="1946">
        <f t="shared" si="1"/>
        <v>0</v>
      </c>
      <c r="M18" s="838"/>
      <c r="N18" s="2000"/>
    </row>
    <row r="19" spans="1:14" ht="13.5" thickBot="1" x14ac:dyDescent="0.25">
      <c r="A19" s="2005">
        <v>8</v>
      </c>
      <c r="B19" s="1950" t="s">
        <v>1151</v>
      </c>
      <c r="C19" s="838"/>
      <c r="D19" s="1951"/>
      <c r="E19" s="1952">
        <f t="shared" ref="E19:L19" si="2">SUM(E12:E17)-E18</f>
        <v>160587</v>
      </c>
      <c r="F19" s="1952">
        <f t="shared" si="2"/>
        <v>0</v>
      </c>
      <c r="G19" s="1952">
        <f t="shared" ref="G19" si="3">SUM(G12:G17)-G18</f>
        <v>33000</v>
      </c>
      <c r="H19" s="1952">
        <f t="shared" si="2"/>
        <v>193587</v>
      </c>
      <c r="I19" s="1952">
        <f t="shared" si="2"/>
        <v>147200</v>
      </c>
      <c r="J19" s="1952">
        <f t="shared" si="2"/>
        <v>0</v>
      </c>
      <c r="K19" s="1952">
        <f t="shared" si="2"/>
        <v>43201</v>
      </c>
      <c r="L19" s="1952">
        <f t="shared" si="2"/>
        <v>190401</v>
      </c>
      <c r="M19" s="838"/>
      <c r="N19" s="2000"/>
    </row>
    <row r="20" spans="1:14" ht="13.5" thickTop="1" x14ac:dyDescent="0.2">
      <c r="A20" s="2005">
        <v>9</v>
      </c>
      <c r="B20" s="2463" t="s">
        <v>2021</v>
      </c>
      <c r="C20" s="2463"/>
      <c r="D20" s="2464"/>
      <c r="E20" s="1953"/>
      <c r="F20" s="1953"/>
      <c r="G20" s="1953"/>
      <c r="H20" s="1953"/>
      <c r="I20" s="1953"/>
      <c r="J20" s="1953"/>
      <c r="K20" s="1953"/>
      <c r="L20" s="1954">
        <f>IF(AND(H19&gt;0,L19&gt;0),(((L19-H19)/H19)),"Enter Budget Data")</f>
        <v>-1.6457716685521238E-2</v>
      </c>
      <c r="M20" s="838"/>
      <c r="N20" s="2000"/>
    </row>
    <row r="21" spans="1:14" x14ac:dyDescent="0.2">
      <c r="A21" s="2007" t="s">
        <v>194</v>
      </c>
      <c r="B21" s="2008" t="s">
        <v>2046</v>
      </c>
      <c r="C21" s="838"/>
      <c r="D21" s="1955"/>
      <c r="E21" s="1956"/>
      <c r="F21" s="1957"/>
      <c r="G21" s="1957"/>
      <c r="H21" s="1957"/>
      <c r="I21" s="1957"/>
      <c r="J21" s="1957"/>
      <c r="K21" s="1957"/>
      <c r="L21" s="1958"/>
      <c r="M21" s="838"/>
      <c r="N21" s="2000"/>
    </row>
    <row r="22" spans="1:14" x14ac:dyDescent="0.2">
      <c r="A22" s="1999"/>
      <c r="B22" s="2009"/>
      <c r="C22" s="838"/>
      <c r="D22" s="838"/>
      <c r="E22" s="838"/>
      <c r="F22" s="838"/>
      <c r="G22" s="838"/>
      <c r="H22" s="838"/>
      <c r="I22" s="838"/>
      <c r="J22" s="838"/>
      <c r="K22" s="838"/>
      <c r="L22" s="838"/>
      <c r="M22" s="838"/>
      <c r="N22" s="2000"/>
    </row>
    <row r="23" spans="1:14" x14ac:dyDescent="0.2">
      <c r="A23" s="2010" t="s">
        <v>132</v>
      </c>
      <c r="B23" s="2009"/>
      <c r="C23" s="838"/>
      <c r="D23" s="838"/>
      <c r="E23" s="838"/>
      <c r="F23" s="838"/>
      <c r="G23" s="838"/>
      <c r="H23" s="838"/>
      <c r="I23" s="838"/>
      <c r="J23" s="838"/>
      <c r="K23" s="838"/>
      <c r="L23" s="838"/>
      <c r="M23" s="838"/>
      <c r="N23" s="2000"/>
    </row>
    <row r="24" spans="1:14" x14ac:dyDescent="0.2">
      <c r="A24" s="2011" t="s">
        <v>2022</v>
      </c>
      <c r="B24" s="2012"/>
      <c r="C24" s="2013"/>
      <c r="D24" s="2013"/>
      <c r="E24" s="2013"/>
      <c r="F24" s="2013"/>
      <c r="G24" s="2013"/>
      <c r="H24" s="2013"/>
      <c r="I24" s="2013"/>
      <c r="J24" s="2013"/>
      <c r="K24" s="2013"/>
      <c r="L24" s="838"/>
      <c r="M24" s="838"/>
      <c r="N24" s="2000"/>
    </row>
    <row r="25" spans="1:14" x14ac:dyDescent="0.2">
      <c r="A25" s="2011" t="s">
        <v>2023</v>
      </c>
      <c r="B25" s="2012"/>
      <c r="C25" s="2013"/>
      <c r="D25" s="2013"/>
      <c r="E25" s="2013"/>
      <c r="F25" s="2013"/>
      <c r="G25" s="2013"/>
      <c r="H25" s="2013"/>
      <c r="I25" s="2013"/>
      <c r="J25" s="2013"/>
      <c r="K25" s="2013"/>
      <c r="L25" s="838"/>
      <c r="M25" s="838"/>
      <c r="N25" s="2000"/>
    </row>
    <row r="26" spans="1:14" x14ac:dyDescent="0.2">
      <c r="A26" s="2014"/>
      <c r="B26" s="2009"/>
      <c r="C26" s="838"/>
      <c r="D26" s="838"/>
      <c r="E26" s="838"/>
      <c r="F26" s="838"/>
      <c r="G26" s="838"/>
      <c r="H26" s="838"/>
      <c r="I26" s="838"/>
      <c r="J26" s="838"/>
      <c r="K26" s="838"/>
      <c r="L26" s="838"/>
      <c r="M26" s="838"/>
      <c r="N26" s="2000"/>
    </row>
    <row r="27" spans="1:14" x14ac:dyDescent="0.2">
      <c r="A27" s="1999"/>
      <c r="B27" s="2009"/>
      <c r="C27" s="2465"/>
      <c r="D27" s="2465"/>
      <c r="E27" s="843"/>
      <c r="F27" s="2466"/>
      <c r="G27" s="2466"/>
      <c r="H27" s="2466"/>
      <c r="I27" s="838"/>
      <c r="J27" s="838"/>
      <c r="K27" s="838"/>
      <c r="L27" s="838"/>
      <c r="M27" s="838"/>
      <c r="N27" s="2000"/>
    </row>
    <row r="28" spans="1:14" x14ac:dyDescent="0.2">
      <c r="A28" s="1999"/>
      <c r="B28" s="2009"/>
      <c r="C28" s="1959" t="s">
        <v>1026</v>
      </c>
      <c r="D28" s="844"/>
      <c r="E28" s="1960"/>
      <c r="F28" s="2467" t="s">
        <v>1492</v>
      </c>
      <c r="G28" s="2467"/>
      <c r="H28" s="2467"/>
      <c r="I28" s="838"/>
      <c r="J28" s="838"/>
      <c r="K28" s="838"/>
      <c r="L28" s="838"/>
      <c r="M28" s="838"/>
      <c r="N28" s="2000"/>
    </row>
    <row r="29" spans="1:14" x14ac:dyDescent="0.2">
      <c r="A29" s="1999"/>
      <c r="B29" s="2009"/>
      <c r="C29" s="2468"/>
      <c r="D29" s="2468"/>
      <c r="E29" s="845"/>
      <c r="F29" s="2468"/>
      <c r="G29" s="2468"/>
      <c r="H29" s="2468"/>
      <c r="I29" s="838"/>
      <c r="J29" s="838"/>
      <c r="K29" s="838"/>
      <c r="L29" s="838"/>
      <c r="M29" s="838"/>
      <c r="N29" s="2000"/>
    </row>
    <row r="30" spans="1:14" x14ac:dyDescent="0.2">
      <c r="A30" s="1999"/>
      <c r="B30" s="2009"/>
      <c r="C30" s="1962" t="s">
        <v>1544</v>
      </c>
      <c r="D30" s="838"/>
      <c r="E30" s="1961"/>
      <c r="F30" s="2452" t="s">
        <v>1493</v>
      </c>
      <c r="G30" s="2452"/>
      <c r="H30" s="2452"/>
      <c r="I30" s="838"/>
      <c r="J30" s="838"/>
      <c r="K30" s="838"/>
      <c r="L30" s="838"/>
      <c r="M30" s="838"/>
      <c r="N30" s="2000"/>
    </row>
    <row r="31" spans="1:14" x14ac:dyDescent="0.2">
      <c r="A31" s="1999"/>
      <c r="B31" s="2009"/>
      <c r="C31" s="2015"/>
      <c r="D31" s="838"/>
      <c r="E31" s="1955"/>
      <c r="F31" s="1956"/>
      <c r="G31" s="1956"/>
      <c r="H31" s="1956"/>
      <c r="I31" s="838"/>
      <c r="J31" s="838"/>
      <c r="K31" s="838"/>
      <c r="L31" s="838"/>
      <c r="M31" s="838"/>
      <c r="N31" s="2000"/>
    </row>
    <row r="32" spans="1:14" x14ac:dyDescent="0.2">
      <c r="A32" s="1999"/>
      <c r="B32" s="2016" t="s">
        <v>1027</v>
      </c>
      <c r="C32" s="838"/>
      <c r="D32" s="838"/>
      <c r="E32" s="838"/>
      <c r="F32" s="838"/>
      <c r="G32" s="838"/>
      <c r="H32" s="838"/>
      <c r="I32" s="838"/>
      <c r="J32" s="838"/>
      <c r="K32" s="838"/>
      <c r="L32" s="838"/>
      <c r="M32" s="838"/>
      <c r="N32" s="2000"/>
    </row>
    <row r="33" spans="1:14" x14ac:dyDescent="0.2">
      <c r="A33" s="1999"/>
      <c r="B33" s="2017"/>
      <c r="C33" s="838"/>
      <c r="D33" s="838"/>
      <c r="E33" s="838"/>
      <c r="F33" s="838"/>
      <c r="G33" s="838"/>
      <c r="H33" s="838"/>
      <c r="I33" s="838"/>
      <c r="J33" s="838"/>
      <c r="K33" s="838"/>
      <c r="L33" s="838"/>
      <c r="M33" s="838"/>
      <c r="N33" s="2000"/>
    </row>
    <row r="34" spans="1:14" x14ac:dyDescent="0.2">
      <c r="A34" s="1999"/>
      <c r="B34" s="846"/>
      <c r="C34" s="2429" t="s">
        <v>2024</v>
      </c>
      <c r="D34" s="2430"/>
      <c r="E34" s="2430"/>
      <c r="F34" s="2430"/>
      <c r="G34" s="2430"/>
      <c r="H34" s="2430"/>
      <c r="I34" s="2430"/>
      <c r="J34" s="2430"/>
      <c r="K34" s="2018"/>
      <c r="L34" s="838"/>
      <c r="M34" s="838"/>
      <c r="N34" s="2000"/>
    </row>
    <row r="35" spans="1:14" x14ac:dyDescent="0.2">
      <c r="A35" s="1999"/>
      <c r="B35" s="838"/>
      <c r="C35" s="2430"/>
      <c r="D35" s="2430"/>
      <c r="E35" s="2430"/>
      <c r="F35" s="2430"/>
      <c r="G35" s="2430"/>
      <c r="H35" s="2430"/>
      <c r="I35" s="2430"/>
      <c r="J35" s="2430"/>
      <c r="K35" s="2018"/>
      <c r="L35" s="838"/>
      <c r="M35" s="838"/>
      <c r="N35" s="2000"/>
    </row>
    <row r="36" spans="1:14" x14ac:dyDescent="0.2">
      <c r="A36" s="1999"/>
      <c r="B36" s="838"/>
      <c r="C36" s="2019"/>
      <c r="D36" s="838"/>
      <c r="E36" s="838"/>
      <c r="F36" s="838"/>
      <c r="G36" s="838"/>
      <c r="H36" s="838"/>
      <c r="I36" s="838"/>
      <c r="J36" s="838"/>
      <c r="K36" s="838"/>
      <c r="L36" s="838"/>
      <c r="M36" s="838"/>
      <c r="N36" s="2000"/>
    </row>
    <row r="37" spans="1:14" x14ac:dyDescent="0.2">
      <c r="A37" s="1999"/>
      <c r="B37" s="846"/>
      <c r="C37" s="2429" t="s">
        <v>2025</v>
      </c>
      <c r="D37" s="2430"/>
      <c r="E37" s="2430"/>
      <c r="F37" s="2430"/>
      <c r="G37" s="2430"/>
      <c r="H37" s="2430"/>
      <c r="I37" s="2430"/>
      <c r="J37" s="2430"/>
      <c r="K37" s="2018"/>
      <c r="L37" s="2020"/>
      <c r="M37" s="838"/>
      <c r="N37" s="2000"/>
    </row>
    <row r="38" spans="1:14" x14ac:dyDescent="0.2">
      <c r="A38" s="1999"/>
      <c r="B38" s="838"/>
      <c r="C38" s="2430"/>
      <c r="D38" s="2430"/>
      <c r="E38" s="2430"/>
      <c r="F38" s="2430"/>
      <c r="G38" s="2430"/>
      <c r="H38" s="2430"/>
      <c r="I38" s="2430"/>
      <c r="J38" s="2430"/>
      <c r="K38" s="2018"/>
      <c r="L38" s="2020"/>
      <c r="M38" s="838"/>
      <c r="N38" s="2000"/>
    </row>
    <row r="39" spans="1:14" x14ac:dyDescent="0.2">
      <c r="A39" s="1999"/>
      <c r="B39" s="838"/>
      <c r="C39" s="2019"/>
      <c r="D39" s="838"/>
      <c r="E39" s="1963"/>
      <c r="F39" s="1964"/>
      <c r="G39" s="1964"/>
      <c r="H39" s="1963"/>
      <c r="I39" s="838"/>
      <c r="J39" s="838"/>
      <c r="K39" s="838"/>
      <c r="L39" s="838"/>
      <c r="M39" s="838"/>
      <c r="N39" s="2000"/>
    </row>
    <row r="40" spans="1:14" x14ac:dyDescent="0.2">
      <c r="A40" s="1999"/>
      <c r="B40" s="846"/>
      <c r="C40" s="2431" t="s">
        <v>2026</v>
      </c>
      <c r="D40" s="2432"/>
      <c r="E40" s="2432"/>
      <c r="F40" s="2432"/>
      <c r="G40" s="2432"/>
      <c r="H40" s="2432"/>
      <c r="I40" s="2432"/>
      <c r="J40" s="2432"/>
      <c r="K40" s="1965"/>
      <c r="L40" s="838"/>
      <c r="M40" s="838"/>
      <c r="N40" s="2000"/>
    </row>
    <row r="41" spans="1:14" x14ac:dyDescent="0.2">
      <c r="A41" s="1999"/>
      <c r="B41" s="838"/>
      <c r="C41" s="2021"/>
      <c r="D41" s="2021"/>
      <c r="E41" s="2021"/>
      <c r="F41" s="2021"/>
      <c r="G41" s="2021"/>
      <c r="H41" s="2021"/>
      <c r="I41" s="2021"/>
      <c r="J41" s="2021"/>
      <c r="K41" s="2021"/>
      <c r="L41" s="838"/>
      <c r="M41" s="838"/>
      <c r="N41" s="2000"/>
    </row>
    <row r="42" spans="1:14" ht="13.5" thickBot="1" x14ac:dyDescent="0.25">
      <c r="A42" s="2022"/>
      <c r="B42" s="2023"/>
      <c r="C42" s="2023"/>
      <c r="D42" s="2023"/>
      <c r="E42" s="2023"/>
      <c r="F42" s="2023"/>
      <c r="G42" s="2023"/>
      <c r="H42" s="2023"/>
      <c r="I42" s="2023"/>
      <c r="J42" s="2023"/>
      <c r="K42" s="2023"/>
      <c r="L42" s="2023"/>
      <c r="M42" s="2023"/>
      <c r="N42" s="2024"/>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4"/>
      <c r="B44" s="1985"/>
      <c r="C44" s="1985"/>
      <c r="D44" s="1985"/>
      <c r="E44" s="1985"/>
      <c r="F44" s="1985"/>
      <c r="G44" s="1985"/>
      <c r="H44" s="1985"/>
      <c r="I44" s="1985"/>
      <c r="J44" s="1985"/>
      <c r="K44" s="1985"/>
      <c r="L44" s="1985"/>
      <c r="M44" s="1985"/>
      <c r="N44" s="1986"/>
    </row>
    <row r="45" spans="1:14" x14ac:dyDescent="0.2">
      <c r="A45" s="1984" t="s">
        <v>2028</v>
      </c>
      <c r="B45" s="1985"/>
      <c r="C45" s="1985"/>
      <c r="D45" s="1985"/>
      <c r="E45" s="1985"/>
      <c r="F45" s="1985"/>
      <c r="G45" s="1985"/>
      <c r="H45" s="1985"/>
      <c r="I45" s="1985"/>
      <c r="J45" s="1985"/>
      <c r="K45" s="1985"/>
      <c r="L45" s="1985"/>
      <c r="M45" s="1985"/>
      <c r="N45" s="1986"/>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7"/>
      <c r="B48" s="1985"/>
      <c r="C48" s="1985"/>
      <c r="D48" s="1988"/>
      <c r="E48" s="1988"/>
      <c r="F48" s="1988"/>
      <c r="G48" s="1988"/>
      <c r="H48" s="1988"/>
      <c r="I48" s="1988"/>
      <c r="J48" s="1988"/>
      <c r="K48" s="1988"/>
      <c r="L48" s="1988"/>
      <c r="M48" s="1988"/>
      <c r="N48" s="1989"/>
    </row>
    <row r="49" spans="1:14" s="2029" customFormat="1" ht="15.75" x14ac:dyDescent="0.25">
      <c r="A49" s="2030" t="s">
        <v>2045</v>
      </c>
      <c r="B49" s="2026"/>
      <c r="C49" s="2026"/>
      <c r="D49" s="2027"/>
      <c r="E49" s="2027"/>
      <c r="F49" s="2027"/>
      <c r="G49" s="2027"/>
      <c r="H49" s="2027"/>
      <c r="I49" s="2027"/>
      <c r="J49" s="2027"/>
      <c r="K49" s="2027"/>
      <c r="L49" s="2027"/>
      <c r="M49" s="2027"/>
      <c r="N49" s="2028"/>
    </row>
    <row r="50" spans="1:14" ht="15" x14ac:dyDescent="0.25">
      <c r="A50" s="2030" t="s">
        <v>2044</v>
      </c>
      <c r="B50" s="1985"/>
      <c r="C50" s="1985"/>
      <c r="D50" s="1985"/>
      <c r="E50" s="1985"/>
      <c r="F50" s="1985"/>
      <c r="G50" s="1985"/>
      <c r="H50" s="1985"/>
      <c r="I50" s="1985"/>
      <c r="J50" s="1985"/>
      <c r="K50" s="1985"/>
      <c r="L50" s="1985"/>
      <c r="M50" s="1985"/>
      <c r="N50" s="1986"/>
    </row>
    <row r="51" spans="1:14" x14ac:dyDescent="0.2">
      <c r="A51" s="1984"/>
      <c r="B51" s="1985"/>
      <c r="C51" s="1985"/>
      <c r="D51" s="1985"/>
      <c r="E51" s="1985"/>
      <c r="F51" s="1985"/>
      <c r="G51" s="1985"/>
      <c r="H51" s="1985"/>
      <c r="I51" s="1985"/>
      <c r="J51" s="1985"/>
      <c r="K51" s="1985"/>
      <c r="L51" s="1985"/>
      <c r="M51" s="1985"/>
      <c r="N51" s="1986"/>
    </row>
    <row r="52" spans="1:14" x14ac:dyDescent="0.2">
      <c r="A52" s="1984"/>
      <c r="B52" s="1985"/>
      <c r="C52" s="1985"/>
      <c r="D52" s="1985"/>
      <c r="E52" s="1985"/>
      <c r="F52" s="1985"/>
      <c r="G52" s="1985"/>
      <c r="H52" s="1985"/>
      <c r="I52" s="1985"/>
      <c r="J52" s="1985"/>
      <c r="K52" s="1926" t="s">
        <v>1021</v>
      </c>
      <c r="L52" s="2439" t="str">
        <f>J6</f>
        <v>Monroe SD 70</v>
      </c>
      <c r="M52" s="2439"/>
      <c r="N52" s="2440"/>
    </row>
    <row r="53" spans="1:14" x14ac:dyDescent="0.2">
      <c r="A53" s="1984"/>
      <c r="B53" s="1985"/>
      <c r="C53" s="1985"/>
      <c r="D53" s="1985"/>
      <c r="E53" s="1985"/>
      <c r="F53" s="1985"/>
      <c r="G53" s="1985"/>
      <c r="H53" s="1985"/>
      <c r="I53" s="1985"/>
      <c r="J53" s="1985"/>
      <c r="K53" s="1926" t="s">
        <v>369</v>
      </c>
      <c r="L53" s="2441">
        <f>J7</f>
        <v>48072070002</v>
      </c>
      <c r="M53" s="2441"/>
      <c r="N53" s="2442"/>
    </row>
    <row r="54" spans="1:14" ht="13.5" thickBot="1" x14ac:dyDescent="0.25">
      <c r="A54" s="1984"/>
      <c r="B54" s="1985"/>
      <c r="C54" s="1985"/>
      <c r="D54" s="1985"/>
      <c r="E54" s="1985"/>
      <c r="F54" s="1985"/>
      <c r="G54" s="1985"/>
      <c r="H54" s="1985"/>
      <c r="I54" s="1985"/>
      <c r="J54" s="1985"/>
      <c r="K54" s="1985"/>
      <c r="L54" s="1985"/>
      <c r="M54" s="1985"/>
      <c r="N54" s="1986"/>
    </row>
    <row r="55" spans="1:14" x14ac:dyDescent="0.2">
      <c r="A55" s="2443"/>
      <c r="B55" s="2444"/>
      <c r="C55" s="2444"/>
      <c r="D55" s="1972"/>
      <c r="E55" s="1972"/>
      <c r="F55" s="1972"/>
      <c r="G55" s="2445" t="s">
        <v>2030</v>
      </c>
      <c r="H55" s="2445"/>
      <c r="I55" s="2445"/>
      <c r="J55" s="2445"/>
      <c r="K55" s="2445"/>
      <c r="L55" s="2445"/>
      <c r="M55" s="2445"/>
      <c r="N55" s="2446"/>
    </row>
    <row r="56" spans="1:14" ht="63.75" x14ac:dyDescent="0.2">
      <c r="A56" s="2447" t="s">
        <v>2031</v>
      </c>
      <c r="B56" s="2448"/>
      <c r="C56" s="2449"/>
      <c r="D56" s="1966" t="s">
        <v>2032</v>
      </c>
      <c r="E56" s="1966" t="s">
        <v>2033</v>
      </c>
      <c r="F56" s="1973"/>
      <c r="G56" s="1966" t="s">
        <v>2034</v>
      </c>
      <c r="H56" s="1966" t="s">
        <v>2035</v>
      </c>
      <c r="I56" s="1966" t="s">
        <v>2036</v>
      </c>
      <c r="J56" s="1966" t="s">
        <v>2037</v>
      </c>
      <c r="K56" s="1966" t="s">
        <v>2038</v>
      </c>
      <c r="L56" s="1966" t="s">
        <v>2039</v>
      </c>
      <c r="M56" s="1966" t="s">
        <v>2040</v>
      </c>
      <c r="N56" s="1967" t="s">
        <v>2047</v>
      </c>
    </row>
    <row r="57" spans="1:14" ht="24.75" customHeight="1" x14ac:dyDescent="0.2">
      <c r="A57" s="2450" t="s">
        <v>296</v>
      </c>
      <c r="B57" s="2451"/>
      <c r="C57" s="2451"/>
      <c r="D57" s="1968">
        <v>2361</v>
      </c>
      <c r="E57" s="1978">
        <f>'Expenditures 15-22'!K319</f>
        <v>0</v>
      </c>
      <c r="F57" s="1974"/>
      <c r="G57" s="2031"/>
      <c r="H57" s="2032"/>
      <c r="I57" s="2032"/>
      <c r="J57" s="2032"/>
      <c r="K57" s="2032"/>
      <c r="L57" s="2032"/>
      <c r="M57" s="2032"/>
      <c r="N57" s="1977">
        <f>IF((SUM(G57:M57))=E57,SUM(G57:M57),"Column N does not agree with Column E")</f>
        <v>0</v>
      </c>
    </row>
    <row r="58" spans="1:14" ht="24" customHeight="1" x14ac:dyDescent="0.2">
      <c r="A58" s="2427" t="s">
        <v>2041</v>
      </c>
      <c r="B58" s="2428"/>
      <c r="C58" s="2428"/>
      <c r="D58" s="1969">
        <v>2362</v>
      </c>
      <c r="E58" s="1979">
        <f>'Expenditures 15-22'!K320</f>
        <v>13131</v>
      </c>
      <c r="F58" s="1974"/>
      <c r="G58" s="2033"/>
      <c r="H58" s="2034"/>
      <c r="I58" s="2034"/>
      <c r="J58" s="2034"/>
      <c r="K58" s="2034"/>
      <c r="L58" s="2034"/>
      <c r="M58" s="2034">
        <v>13131</v>
      </c>
      <c r="N58" s="1977">
        <f>IF((SUM(G58:M58))=E58,SUM(G58:M58),"Column N does not agree with Column E")</f>
        <v>13131</v>
      </c>
    </row>
    <row r="59" spans="1:14" ht="24.75" customHeight="1" x14ac:dyDescent="0.2">
      <c r="A59" s="2421" t="s">
        <v>297</v>
      </c>
      <c r="B59" s="2422"/>
      <c r="C59" s="2422"/>
      <c r="D59" s="1969">
        <v>2363</v>
      </c>
      <c r="E59" s="1979">
        <f>'Expenditures 15-22'!K321</f>
        <v>101</v>
      </c>
      <c r="F59" s="1974"/>
      <c r="G59" s="2033"/>
      <c r="H59" s="2034"/>
      <c r="I59" s="2034"/>
      <c r="J59" s="2034"/>
      <c r="K59" s="2034"/>
      <c r="L59" s="2034"/>
      <c r="M59" s="2034">
        <v>101</v>
      </c>
      <c r="N59" s="1977">
        <f>IF((SUM(G59:M59))=E59,SUM(G59:M59),"Column N does not agree with Column E")</f>
        <v>101</v>
      </c>
    </row>
    <row r="60" spans="1:14" ht="24" customHeight="1" x14ac:dyDescent="0.2">
      <c r="A60" s="2421" t="s">
        <v>236</v>
      </c>
      <c r="B60" s="2422"/>
      <c r="C60" s="2422"/>
      <c r="D60" s="1969">
        <v>2364</v>
      </c>
      <c r="E60" s="1979">
        <f>'Expenditures 15-22'!K322</f>
        <v>12129</v>
      </c>
      <c r="F60" s="1974"/>
      <c r="G60" s="2033"/>
      <c r="H60" s="2034"/>
      <c r="I60" s="2034"/>
      <c r="J60" s="2034"/>
      <c r="K60" s="2034"/>
      <c r="L60" s="2034"/>
      <c r="M60" s="2034">
        <v>12129</v>
      </c>
      <c r="N60" s="1977">
        <f t="shared" ref="N60:N67" si="4">IF((SUM(G60:M60))=E60,SUM(G60:M60),"Column N does not agree with Column E")</f>
        <v>12129</v>
      </c>
    </row>
    <row r="61" spans="1:14" ht="24.75" customHeight="1" x14ac:dyDescent="0.2">
      <c r="A61" s="2421" t="s">
        <v>697</v>
      </c>
      <c r="B61" s="2422"/>
      <c r="C61" s="2422"/>
      <c r="D61" s="1969">
        <v>2365</v>
      </c>
      <c r="E61" s="1979">
        <f>'Expenditures 15-22'!K323</f>
        <v>17400</v>
      </c>
      <c r="F61" s="1974"/>
      <c r="G61" s="2033"/>
      <c r="H61" s="2034"/>
      <c r="I61" s="2034"/>
      <c r="J61" s="2034"/>
      <c r="K61" s="2034"/>
      <c r="L61" s="2034"/>
      <c r="M61" s="2034">
        <v>17400</v>
      </c>
      <c r="N61" s="1977">
        <f t="shared" si="4"/>
        <v>17400</v>
      </c>
    </row>
    <row r="62" spans="1:14" ht="24" customHeight="1" x14ac:dyDescent="0.2">
      <c r="A62" s="2421" t="s">
        <v>237</v>
      </c>
      <c r="B62" s="2422"/>
      <c r="C62" s="2422"/>
      <c r="D62" s="1969">
        <v>2366</v>
      </c>
      <c r="E62" s="1979">
        <f>'Expenditures 15-22'!K324</f>
        <v>0</v>
      </c>
      <c r="F62" s="1974"/>
      <c r="G62" s="2033"/>
      <c r="H62" s="2034"/>
      <c r="I62" s="2034"/>
      <c r="J62" s="2034"/>
      <c r="K62" s="2034"/>
      <c r="L62" s="2034"/>
      <c r="M62" s="2034"/>
      <c r="N62" s="1977">
        <f t="shared" si="4"/>
        <v>0</v>
      </c>
    </row>
    <row r="63" spans="1:14" ht="24" customHeight="1" x14ac:dyDescent="0.2">
      <c r="A63" s="2427" t="s">
        <v>1022</v>
      </c>
      <c r="B63" s="2428"/>
      <c r="C63" s="2428"/>
      <c r="D63" s="1969">
        <v>2367</v>
      </c>
      <c r="E63" s="1979">
        <f>'Expenditures 15-22'!K325</f>
        <v>154629</v>
      </c>
      <c r="F63" s="1974"/>
      <c r="G63" s="2033">
        <v>33000</v>
      </c>
      <c r="H63" s="2034"/>
      <c r="I63" s="2034"/>
      <c r="J63" s="2034"/>
      <c r="K63" s="2034"/>
      <c r="L63" s="2034"/>
      <c r="M63" s="2034">
        <v>121629</v>
      </c>
      <c r="N63" s="1977">
        <f t="shared" si="4"/>
        <v>154629</v>
      </c>
    </row>
    <row r="64" spans="1:14" ht="24" customHeight="1" x14ac:dyDescent="0.2">
      <c r="A64" s="2421" t="s">
        <v>1023</v>
      </c>
      <c r="B64" s="2422"/>
      <c r="C64" s="2422"/>
      <c r="D64" s="1969">
        <v>2368</v>
      </c>
      <c r="E64" s="1979">
        <f>'Expenditures 15-22'!K326</f>
        <v>0</v>
      </c>
      <c r="F64" s="1974"/>
      <c r="G64" s="2033"/>
      <c r="H64" s="2034"/>
      <c r="I64" s="2034"/>
      <c r="J64" s="2034"/>
      <c r="K64" s="2034"/>
      <c r="L64" s="2034"/>
      <c r="M64" s="2034"/>
      <c r="N64" s="1977">
        <f t="shared" si="4"/>
        <v>0</v>
      </c>
    </row>
    <row r="65" spans="1:14" ht="24" customHeight="1" x14ac:dyDescent="0.2">
      <c r="A65" s="2421" t="s">
        <v>965</v>
      </c>
      <c r="B65" s="2422"/>
      <c r="C65" s="2422"/>
      <c r="D65" s="1969">
        <v>2369</v>
      </c>
      <c r="E65" s="1979">
        <f>'Expenditures 15-22'!K327</f>
        <v>11389</v>
      </c>
      <c r="F65" s="1974"/>
      <c r="G65" s="2033"/>
      <c r="H65" s="2034"/>
      <c r="I65" s="2034"/>
      <c r="J65" s="2034"/>
      <c r="K65" s="2034"/>
      <c r="L65" s="2034"/>
      <c r="M65" s="2034">
        <v>11389</v>
      </c>
      <c r="N65" s="1977">
        <f t="shared" si="4"/>
        <v>11389</v>
      </c>
    </row>
    <row r="66" spans="1:14" ht="24" customHeight="1" x14ac:dyDescent="0.2">
      <c r="A66" s="2421" t="s">
        <v>469</v>
      </c>
      <c r="B66" s="2422"/>
      <c r="C66" s="2422"/>
      <c r="D66" s="1969">
        <v>2371</v>
      </c>
      <c r="E66" s="1979">
        <f>'Expenditures 15-22'!K328</f>
        <v>15208</v>
      </c>
      <c r="F66" s="1974"/>
      <c r="G66" s="2033"/>
      <c r="H66" s="2034"/>
      <c r="I66" s="2034"/>
      <c r="J66" s="2034"/>
      <c r="K66" s="2034"/>
      <c r="L66" s="2034"/>
      <c r="M66" s="2034">
        <v>15208</v>
      </c>
      <c r="N66" s="1977">
        <f t="shared" si="4"/>
        <v>15208</v>
      </c>
    </row>
    <row r="67" spans="1:14" ht="24.75" customHeight="1" x14ac:dyDescent="0.2">
      <c r="A67" s="2423" t="s">
        <v>2042</v>
      </c>
      <c r="B67" s="2424"/>
      <c r="C67" s="2424"/>
      <c r="D67" s="1971">
        <v>2372</v>
      </c>
      <c r="E67" s="1980">
        <f>'Expenditures 15-22'!K329</f>
        <v>0</v>
      </c>
      <c r="F67" s="1974"/>
      <c r="G67" s="2035"/>
      <c r="H67" s="2036"/>
      <c r="I67" s="2036"/>
      <c r="J67" s="2036"/>
      <c r="K67" s="2036"/>
      <c r="L67" s="2036"/>
      <c r="M67" s="2036"/>
      <c r="N67" s="1977">
        <f t="shared" si="4"/>
        <v>0</v>
      </c>
    </row>
    <row r="68" spans="1:14" x14ac:dyDescent="0.2">
      <c r="A68" s="2425" t="s">
        <v>1151</v>
      </c>
      <c r="B68" s="2426"/>
      <c r="C68" s="2426"/>
      <c r="D68" s="1972"/>
      <c r="E68" s="1976">
        <f>SUM(E57:E67)</f>
        <v>223987</v>
      </c>
      <c r="F68" s="1975"/>
      <c r="G68" s="1976">
        <f t="shared" ref="G68:N68" si="5">SUM(G57:G67)</f>
        <v>33000</v>
      </c>
      <c r="H68" s="1976">
        <f t="shared" si="5"/>
        <v>0</v>
      </c>
      <c r="I68" s="1976">
        <f t="shared" si="5"/>
        <v>0</v>
      </c>
      <c r="J68" s="1976">
        <f t="shared" si="5"/>
        <v>0</v>
      </c>
      <c r="K68" s="1976">
        <f t="shared" si="5"/>
        <v>0</v>
      </c>
      <c r="L68" s="1976">
        <f t="shared" si="5"/>
        <v>0</v>
      </c>
      <c r="M68" s="1976">
        <f t="shared" si="5"/>
        <v>190987</v>
      </c>
      <c r="N68" s="1990">
        <f t="shared" si="5"/>
        <v>223987</v>
      </c>
    </row>
    <row r="69" spans="1:14" x14ac:dyDescent="0.2">
      <c r="A69" s="1991"/>
      <c r="B69" s="1992"/>
      <c r="C69" s="1992"/>
      <c r="D69" s="1992"/>
      <c r="E69" s="1992"/>
      <c r="F69" s="1992"/>
      <c r="G69" s="1992"/>
      <c r="H69" s="1992"/>
      <c r="I69" s="1992"/>
      <c r="J69" s="1992"/>
      <c r="K69" s="1992"/>
      <c r="L69" s="1992"/>
      <c r="M69" s="1992"/>
      <c r="N69" s="1993"/>
    </row>
    <row r="70" spans="1:14" ht="15.75" x14ac:dyDescent="0.25">
      <c r="A70" s="2025" t="s">
        <v>2043</v>
      </c>
      <c r="B70" s="1992"/>
      <c r="C70" s="1992"/>
      <c r="D70" s="1992"/>
      <c r="E70" s="1992"/>
      <c r="F70" s="1992"/>
      <c r="G70" s="1992"/>
      <c r="H70" s="1992"/>
      <c r="I70" s="1992"/>
      <c r="J70" s="1992"/>
      <c r="K70" s="1992"/>
      <c r="L70" s="1992"/>
      <c r="M70" s="1992"/>
      <c r="N70" s="1993"/>
    </row>
    <row r="71" spans="1:14" x14ac:dyDescent="0.2">
      <c r="A71" s="1991"/>
      <c r="B71" s="1992"/>
      <c r="C71" s="1992"/>
      <c r="D71" s="1992"/>
      <c r="E71" s="1992"/>
      <c r="F71" s="1992"/>
      <c r="G71" s="1992"/>
      <c r="H71" s="1992"/>
      <c r="I71" s="1992"/>
      <c r="J71" s="1992"/>
      <c r="K71" s="1992"/>
      <c r="L71" s="1992"/>
      <c r="M71" s="1992"/>
      <c r="N71" s="1993"/>
    </row>
    <row r="72" spans="1:14" x14ac:dyDescent="0.2">
      <c r="A72" s="1991"/>
      <c r="B72" s="1992"/>
      <c r="C72" s="1992"/>
      <c r="D72" s="1992"/>
      <c r="E72" s="1992"/>
      <c r="F72" s="1992"/>
      <c r="G72" s="1992"/>
      <c r="H72" s="1992"/>
      <c r="I72" s="1992"/>
      <c r="J72" s="1992"/>
      <c r="K72" s="1992"/>
      <c r="L72" s="1992"/>
      <c r="M72" s="1992"/>
      <c r="N72" s="1993"/>
    </row>
    <row r="73" spans="1:14" x14ac:dyDescent="0.2">
      <c r="A73" s="1991"/>
      <c r="B73" s="1992"/>
      <c r="C73" s="1992"/>
      <c r="D73" s="1992"/>
      <c r="E73" s="1992"/>
      <c r="F73" s="1992"/>
      <c r="G73" s="1992"/>
      <c r="H73" s="1992"/>
      <c r="I73" s="1992"/>
      <c r="J73" s="1992"/>
      <c r="K73" s="1992"/>
      <c r="L73" s="1992"/>
      <c r="M73" s="1992"/>
      <c r="N73" s="1993"/>
    </row>
    <row r="74" spans="1:14" x14ac:dyDescent="0.2">
      <c r="A74" s="1991"/>
      <c r="B74" s="1992"/>
      <c r="C74" s="1992"/>
      <c r="D74" s="1992"/>
      <c r="E74" s="1992"/>
      <c r="F74" s="1992"/>
      <c r="G74" s="1992"/>
      <c r="H74" s="1992"/>
      <c r="I74" s="1992"/>
      <c r="J74" s="1992"/>
      <c r="K74" s="1992"/>
      <c r="L74" s="1992"/>
      <c r="M74" s="1992"/>
      <c r="N74" s="1993"/>
    </row>
    <row r="75" spans="1:14" x14ac:dyDescent="0.2">
      <c r="A75" s="1991"/>
      <c r="B75" s="1992"/>
      <c r="C75" s="1992"/>
      <c r="D75" s="1992"/>
      <c r="E75" s="1992"/>
      <c r="F75" s="1992"/>
      <c r="G75" s="1992"/>
      <c r="H75" s="1992"/>
      <c r="I75" s="1992"/>
      <c r="J75" s="1992"/>
      <c r="K75" s="1992"/>
      <c r="L75" s="1992"/>
      <c r="M75" s="1992"/>
      <c r="N75" s="1993"/>
    </row>
    <row r="76" spans="1:14" x14ac:dyDescent="0.2">
      <c r="A76" s="1991"/>
      <c r="B76" s="1992"/>
      <c r="C76" s="1992"/>
      <c r="D76" s="1992"/>
      <c r="E76" s="1992"/>
      <c r="F76" s="1992"/>
      <c r="G76" s="1992"/>
      <c r="H76" s="1992"/>
      <c r="I76" s="1992"/>
      <c r="J76" s="1992"/>
      <c r="K76" s="1992"/>
      <c r="L76" s="1992"/>
      <c r="M76" s="1992"/>
      <c r="N76" s="1993"/>
    </row>
    <row r="77" spans="1:14" x14ac:dyDescent="0.2">
      <c r="A77" s="1991"/>
      <c r="B77" s="1992"/>
      <c r="C77" s="1992"/>
      <c r="D77" s="1992"/>
      <c r="E77" s="1992"/>
      <c r="F77" s="1992"/>
      <c r="G77" s="1992"/>
      <c r="H77" s="1992"/>
      <c r="I77" s="1992"/>
      <c r="J77" s="1992"/>
      <c r="K77" s="1992"/>
      <c r="L77" s="1992"/>
      <c r="M77" s="1992"/>
      <c r="N77" s="1993"/>
    </row>
    <row r="78" spans="1:14" x14ac:dyDescent="0.2">
      <c r="A78" s="1991"/>
      <c r="B78" s="1992"/>
      <c r="C78" s="1992"/>
      <c r="D78" s="1992"/>
      <c r="E78" s="1992"/>
      <c r="F78" s="1992"/>
      <c r="G78" s="1992"/>
      <c r="H78" s="1992"/>
      <c r="I78" s="1992"/>
      <c r="J78" s="1992"/>
      <c r="K78" s="1992"/>
      <c r="L78" s="1992"/>
      <c r="M78" s="1992"/>
      <c r="N78" s="1993"/>
    </row>
    <row r="79" spans="1:14" x14ac:dyDescent="0.2">
      <c r="A79" s="1991"/>
      <c r="B79" s="1992"/>
      <c r="C79" s="1992"/>
      <c r="D79" s="1992"/>
      <c r="E79" s="1992"/>
      <c r="F79" s="1992"/>
      <c r="G79" s="1992"/>
      <c r="H79" s="1992"/>
      <c r="I79" s="1992"/>
      <c r="J79" s="1992"/>
      <c r="K79" s="1992"/>
      <c r="L79" s="1992"/>
      <c r="M79" s="1992"/>
      <c r="N79" s="1993"/>
    </row>
    <row r="80" spans="1:14" x14ac:dyDescent="0.2">
      <c r="A80" s="1991"/>
      <c r="B80" s="1992"/>
      <c r="C80" s="1992"/>
      <c r="D80" s="1992"/>
      <c r="E80" s="1992"/>
      <c r="F80" s="1992"/>
      <c r="G80" s="1992"/>
      <c r="H80" s="1992"/>
      <c r="I80" s="1992"/>
      <c r="J80" s="1992"/>
      <c r="K80" s="1992"/>
      <c r="L80" s="1992"/>
      <c r="M80" s="1992"/>
      <c r="N80" s="1993"/>
    </row>
    <row r="81" spans="1:14" x14ac:dyDescent="0.2">
      <c r="A81" s="1991"/>
      <c r="B81" s="1992"/>
      <c r="C81" s="1992"/>
      <c r="D81" s="1992"/>
      <c r="E81" s="1992"/>
      <c r="F81" s="1992"/>
      <c r="G81" s="1992"/>
      <c r="H81" s="1992"/>
      <c r="I81" s="1992"/>
      <c r="J81" s="1992"/>
      <c r="K81" s="1992"/>
      <c r="L81" s="1992"/>
      <c r="M81" s="1992"/>
      <c r="N81" s="1993"/>
    </row>
    <row r="82" spans="1:14" x14ac:dyDescent="0.2">
      <c r="A82" s="1991"/>
      <c r="B82" s="1992"/>
      <c r="C82" s="1992"/>
      <c r="D82" s="1992"/>
      <c r="E82" s="1992"/>
      <c r="F82" s="1992"/>
      <c r="G82" s="1992"/>
      <c r="H82" s="1992"/>
      <c r="I82" s="1992"/>
      <c r="J82" s="1992"/>
      <c r="K82" s="1992"/>
      <c r="L82" s="1992"/>
      <c r="M82" s="1992"/>
      <c r="N82" s="1993"/>
    </row>
    <row r="83" spans="1:14" ht="13.5" thickBot="1" x14ac:dyDescent="0.25">
      <c r="A83" s="1994"/>
      <c r="B83" s="1995"/>
      <c r="C83" s="1995"/>
      <c r="D83" s="1995"/>
      <c r="E83" s="1995"/>
      <c r="F83" s="1995"/>
      <c r="G83" s="1995"/>
      <c r="H83" s="1995"/>
      <c r="I83" s="1995"/>
      <c r="J83" s="1995"/>
      <c r="K83" s="1995"/>
      <c r="L83" s="1995"/>
      <c r="M83" s="1995"/>
      <c r="N83" s="1996"/>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2"/>
  <sheetViews>
    <sheetView showGridLines="0" zoomScale="110" zoomScaleNormal="110" workbookViewId="0">
      <selection activeCell="B16" sqref="B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c r="B6" s="307" t="s">
        <v>2077</v>
      </c>
    </row>
    <row r="7" spans="1:2" x14ac:dyDescent="0.2">
      <c r="A7" s="847">
        <v>2</v>
      </c>
      <c r="B7" s="307" t="s">
        <v>2078</v>
      </c>
    </row>
    <row r="8" spans="1:2" x14ac:dyDescent="0.2">
      <c r="A8" s="847">
        <v>3</v>
      </c>
      <c r="B8" s="307" t="s">
        <v>2079</v>
      </c>
    </row>
    <row r="9" spans="1:2" x14ac:dyDescent="0.2">
      <c r="A9" s="847">
        <v>4</v>
      </c>
      <c r="B9" s="307" t="s">
        <v>2097</v>
      </c>
    </row>
    <row r="10" spans="1:2" x14ac:dyDescent="0.2">
      <c r="A10" s="847">
        <v>5</v>
      </c>
      <c r="B10" s="307" t="s">
        <v>2080</v>
      </c>
    </row>
    <row r="11" spans="1:2" x14ac:dyDescent="0.2">
      <c r="A11" s="847">
        <v>6</v>
      </c>
      <c r="B11" s="307" t="s">
        <v>2099</v>
      </c>
    </row>
    <row r="12" spans="1:2" x14ac:dyDescent="0.2">
      <c r="A12" s="847"/>
      <c r="B12" s="307" t="s">
        <v>2100</v>
      </c>
    </row>
    <row r="13" spans="1:2" x14ac:dyDescent="0.2">
      <c r="A13" s="847"/>
      <c r="B13" s="307" t="s">
        <v>2098</v>
      </c>
    </row>
    <row r="14" spans="1:2" x14ac:dyDescent="0.2">
      <c r="A14" s="847">
        <v>7</v>
      </c>
      <c r="B14" s="307" t="s">
        <v>2101</v>
      </c>
    </row>
    <row r="15" spans="1:2" x14ac:dyDescent="0.2">
      <c r="A15" s="848"/>
      <c r="B15" s="307" t="s">
        <v>2102</v>
      </c>
    </row>
    <row r="16" spans="1:2" x14ac:dyDescent="0.2">
      <c r="A16" s="847"/>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Monroe SD 70</v>
      </c>
    </row>
    <row r="62" spans="1:2" x14ac:dyDescent="0.2">
      <c r="B62" s="849">
        <f>COVER!A13</f>
        <v>48072070002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46"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2038920</v>
      </c>
      <c r="C8" s="1813">
        <f>'Acct Summary 7-8'!D8</f>
        <v>208322</v>
      </c>
      <c r="D8" s="1813">
        <f>'Acct Summary 7-8'!F8</f>
        <v>134264</v>
      </c>
      <c r="E8" s="1813">
        <f>'Acct Summary 7-8'!I8</f>
        <v>32429</v>
      </c>
      <c r="F8" s="1813">
        <f>SUM(B8:E8)</f>
        <v>2413935</v>
      </c>
    </row>
    <row r="9" spans="1:8" s="858" customFormat="1" ht="14.25" customHeight="1" thickBot="1" x14ac:dyDescent="0.25">
      <c r="A9" s="857" t="s">
        <v>1353</v>
      </c>
      <c r="B9" s="1814">
        <f>'Acct Summary 7-8'!C17</f>
        <v>2370912</v>
      </c>
      <c r="C9" s="1814">
        <f>'Acct Summary 7-8'!D17</f>
        <v>194633</v>
      </c>
      <c r="D9" s="1814">
        <f>'Acct Summary 7-8'!F17</f>
        <v>123300</v>
      </c>
      <c r="E9" s="1813"/>
      <c r="F9" s="1813">
        <f>SUM(B9:E9)</f>
        <v>2688845</v>
      </c>
    </row>
    <row r="10" spans="1:8" s="858" customFormat="1" ht="14.25" thickTop="1" thickBot="1" x14ac:dyDescent="0.25">
      <c r="A10" s="859" t="s">
        <v>1354</v>
      </c>
      <c r="B10" s="1815">
        <f>(B8-B9)</f>
        <v>-331992</v>
      </c>
      <c r="C10" s="1815">
        <f>(C8-C9)</f>
        <v>13689</v>
      </c>
      <c r="D10" s="1815">
        <f>(D8-D9)</f>
        <v>10964</v>
      </c>
      <c r="E10" s="1814">
        <f>(E8-E9)</f>
        <v>32429</v>
      </c>
      <c r="F10" s="1816">
        <f>SUM(F8-F9)</f>
        <v>-274910</v>
      </c>
    </row>
    <row r="11" spans="1:8" s="858" customFormat="1" ht="14.25" thickTop="1" thickBot="1" x14ac:dyDescent="0.25">
      <c r="A11" s="860" t="s">
        <v>1903</v>
      </c>
      <c r="B11" s="1817">
        <f>'Acct Summary 7-8'!C81</f>
        <v>1454710</v>
      </c>
      <c r="C11" s="1817">
        <f>'Acct Summary 7-8'!D81</f>
        <v>649195</v>
      </c>
      <c r="D11" s="1817">
        <f>'Acct Summary 7-8'!F81</f>
        <v>271446</v>
      </c>
      <c r="E11" s="1817">
        <f>'Acct Summary 7-8'!I81</f>
        <v>188734</v>
      </c>
      <c r="F11" s="1818">
        <f>SUM(B11:E11)</f>
        <v>2564085</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48072070002</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Monroe SD 70</v>
      </c>
      <c r="E4" s="1828">
        <v>44119</v>
      </c>
      <c r="F4" s="1829">
        <v>44151</v>
      </c>
      <c r="G4" s="1899">
        <v>101000600</v>
      </c>
    </row>
    <row r="5" spans="1:7" ht="15" x14ac:dyDescent="0.25">
      <c r="A5" t="s">
        <v>699</v>
      </c>
      <c r="B5" s="135" t="str">
        <f>COVER!A38</f>
        <v>Darrick Reiley</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066-004769</v>
      </c>
      <c r="G15" s="1899">
        <v>402100400</v>
      </c>
    </row>
    <row r="16" spans="1:7" ht="15" x14ac:dyDescent="0.25">
      <c r="A16" t="s">
        <v>419</v>
      </c>
      <c r="B16" s="135" t="str">
        <f>COVER!T13</f>
        <v>Meister, Hilton, Chitwood &amp; Associates, Inc.</v>
      </c>
      <c r="G16" s="1899">
        <v>402100600</v>
      </c>
    </row>
    <row r="17" spans="1:7" ht="15" x14ac:dyDescent="0.25">
      <c r="A17" t="s">
        <v>878</v>
      </c>
      <c r="B17" s="135" t="str">
        <f>COVER!T15</f>
        <v>Ron Hilton</v>
      </c>
      <c r="G17" s="1899">
        <v>402100800</v>
      </c>
    </row>
    <row r="18" spans="1:7" ht="15" x14ac:dyDescent="0.25">
      <c r="A18" t="s">
        <v>1140</v>
      </c>
      <c r="B18" s="135" t="str">
        <f>COVER!T17</f>
        <v>809 W. Detweiller Drive, Suite 806</v>
      </c>
      <c r="G18" s="1899">
        <v>102200300</v>
      </c>
    </row>
    <row r="19" spans="1:7" ht="15" x14ac:dyDescent="0.25">
      <c r="A19" t="s">
        <v>880</v>
      </c>
      <c r="B19" s="135" t="str">
        <f>COVER!T25</f>
        <v>ron.hilton1@comcast.net</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61615</v>
      </c>
      <c r="G22" s="1899">
        <v>102300300</v>
      </c>
    </row>
    <row r="23" spans="1:7" ht="15" x14ac:dyDescent="0.25">
      <c r="A23" t="s">
        <v>1142</v>
      </c>
      <c r="B23" s="135" t="str">
        <f>COVER!T21</f>
        <v>(309) 683-0441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Yes</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867078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3937</v>
      </c>
      <c r="D76" s="2" t="str">
        <f t="shared" si="0"/>
        <v>Error?</v>
      </c>
      <c r="G76" s="1899">
        <v>102570600</v>
      </c>
    </row>
    <row r="77" spans="1:7" ht="15" x14ac:dyDescent="0.25">
      <c r="A77" s="5">
        <v>16</v>
      </c>
      <c r="B77" s="1832">
        <f>'Assets-Liab 5-6'!C13</f>
        <v>1454710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1454710</v>
      </c>
      <c r="D92" s="2" t="str">
        <f t="shared" si="0"/>
        <v>Error?</v>
      </c>
      <c r="G92" s="1899">
        <v>102640600</v>
      </c>
    </row>
    <row r="93" spans="1:7" ht="15" x14ac:dyDescent="0.25">
      <c r="A93" s="5">
        <v>32</v>
      </c>
      <c r="B93" s="1832">
        <f>'Assets-Liab 5-6'!C41</f>
        <v>1454710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223782</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649643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448</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448</v>
      </c>
      <c r="C122" s="2" t="s">
        <v>569</v>
      </c>
      <c r="D122" s="2" t="str">
        <f t="shared" si="0"/>
        <v>Error?</v>
      </c>
      <c r="G122" s="1899">
        <v>203000300</v>
      </c>
    </row>
    <row r="123" spans="1:7" ht="15" x14ac:dyDescent="0.25">
      <c r="A123" s="5">
        <v>62</v>
      </c>
      <c r="B123" s="1832">
        <f>'Assets-Liab 5-6'!D39</f>
        <v>599195</v>
      </c>
      <c r="D123" s="2" t="str">
        <f t="shared" si="0"/>
        <v>Error?</v>
      </c>
      <c r="G123" s="1899">
        <v>203000400</v>
      </c>
    </row>
    <row r="124" spans="1:7" ht="15" x14ac:dyDescent="0.25">
      <c r="A124" s="5">
        <v>63</v>
      </c>
      <c r="B124" s="1832">
        <f>'Assets-Liab 5-6'!D41</f>
        <v>649643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13392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219187</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33000</v>
      </c>
      <c r="C139" s="2" t="s">
        <v>569</v>
      </c>
      <c r="D139" s="2" t="str">
        <f t="shared" si="1"/>
        <v>Error?</v>
      </c>
    </row>
    <row r="140" spans="1:7" x14ac:dyDescent="0.2">
      <c r="A140" s="5">
        <v>79</v>
      </c>
      <c r="B140" s="1832">
        <f>'Assets-Liab 5-6'!E39</f>
        <v>186187</v>
      </c>
      <c r="D140" s="2" t="str">
        <f t="shared" si="1"/>
        <v>Error?</v>
      </c>
    </row>
    <row r="141" spans="1:7" x14ac:dyDescent="0.2">
      <c r="A141" s="5">
        <v>80</v>
      </c>
      <c r="B141" s="1832">
        <f>'Assets-Liab 5-6'!E41</f>
        <v>219187</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161590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271446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271446</v>
      </c>
      <c r="D170" s="2" t="str">
        <f t="shared" si="1"/>
        <v>Error?</v>
      </c>
    </row>
    <row r="171" spans="1:4" x14ac:dyDescent="0.2">
      <c r="A171" s="5">
        <v>110</v>
      </c>
      <c r="B171" s="1832">
        <f>'Assets-Liab 5-6'!F41</f>
        <v>271446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23</v>
      </c>
      <c r="D177" s="2" t="str">
        <f t="shared" si="1"/>
        <v>Error?</v>
      </c>
    </row>
    <row r="178" spans="1:4" x14ac:dyDescent="0.2">
      <c r="A178" s="10">
        <v>117</v>
      </c>
      <c r="B178" s="1832"/>
      <c r="D178" s="2" t="str">
        <f t="shared" si="1"/>
        <v>OK</v>
      </c>
    </row>
    <row r="179" spans="1:4" x14ac:dyDescent="0.2">
      <c r="A179" s="5">
        <v>118</v>
      </c>
      <c r="B179" s="1832">
        <f>'Assets-Liab 5-6'!G12</f>
        <v>172</v>
      </c>
      <c r="D179" s="2" t="str">
        <f t="shared" si="1"/>
        <v>Error?</v>
      </c>
    </row>
    <row r="180" spans="1:4" x14ac:dyDescent="0.2">
      <c r="A180" s="5">
        <v>119</v>
      </c>
      <c r="B180" s="1832">
        <f>'Assets-Liab 5-6'!G13</f>
        <v>1374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11200</v>
      </c>
      <c r="C188" s="2" t="s">
        <v>569</v>
      </c>
      <c r="D188" s="2" t="str">
        <f t="shared" si="1"/>
        <v>Error?</v>
      </c>
    </row>
    <row r="189" spans="1:4" x14ac:dyDescent="0.2">
      <c r="A189" s="5">
        <v>128</v>
      </c>
      <c r="B189" s="1832">
        <f>'Assets-Liab 5-6'!G39</f>
        <v>-9826</v>
      </c>
      <c r="D189" s="2" t="str">
        <f t="shared" si="1"/>
        <v>Error?</v>
      </c>
    </row>
    <row r="190" spans="1:4" x14ac:dyDescent="0.2">
      <c r="A190" s="5">
        <v>129</v>
      </c>
      <c r="B190" s="1832">
        <f>'Assets-Liab 5-6'!G41</f>
        <v>1374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1381050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78481</v>
      </c>
      <c r="D212" s="2" t="str">
        <f t="shared" si="2"/>
        <v>Error?</v>
      </c>
    </row>
    <row r="213" spans="1:4" x14ac:dyDescent="0.2">
      <c r="A213" s="12">
        <v>152</v>
      </c>
      <c r="B213" s="1832">
        <f>'Assets-Liab 5-6'!H41</f>
        <v>1381050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16025</v>
      </c>
      <c r="D273" s="2" t="str">
        <f t="shared" si="3"/>
        <v>Error?</v>
      </c>
    </row>
    <row r="274" spans="1:4" x14ac:dyDescent="0.2">
      <c r="A274" s="5">
        <v>213</v>
      </c>
      <c r="B274" s="1832">
        <f>'Assets-Liab 5-6'!M17</f>
        <v>667039</v>
      </c>
      <c r="D274" s="2" t="str">
        <f t="shared" si="3"/>
        <v>Error?</v>
      </c>
    </row>
    <row r="275" spans="1:4" x14ac:dyDescent="0.2">
      <c r="A275" s="5">
        <v>214</v>
      </c>
      <c r="B275" s="1832">
        <f>'Assets-Liab 5-6'!M18</f>
        <v>474029</v>
      </c>
      <c r="D275" s="2" t="str">
        <f t="shared" si="3"/>
        <v>Error?</v>
      </c>
    </row>
    <row r="276" spans="1:4" x14ac:dyDescent="0.2">
      <c r="A276" s="5">
        <v>215</v>
      </c>
      <c r="B276" s="1832">
        <f>'Assets-Liab 5-6'!M19</f>
        <v>167835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1447251</v>
      </c>
      <c r="C279" s="2" t="s">
        <v>569</v>
      </c>
      <c r="D279" s="2" t="str">
        <f t="shared" si="3"/>
        <v>Error?</v>
      </c>
    </row>
    <row r="280" spans="1:4" x14ac:dyDescent="0.2">
      <c r="A280" s="5">
        <v>219</v>
      </c>
      <c r="B280" s="1832">
        <f>'Assets-Liab 5-6'!M40</f>
        <v>1447251</v>
      </c>
      <c r="D280" s="2" t="str">
        <f t="shared" si="3"/>
        <v>Error?</v>
      </c>
    </row>
    <row r="281" spans="1:4" x14ac:dyDescent="0.2">
      <c r="A281" s="5">
        <v>220</v>
      </c>
      <c r="B281" s="1832">
        <f>'Assets-Liab 5-6'!M41</f>
        <v>1447251</v>
      </c>
      <c r="C281" s="2" t="s">
        <v>569</v>
      </c>
      <c r="D281" s="2" t="str">
        <f t="shared" si="3"/>
        <v>Error?</v>
      </c>
    </row>
    <row r="282" spans="1:4" x14ac:dyDescent="0.2">
      <c r="A282" s="5">
        <v>221</v>
      </c>
      <c r="B282" s="1832">
        <f>'Assets-Liab 5-6'!N21</f>
        <v>186187</v>
      </c>
      <c r="D282" s="2" t="str">
        <f t="shared" si="3"/>
        <v>Error?</v>
      </c>
    </row>
    <row r="283" spans="1:4" x14ac:dyDescent="0.2">
      <c r="A283" s="5">
        <v>222</v>
      </c>
      <c r="B283" s="1832">
        <f>'Assets-Liab 5-6'!N22</f>
        <v>1076343</v>
      </c>
      <c r="D283" s="2" t="str">
        <f t="shared" si="3"/>
        <v>Error?</v>
      </c>
    </row>
    <row r="284" spans="1:4" x14ac:dyDescent="0.2">
      <c r="A284" s="5">
        <v>223</v>
      </c>
      <c r="B284" s="1832">
        <f>'Assets-Liab 5-6'!N23</f>
        <v>1262530</v>
      </c>
      <c r="C284" s="2" t="s">
        <v>569</v>
      </c>
      <c r="D284" s="2" t="str">
        <f t="shared" si="3"/>
        <v>Error?</v>
      </c>
    </row>
    <row r="285" spans="1:4" x14ac:dyDescent="0.2">
      <c r="A285" s="5">
        <v>224</v>
      </c>
      <c r="B285" s="1832">
        <f>'Assets-Liab 5-6'!N36</f>
        <v>1262530</v>
      </c>
      <c r="D285" s="2" t="str">
        <f t="shared" si="3"/>
        <v>Error?</v>
      </c>
    </row>
    <row r="286" spans="1:4" x14ac:dyDescent="0.2">
      <c r="A286" s="10">
        <v>225</v>
      </c>
      <c r="B286" s="1832"/>
      <c r="D286" s="2" t="str">
        <f t="shared" si="3"/>
        <v>OK</v>
      </c>
    </row>
    <row r="287" spans="1:4" x14ac:dyDescent="0.2">
      <c r="A287" s="5">
        <v>226</v>
      </c>
      <c r="B287" s="1832">
        <f>'Assets-Liab 5-6'!N37</f>
        <v>1262530</v>
      </c>
      <c r="C287" s="2" t="s">
        <v>569</v>
      </c>
      <c r="D287" s="2" t="str">
        <f t="shared" si="3"/>
        <v>Error?</v>
      </c>
    </row>
    <row r="288" spans="1:4" x14ac:dyDescent="0.2">
      <c r="A288" s="5">
        <v>227</v>
      </c>
      <c r="B288" s="1832">
        <f>'Assets-Liab 5-6'!N41</f>
        <v>1262530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1250000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952582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45044</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1134394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17076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17076</v>
      </c>
      <c r="C731" s="2" t="s">
        <v>569</v>
      </c>
      <c r="D731" s="2" t="str">
        <f t="shared" si="10"/>
        <v>Error?</v>
      </c>
    </row>
    <row r="732" spans="1:4" x14ac:dyDescent="0.2">
      <c r="A732" s="5">
        <v>671</v>
      </c>
      <c r="B732" s="1832">
        <f>'Expenditures 15-22'!C49</f>
        <v>1995</v>
      </c>
      <c r="D732" s="2" t="str">
        <f t="shared" si="10"/>
        <v>Error?</v>
      </c>
    </row>
    <row r="733" spans="1:4" x14ac:dyDescent="0.2">
      <c r="A733" s="5">
        <v>672</v>
      </c>
      <c r="B733" s="1832">
        <f>'Expenditures 15-22'!C50</f>
        <v>117829</v>
      </c>
      <c r="D733" s="2" t="str">
        <f t="shared" si="10"/>
        <v>Error?</v>
      </c>
    </row>
    <row r="734" spans="1:4" x14ac:dyDescent="0.2">
      <c r="A734" s="5">
        <v>673</v>
      </c>
      <c r="B734" s="1832">
        <f>'Expenditures 15-22'!C53</f>
        <v>119824</v>
      </c>
      <c r="C734" s="2" t="s">
        <v>569</v>
      </c>
      <c r="D734" s="2" t="str">
        <f t="shared" si="10"/>
        <v>Error?</v>
      </c>
    </row>
    <row r="735" spans="1:4" x14ac:dyDescent="0.2">
      <c r="A735" s="5">
        <v>674</v>
      </c>
      <c r="B735" s="1832">
        <f>'Expenditures 15-22'!C55</f>
        <v>48954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48954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48018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43083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91101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276955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1411349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152549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493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169722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11984</v>
      </c>
      <c r="D786" s="2" t="str">
        <f t="shared" si="11"/>
        <v>Error?</v>
      </c>
    </row>
    <row r="787" spans="1:4" x14ac:dyDescent="0.2">
      <c r="A787" s="5">
        <v>726</v>
      </c>
      <c r="B787" s="1832">
        <f>'Expenditures 15-22'!D45</f>
        <v>598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12582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32850</v>
      </c>
      <c r="D791" s="2" t="str">
        <f t="shared" si="11"/>
        <v>Error?</v>
      </c>
    </row>
    <row r="792" spans="1:4" x14ac:dyDescent="0.2">
      <c r="A792" s="5">
        <v>731</v>
      </c>
      <c r="B792" s="1832">
        <f>'Expenditures 15-22'!D53</f>
        <v>32850</v>
      </c>
      <c r="C792" s="2" t="s">
        <v>569</v>
      </c>
      <c r="D792" s="2" t="str">
        <f t="shared" si="11"/>
        <v>Error?</v>
      </c>
    </row>
    <row r="793" spans="1:4" x14ac:dyDescent="0.2">
      <c r="A793" s="5">
        <v>732</v>
      </c>
      <c r="B793" s="1832">
        <f>'Expenditures 15-22'!D55</f>
        <v>16196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16196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8223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3878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12101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73729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243451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21657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9812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31469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2291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20821</v>
      </c>
      <c r="D846" s="2" t="str">
        <f t="shared" si="12"/>
        <v>Error?</v>
      </c>
    </row>
    <row r="847" spans="1:4" x14ac:dyDescent="0.2">
      <c r="A847" s="5">
        <v>786</v>
      </c>
      <c r="B847" s="1832">
        <f>'Expenditures 15-22'!E47</f>
        <v>23112</v>
      </c>
      <c r="C847" s="2" t="s">
        <v>569</v>
      </c>
      <c r="D847" s="2" t="str">
        <f t="shared" si="12"/>
        <v>Error?</v>
      </c>
    </row>
    <row r="848" spans="1:4" x14ac:dyDescent="0.2">
      <c r="A848" s="5">
        <v>787</v>
      </c>
      <c r="B848" s="1832">
        <f>'Expenditures 15-22'!E49</f>
        <v>10978</v>
      </c>
      <c r="D848" s="2" t="str">
        <f t="shared" si="12"/>
        <v>Error?</v>
      </c>
    </row>
    <row r="849" spans="1:4" x14ac:dyDescent="0.2">
      <c r="A849" s="5">
        <v>788</v>
      </c>
      <c r="B849" s="1832">
        <f>'Expenditures 15-22'!E50</f>
        <v>8829</v>
      </c>
      <c r="D849" s="2" t="str">
        <f t="shared" si="12"/>
        <v>Error?</v>
      </c>
    </row>
    <row r="850" spans="1:4" x14ac:dyDescent="0.2">
      <c r="A850" s="5">
        <v>789</v>
      </c>
      <c r="B850" s="1832">
        <f>'Expenditures 15-22'!E53</f>
        <v>19807</v>
      </c>
      <c r="C850" s="2" t="s">
        <v>569</v>
      </c>
      <c r="D850" s="2" t="str">
        <f t="shared" si="12"/>
        <v>Error?</v>
      </c>
    </row>
    <row r="851" spans="1:4" x14ac:dyDescent="0.2">
      <c r="A851" s="5">
        <v>790</v>
      </c>
      <c r="B851" s="1832">
        <f>'Expenditures 15-22'!E55</f>
        <v>856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856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557</v>
      </c>
      <c r="D855" s="2" t="str">
        <f t="shared" si="12"/>
        <v>Error?</v>
      </c>
    </row>
    <row r="856" spans="1:4" x14ac:dyDescent="0.2">
      <c r="A856" s="5">
        <v>795</v>
      </c>
      <c r="B856" s="1832">
        <f>'Expenditures 15-22'!E61</f>
        <v>3683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742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4982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48757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99008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72118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2672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78018</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182</v>
      </c>
      <c r="D906" s="2" t="str">
        <f t="shared" si="13"/>
        <v>Error?</v>
      </c>
    </row>
    <row r="907" spans="1:4" x14ac:dyDescent="0.2">
      <c r="A907" s="5">
        <v>846</v>
      </c>
      <c r="B907" s="1832">
        <f>'Expenditures 15-22'!F50</f>
        <v>118</v>
      </c>
      <c r="D907" s="2" t="str">
        <f t="shared" si="13"/>
        <v>Error?</v>
      </c>
    </row>
    <row r="908" spans="1:4" x14ac:dyDescent="0.2">
      <c r="A908" s="5">
        <v>847</v>
      </c>
      <c r="B908" s="1832">
        <f>'Expenditures 15-22'!F53</f>
        <v>300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39612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39630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39930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117948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66378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66378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31159</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31159</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44000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44000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75159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141537</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37090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5065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42155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1547</v>
      </c>
      <c r="D1022" s="2" t="str">
        <f t="shared" si="14"/>
        <v>Error?</v>
      </c>
    </row>
    <row r="1023" spans="1:4" x14ac:dyDescent="0.2">
      <c r="A1023" s="5">
        <v>962</v>
      </c>
      <c r="B1023" s="1832">
        <f>'Expenditures 15-22'!H50</f>
        <v>961</v>
      </c>
      <c r="D1023" s="2" t="str">
        <f t="shared" ref="D1023:D1086" si="15">IF(ISBLANK(B1023),"OK",IF(A1023-B1023=0,"OK","Error?"))</f>
        <v>Error?</v>
      </c>
    </row>
    <row r="1024" spans="1:4" x14ac:dyDescent="0.2">
      <c r="A1024" s="5">
        <v>963</v>
      </c>
      <c r="B1024" s="1832">
        <f>'Expenditures 15-22'!H53</f>
        <v>2508</v>
      </c>
      <c r="C1024" s="2" t="s">
        <v>569</v>
      </c>
      <c r="D1024" s="2" t="str">
        <f t="shared" si="15"/>
        <v>Error?</v>
      </c>
    </row>
    <row r="1025" spans="1:4" x14ac:dyDescent="0.2">
      <c r="A1025" s="5">
        <v>964</v>
      </c>
      <c r="B1025" s="1832">
        <f>'Expenditures 15-22'!H55</f>
        <v>598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598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9250</v>
      </c>
      <c r="D1044" s="2" t="str">
        <f t="shared" si="15"/>
        <v>Error?</v>
      </c>
    </row>
    <row r="1045" spans="1:5" x14ac:dyDescent="0.2">
      <c r="A1045" s="5">
        <v>984</v>
      </c>
      <c r="B1045" s="1832">
        <f>'Expenditures 15-22'!H74</f>
        <v>12356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300459</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2649</v>
      </c>
      <c r="D1051" s="2" t="str">
        <f t="shared" si="15"/>
        <v>Error?</v>
      </c>
    </row>
    <row r="1052" spans="1:5" x14ac:dyDescent="0.2">
      <c r="A1052" s="10">
        <v>991</v>
      </c>
      <c r="B1052" s="1832"/>
      <c r="D1052" s="2" t="str">
        <f t="shared" si="15"/>
        <v>OK</v>
      </c>
    </row>
    <row r="1053" spans="1:5" x14ac:dyDescent="0.2">
      <c r="A1053" s="5">
        <v>992</v>
      </c>
      <c r="B1053" s="1832">
        <f>'Expenditures 15-22'!H110</f>
        <v>2649</v>
      </c>
      <c r="C1053" s="2" t="s">
        <v>569</v>
      </c>
      <c r="D1053" s="2" t="str">
        <f t="shared" si="15"/>
        <v>Error?</v>
      </c>
    </row>
    <row r="1054" spans="1:5" x14ac:dyDescent="0.2">
      <c r="A1054" s="5">
        <v>993</v>
      </c>
      <c r="B1054" s="1832">
        <f>'Expenditures 15-22'!H114</f>
        <v>357619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1302374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63086</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1522136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14275</v>
      </c>
      <c r="C1116" s="2" t="s">
        <v>569</v>
      </c>
      <c r="D1116" s="2" t="str">
        <f t="shared" si="16"/>
        <v>Error?</v>
      </c>
    </row>
    <row r="1117" spans="1:4" x14ac:dyDescent="0.2">
      <c r="A1117" s="5">
        <v>1056</v>
      </c>
      <c r="B1117" s="1832">
        <f>'Expenditures 15-22'!K45</f>
        <v>17674</v>
      </c>
      <c r="C1117" s="2" t="s">
        <v>569</v>
      </c>
      <c r="D1117" s="2" t="str">
        <f t="shared" si="16"/>
        <v>Error?</v>
      </c>
    </row>
    <row r="1118" spans="1:4" x14ac:dyDescent="0.2">
      <c r="A1118" s="5">
        <v>1057</v>
      </c>
      <c r="B1118" s="1832">
        <f>'Expenditures 15-22'!K46</f>
        <v>20821</v>
      </c>
      <c r="C1118" s="2" t="s">
        <v>569</v>
      </c>
      <c r="D1118" s="2" t="str">
        <f t="shared" si="16"/>
        <v>Error?</v>
      </c>
    </row>
    <row r="1119" spans="1:4" x14ac:dyDescent="0.2">
      <c r="A1119" s="5">
        <v>1058</v>
      </c>
      <c r="B1119" s="1832">
        <f>'Expenditures 15-22'!K47</f>
        <v>52770</v>
      </c>
      <c r="C1119" s="2" t="s">
        <v>569</v>
      </c>
      <c r="D1119" s="2" t="str">
        <f t="shared" si="16"/>
        <v>Error?</v>
      </c>
    </row>
    <row r="1120" spans="1:4" x14ac:dyDescent="0.2">
      <c r="A1120" s="5">
        <v>1059</v>
      </c>
      <c r="B1120" s="1832">
        <f>'Expenditures 15-22'!K49</f>
        <v>45861</v>
      </c>
      <c r="C1120" s="2" t="s">
        <v>569</v>
      </c>
      <c r="D1120" s="2" t="str">
        <f t="shared" si="16"/>
        <v>Error?</v>
      </c>
    </row>
    <row r="1121" spans="1:4" x14ac:dyDescent="0.2">
      <c r="A1121" s="5">
        <v>1060</v>
      </c>
      <c r="B1121" s="1832">
        <f>'Expenditures 15-22'!K50</f>
        <v>160587</v>
      </c>
      <c r="C1121" s="2" t="s">
        <v>569</v>
      </c>
      <c r="D1121" s="2" t="str">
        <f t="shared" si="16"/>
        <v>Error?</v>
      </c>
    </row>
    <row r="1122" spans="1:4" x14ac:dyDescent="0.2">
      <c r="A1122" s="5">
        <v>1061</v>
      </c>
      <c r="B1122" s="1832">
        <f>'Expenditures 15-22'!K53</f>
        <v>206448</v>
      </c>
      <c r="C1122" s="2" t="s">
        <v>569</v>
      </c>
      <c r="D1122" s="2" t="str">
        <f t="shared" si="16"/>
        <v>Error?</v>
      </c>
    </row>
    <row r="1123" spans="1:4" x14ac:dyDescent="0.2">
      <c r="A1123" s="5">
        <v>1062</v>
      </c>
      <c r="B1123" s="1832">
        <f>'Expenditures 15-22'!K55</f>
        <v>66604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66604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56816</v>
      </c>
      <c r="C1127" s="2" t="s">
        <v>569</v>
      </c>
      <c r="D1127" s="2" t="str">
        <f t="shared" si="16"/>
        <v>Error?</v>
      </c>
    </row>
    <row r="1128" spans="1:4" x14ac:dyDescent="0.2">
      <c r="A1128" s="5">
        <v>1067</v>
      </c>
      <c r="B1128" s="1832">
        <f>'Expenditures 15-22'!K61</f>
        <v>47683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87315</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191814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9250</v>
      </c>
      <c r="C1142" s="2" t="s">
        <v>569</v>
      </c>
      <c r="D1142" s="2" t="str">
        <f t="shared" si="16"/>
        <v>Error?</v>
      </c>
    </row>
    <row r="1143" spans="1:4" x14ac:dyDescent="0.2">
      <c r="A1143" s="5">
        <v>1082</v>
      </c>
      <c r="B1143" s="1832">
        <f>'Expenditures 15-22'!K74</f>
        <v>526886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319241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2649</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2649</v>
      </c>
      <c r="C1151" s="2" t="s">
        <v>569</v>
      </c>
      <c r="D1151" s="2" t="str">
        <f t="shared" ref="D1151:D1214" si="17">IF(ISBLANK(B1151),"OK",IF(A1151-B1151=0,"OK","Error?"))</f>
        <v>Error?</v>
      </c>
    </row>
    <row r="1152" spans="1:4" x14ac:dyDescent="0.2">
      <c r="A1152" s="5">
        <v>1091</v>
      </c>
      <c r="B1152" s="1832">
        <f>'Expenditures 15-22'!K114</f>
        <v>2370912</v>
      </c>
      <c r="C1152" s="2" t="s">
        <v>569</v>
      </c>
      <c r="D1152" s="2" t="str">
        <f t="shared" si="17"/>
        <v>Error?</v>
      </c>
    </row>
    <row r="1153" spans="1:4" x14ac:dyDescent="0.2">
      <c r="A1153" s="5">
        <v>1092</v>
      </c>
      <c r="B1153" s="1832">
        <f>'Expenditures 15-22'!K115</f>
        <v>-331992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57666</v>
      </c>
      <c r="D1221" s="2" t="str">
        <f t="shared" si="18"/>
        <v>Error?</v>
      </c>
    </row>
    <row r="1222" spans="1:4" x14ac:dyDescent="0.2">
      <c r="A1222" s="10">
        <v>1161</v>
      </c>
      <c r="B1222" s="1832"/>
      <c r="D1222" s="2" t="str">
        <f t="shared" si="18"/>
        <v>OK</v>
      </c>
    </row>
    <row r="1223" spans="1:4" x14ac:dyDescent="0.2">
      <c r="A1223" s="5">
        <v>1162</v>
      </c>
      <c r="B1223" s="1832">
        <f>'Expenditures 15-22'!C127</f>
        <v>57666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57666</v>
      </c>
      <c r="C1225" s="2" t="s">
        <v>569</v>
      </c>
      <c r="D1225" s="2" t="str">
        <f t="shared" si="18"/>
        <v>Error?</v>
      </c>
    </row>
    <row r="1226" spans="1:4" x14ac:dyDescent="0.2">
      <c r="A1226" s="5">
        <v>1165</v>
      </c>
      <c r="B1226" s="1832">
        <f>'Expenditures 15-22'!C151</f>
        <v>57666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6402</v>
      </c>
      <c r="D1229" s="2" t="str">
        <f t="shared" si="18"/>
        <v>Error?</v>
      </c>
    </row>
    <row r="1230" spans="1:4" x14ac:dyDescent="0.2">
      <c r="A1230" s="10">
        <v>1169</v>
      </c>
      <c r="B1230" s="1832"/>
      <c r="D1230" s="2" t="str">
        <f t="shared" si="18"/>
        <v>OK</v>
      </c>
    </row>
    <row r="1231" spans="1:4" x14ac:dyDescent="0.2">
      <c r="A1231" s="5">
        <v>1170</v>
      </c>
      <c r="B1231" s="1832">
        <f>'Expenditures 15-22'!D127</f>
        <v>6402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6402</v>
      </c>
      <c r="C1233" s="2" t="s">
        <v>569</v>
      </c>
      <c r="D1233" s="2" t="str">
        <f t="shared" si="18"/>
        <v>Error?</v>
      </c>
    </row>
    <row r="1234" spans="1:4" x14ac:dyDescent="0.2">
      <c r="A1234" s="5">
        <v>1173</v>
      </c>
      <c r="B1234" s="1832">
        <f>'Expenditures 15-22'!D151</f>
        <v>6402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38214</v>
      </c>
      <c r="D1237" s="2" t="str">
        <f t="shared" si="18"/>
        <v>Error?</v>
      </c>
    </row>
    <row r="1238" spans="1:4" x14ac:dyDescent="0.2">
      <c r="A1238" s="10">
        <v>1177</v>
      </c>
      <c r="B1238" s="1832"/>
      <c r="D1238" s="2" t="str">
        <f t="shared" si="18"/>
        <v>OK</v>
      </c>
    </row>
    <row r="1239" spans="1:4" x14ac:dyDescent="0.2">
      <c r="A1239" s="5">
        <v>1178</v>
      </c>
      <c r="B1239" s="1832">
        <f>'Expenditures 15-22'!E127</f>
        <v>38214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38214</v>
      </c>
      <c r="C1241" s="2" t="s">
        <v>569</v>
      </c>
      <c r="D1241" s="2" t="str">
        <f t="shared" si="18"/>
        <v>Error?</v>
      </c>
    </row>
    <row r="1242" spans="1:4" x14ac:dyDescent="0.2">
      <c r="A1242" s="5">
        <v>1181</v>
      </c>
      <c r="B1242" s="1832">
        <f>'Expenditures 15-22'!E151</f>
        <v>38214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47294</v>
      </c>
      <c r="D1245" s="2" t="str">
        <f t="shared" si="18"/>
        <v>Error?</v>
      </c>
    </row>
    <row r="1246" spans="1:4" x14ac:dyDescent="0.2">
      <c r="A1246" s="10">
        <v>1185</v>
      </c>
      <c r="B1246" s="1832"/>
      <c r="D1246" s="2" t="str">
        <f t="shared" si="18"/>
        <v>OK</v>
      </c>
    </row>
    <row r="1247" spans="1:4" x14ac:dyDescent="0.2">
      <c r="A1247" s="5">
        <v>1186</v>
      </c>
      <c r="B1247" s="1832">
        <f>'Expenditures 15-22'!F127</f>
        <v>47294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47294</v>
      </c>
      <c r="C1249" s="2" t="s">
        <v>569</v>
      </c>
      <c r="D1249" s="2" t="str">
        <f t="shared" si="18"/>
        <v>Error?</v>
      </c>
    </row>
    <row r="1250" spans="1:4" x14ac:dyDescent="0.2">
      <c r="A1250" s="5">
        <v>1189</v>
      </c>
      <c r="B1250" s="1832">
        <f>'Expenditures 15-22'!F151</f>
        <v>47294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45057</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45057</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45057</v>
      </c>
      <c r="C1258" s="2" t="s">
        <v>569</v>
      </c>
      <c r="D1258" s="2" t="str">
        <f t="shared" si="18"/>
        <v>Error?</v>
      </c>
    </row>
    <row r="1259" spans="1:4" x14ac:dyDescent="0.2">
      <c r="A1259" s="5">
        <v>1198</v>
      </c>
      <c r="B1259" s="1832">
        <f>'Expenditures 15-22'!G151</f>
        <v>45057</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194633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194633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194633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194633</v>
      </c>
      <c r="C1288" s="2" t="s">
        <v>569</v>
      </c>
      <c r="D1288" s="2" t="str">
        <f t="shared" si="19"/>
        <v>Error?</v>
      </c>
    </row>
    <row r="1289" spans="1:4" x14ac:dyDescent="0.2">
      <c r="A1289" s="5">
        <v>1228</v>
      </c>
      <c r="B1289" s="1832">
        <f>'Expenditures 15-22'!K152</f>
        <v>13689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1238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55000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56738</v>
      </c>
      <c r="C1317" s="2" t="s">
        <v>569</v>
      </c>
      <c r="D1317" s="2" t="str">
        <f t="shared" si="19"/>
        <v>Error?</v>
      </c>
    </row>
    <row r="1318" spans="1:4" x14ac:dyDescent="0.2">
      <c r="A1318" s="5">
        <v>1257</v>
      </c>
      <c r="B1318" s="1832">
        <f>'Expenditures 15-22'!H174</f>
        <v>56738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1238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55000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56738</v>
      </c>
      <c r="C1331" s="2" t="s">
        <v>569</v>
      </c>
      <c r="D1331" s="2" t="str">
        <f t="shared" si="19"/>
        <v>Error?</v>
      </c>
    </row>
    <row r="1332" spans="1:4" x14ac:dyDescent="0.2">
      <c r="A1332" s="5">
        <v>1271</v>
      </c>
      <c r="B1332" s="1832">
        <f>'Expenditures 15-22'!K174</f>
        <v>56738</v>
      </c>
      <c r="C1332" s="2" t="s">
        <v>569</v>
      </c>
      <c r="D1332" s="2" t="str">
        <f t="shared" si="19"/>
        <v>Error?</v>
      </c>
    </row>
    <row r="1333" spans="1:4" x14ac:dyDescent="0.2">
      <c r="A1333" s="5">
        <v>1272</v>
      </c>
      <c r="B1333" s="1832">
        <f>'Expenditures 15-22'!K175</f>
        <v>-48935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5534</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5534</v>
      </c>
      <c r="C1339" s="2" t="s">
        <v>569</v>
      </c>
      <c r="D1339" s="2" t="str">
        <f t="shared" si="19"/>
        <v>Error?</v>
      </c>
    </row>
    <row r="1340" spans="1:4" x14ac:dyDescent="0.2">
      <c r="A1340" s="5">
        <v>1279</v>
      </c>
      <c r="B1340" s="1832">
        <f>'Expenditures 15-22'!C210</f>
        <v>5534</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117766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117766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117766</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123300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123300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123300</v>
      </c>
      <c r="C1388" s="2" t="s">
        <v>569</v>
      </c>
      <c r="D1388" s="2" t="str">
        <f t="shared" si="20"/>
        <v>Error?</v>
      </c>
    </row>
    <row r="1389" spans="1:4" x14ac:dyDescent="0.2">
      <c r="A1389" s="5">
        <v>1328</v>
      </c>
      <c r="B1389" s="1832">
        <f>'Expenditures 15-22'!K211</f>
        <v>10964</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1786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39197</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3165</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3165</v>
      </c>
      <c r="C1421" s="2" t="s">
        <v>569</v>
      </c>
      <c r="D1421" s="2" t="str">
        <f t="shared" si="21"/>
        <v>Error?</v>
      </c>
    </row>
    <row r="1422" spans="1:4" x14ac:dyDescent="0.2">
      <c r="A1422" s="5">
        <v>1361</v>
      </c>
      <c r="B1422" s="1832">
        <f>'Expenditures 15-22'!D245</f>
        <v>153</v>
      </c>
      <c r="D1422" s="2" t="str">
        <f t="shared" si="21"/>
        <v>Error?</v>
      </c>
    </row>
    <row r="1423" spans="1:4" x14ac:dyDescent="0.2">
      <c r="A1423" s="5">
        <v>1362</v>
      </c>
      <c r="B1423" s="1832">
        <f>'Expenditures 15-22'!D246</f>
        <v>8064</v>
      </c>
      <c r="D1423" s="2" t="str">
        <f t="shared" si="21"/>
        <v>Error?</v>
      </c>
    </row>
    <row r="1424" spans="1:4" x14ac:dyDescent="0.2">
      <c r="A1424" s="5">
        <v>1363</v>
      </c>
      <c r="B1424" s="1832">
        <f>'Expenditures 15-22'!D257</f>
        <v>8804</v>
      </c>
      <c r="C1424" s="2" t="s">
        <v>569</v>
      </c>
      <c r="D1424" s="2" t="str">
        <f t="shared" si="21"/>
        <v>Error?</v>
      </c>
    </row>
    <row r="1425" spans="1:4" x14ac:dyDescent="0.2">
      <c r="A1425" s="5">
        <v>1364</v>
      </c>
      <c r="B1425" s="1832">
        <f>'Expenditures 15-22'!D259</f>
        <v>894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894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8583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10430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9172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28185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41048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87136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1786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39197</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3165</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3165</v>
      </c>
      <c r="C1485" s="2" t="s">
        <v>569</v>
      </c>
      <c r="D1485" s="2" t="str">
        <f t="shared" si="22"/>
        <v>Error?</v>
      </c>
    </row>
    <row r="1486" spans="1:4" x14ac:dyDescent="0.2">
      <c r="A1486" s="5">
        <v>1425</v>
      </c>
      <c r="B1486" s="1832">
        <f>'Expenditures 15-22'!K245</f>
        <v>153</v>
      </c>
      <c r="C1486" s="2" t="s">
        <v>569</v>
      </c>
      <c r="D1486" s="2" t="str">
        <f t="shared" si="22"/>
        <v>Error?</v>
      </c>
    </row>
    <row r="1487" spans="1:4" x14ac:dyDescent="0.2">
      <c r="A1487" s="5">
        <v>1426</v>
      </c>
      <c r="B1487" s="1832">
        <f>'Expenditures 15-22'!K246</f>
        <v>8064</v>
      </c>
      <c r="C1487" s="2" t="s">
        <v>569</v>
      </c>
      <c r="D1487" s="2" t="str">
        <f t="shared" si="22"/>
        <v>Error?</v>
      </c>
    </row>
    <row r="1488" spans="1:4" x14ac:dyDescent="0.2">
      <c r="A1488" s="5">
        <v>1427</v>
      </c>
      <c r="B1488" s="1832">
        <f>'Expenditures 15-22'!K257</f>
        <v>8804</v>
      </c>
      <c r="C1488" s="2" t="s">
        <v>569</v>
      </c>
      <c r="D1488" s="2" t="str">
        <f t="shared" si="22"/>
        <v>Error?</v>
      </c>
    </row>
    <row r="1489" spans="1:4" x14ac:dyDescent="0.2">
      <c r="A1489" s="5">
        <v>1428</v>
      </c>
      <c r="B1489" s="1832">
        <f>'Expenditures 15-22'!K259</f>
        <v>894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894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8583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10430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9172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28185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41048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87136</v>
      </c>
      <c r="C1517" s="2" t="s">
        <v>569</v>
      </c>
      <c r="D1517" s="2" t="str">
        <f t="shared" si="22"/>
        <v>Error?</v>
      </c>
    </row>
    <row r="1518" spans="1:4" x14ac:dyDescent="0.2">
      <c r="A1518" s="5">
        <v>1457</v>
      </c>
      <c r="B1518" s="1832">
        <f>'Expenditures 15-22'!K296</f>
        <v>-674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56889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56889</v>
      </c>
      <c r="C1547" s="2" t="s">
        <v>569</v>
      </c>
      <c r="D1547" s="2" t="str">
        <f t="shared" si="23"/>
        <v>Error?</v>
      </c>
    </row>
    <row r="1548" spans="1:4" x14ac:dyDescent="0.2">
      <c r="A1548" s="5">
        <v>1487</v>
      </c>
      <c r="B1548" s="1832">
        <f>'Expenditures 15-22'!G312</f>
        <v>56889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56889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56889</v>
      </c>
      <c r="C1559" s="2" t="s">
        <v>569</v>
      </c>
      <c r="D1559" s="2" t="str">
        <f t="shared" si="23"/>
        <v>Error?</v>
      </c>
    </row>
    <row r="1560" spans="1:4" x14ac:dyDescent="0.2">
      <c r="A1560" s="5">
        <v>1499</v>
      </c>
      <c r="B1560" s="1832">
        <f>'Expenditures 15-22'!K312</f>
        <v>56889</v>
      </c>
      <c r="C1560" s="2" t="s">
        <v>569</v>
      </c>
      <c r="D1560" s="2" t="str">
        <f t="shared" si="23"/>
        <v>Error?</v>
      </c>
    </row>
    <row r="1561" spans="1:4" x14ac:dyDescent="0.2">
      <c r="A1561" s="5">
        <v>1500</v>
      </c>
      <c r="B1561" s="1832">
        <f>'Expenditures 15-22'!K313</f>
        <v>40568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1752222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1454710</v>
      </c>
      <c r="C1630" s="2" t="s">
        <v>569</v>
      </c>
      <c r="D1630" s="2" t="str">
        <f t="shared" si="24"/>
        <v>Error?</v>
      </c>
    </row>
    <row r="1631" spans="1:4" x14ac:dyDescent="0.2">
      <c r="A1631" s="5">
        <v>1570</v>
      </c>
      <c r="B1631" s="1832">
        <f>'Acct Summary 7-8'!D79</f>
        <v>310506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649195</v>
      </c>
      <c r="C1644" s="2" t="s">
        <v>569</v>
      </c>
      <c r="D1644" s="2" t="str">
        <f t="shared" si="24"/>
        <v>Error?</v>
      </c>
    </row>
    <row r="1645" spans="1:4" x14ac:dyDescent="0.2">
      <c r="A1645" s="5">
        <v>1584</v>
      </c>
      <c r="B1645" s="1832">
        <f>'Acct Summary 7-8'!E79</f>
        <v>29656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186187</v>
      </c>
      <c r="C1658" s="2" t="s">
        <v>569</v>
      </c>
      <c r="D1658" s="2" t="str">
        <f t="shared" si="24"/>
        <v>Error?</v>
      </c>
    </row>
    <row r="1659" spans="1:4" x14ac:dyDescent="0.2">
      <c r="A1659" s="5">
        <v>1598</v>
      </c>
      <c r="B1659" s="1832">
        <f>'Acct Summary 7-8'!F79</f>
        <v>385482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271446</v>
      </c>
      <c r="C1672" s="2" t="s">
        <v>569</v>
      </c>
      <c r="D1672" s="2" t="str">
        <f t="shared" si="25"/>
        <v>Error?</v>
      </c>
    </row>
    <row r="1673" spans="1:4" x14ac:dyDescent="0.2">
      <c r="A1673" s="5">
        <v>1612</v>
      </c>
      <c r="B1673" s="1832">
        <f>'Acct Summary 7-8'!G79</f>
        <v>-9152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-9826</v>
      </c>
      <c r="C1686" s="2" t="s">
        <v>569</v>
      </c>
      <c r="D1686" s="2" t="str">
        <f t="shared" si="25"/>
        <v>Error?</v>
      </c>
    </row>
    <row r="1687" spans="1:4" x14ac:dyDescent="0.2">
      <c r="A1687" s="5">
        <v>1626</v>
      </c>
      <c r="B1687" s="1832">
        <f>'Acct Summary 7-8'!H79</f>
        <v>90482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1381050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927191</v>
      </c>
      <c r="C1744" s="2" t="s">
        <v>569</v>
      </c>
      <c r="D1744" s="2" t="str">
        <f t="shared" si="26"/>
        <v>Error?</v>
      </c>
    </row>
    <row r="1745" spans="1:5" x14ac:dyDescent="0.2">
      <c r="A1745" s="5">
        <v>1684</v>
      </c>
      <c r="B1745" s="1832">
        <f>'Tax Sched 23'!B5</f>
        <v>119485</v>
      </c>
      <c r="C1745" s="2" t="s">
        <v>569</v>
      </c>
      <c r="D1745" s="2" t="str">
        <f t="shared" si="26"/>
        <v>Error?</v>
      </c>
    </row>
    <row r="1746" spans="1:5" x14ac:dyDescent="0.2">
      <c r="A1746" s="5">
        <v>1685</v>
      </c>
      <c r="B1746" s="1832">
        <f>'Tax Sched 23'!B6</f>
        <v>7767</v>
      </c>
      <c r="C1746" s="2" t="s">
        <v>569</v>
      </c>
      <c r="D1746" s="2" t="str">
        <f t="shared" si="26"/>
        <v>Error?</v>
      </c>
    </row>
    <row r="1747" spans="1:5" x14ac:dyDescent="0.2">
      <c r="A1747" s="5">
        <v>1686</v>
      </c>
      <c r="B1747" s="1832">
        <f>'Tax Sched 23'!B7</f>
        <v>85197</v>
      </c>
      <c r="C1747" s="2" t="s">
        <v>569</v>
      </c>
      <c r="D1747" s="2" t="str">
        <f t="shared" si="26"/>
        <v>Error?</v>
      </c>
    </row>
    <row r="1748" spans="1:5" x14ac:dyDescent="0.2">
      <c r="A1748" s="5">
        <v>1687</v>
      </c>
      <c r="B1748" s="1832">
        <f>'Tax Sched 23'!B8</f>
        <v>33231</v>
      </c>
      <c r="C1748" s="2" t="s">
        <v>569</v>
      </c>
      <c r="D1748" s="2" t="str">
        <f t="shared" si="26"/>
        <v>Error?</v>
      </c>
    </row>
    <row r="1749" spans="1:5" x14ac:dyDescent="0.2">
      <c r="A1749" s="5">
        <v>1688</v>
      </c>
      <c r="B1749" s="1832">
        <f>'Tax Sched 23'!B10</f>
        <v>23899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259776</v>
      </c>
      <c r="C1752" s="2" t="s">
        <v>569</v>
      </c>
      <c r="D1752" s="2" t="str">
        <f t="shared" si="26"/>
        <v>Error?</v>
      </c>
    </row>
    <row r="1753" spans="1:5" x14ac:dyDescent="0.2">
      <c r="A1753" s="5">
        <v>1692</v>
      </c>
      <c r="B1753" s="1832">
        <f>'Tax Sched 23'!B12</f>
        <v>23899</v>
      </c>
      <c r="C1753" s="2" t="s">
        <v>569</v>
      </c>
      <c r="D1753" s="2" t="str">
        <f t="shared" si="26"/>
        <v>Error?</v>
      </c>
    </row>
    <row r="1754" spans="1:5" x14ac:dyDescent="0.2">
      <c r="A1754" s="5">
        <v>1693</v>
      </c>
      <c r="B1754" s="1832">
        <f>'Tax Sched 23'!B14</f>
        <v>9562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1547137</v>
      </c>
      <c r="C1759" s="2" t="s">
        <v>569</v>
      </c>
      <c r="D1759" s="2" t="str">
        <f t="shared" si="26"/>
        <v>Error?</v>
      </c>
    </row>
    <row r="1760" spans="1:5" x14ac:dyDescent="0.2">
      <c r="A1760" s="5">
        <v>1699</v>
      </c>
      <c r="B1760" s="1832">
        <f>'Tax Sched 23'!D4</f>
        <v>504011</v>
      </c>
      <c r="C1760" s="2" t="s">
        <v>569</v>
      </c>
      <c r="D1760" s="2" t="str">
        <f t="shared" si="26"/>
        <v>Error?</v>
      </c>
    </row>
    <row r="1761" spans="1:7" x14ac:dyDescent="0.2">
      <c r="A1761" s="5">
        <v>1700</v>
      </c>
      <c r="B1761" s="1832">
        <f>'Tax Sched 23'!D5</f>
        <v>64950</v>
      </c>
      <c r="C1761" s="2" t="s">
        <v>569</v>
      </c>
      <c r="D1761" s="2" t="str">
        <f t="shared" si="26"/>
        <v>Error?</v>
      </c>
    </row>
    <row r="1762" spans="1:7" s="8" customFormat="1" x14ac:dyDescent="0.2">
      <c r="A1762" s="5">
        <v>1701</v>
      </c>
      <c r="B1762" s="1832">
        <f>'Tax Sched 23'!D6</f>
        <v>7767</v>
      </c>
      <c r="C1762" s="2" t="s">
        <v>569</v>
      </c>
      <c r="D1762" s="2" t="str">
        <f t="shared" si="26"/>
        <v>Error?</v>
      </c>
      <c r="E1762" s="9"/>
      <c r="G1762"/>
    </row>
    <row r="1763" spans="1:7" x14ac:dyDescent="0.2">
      <c r="A1763" s="5">
        <v>1702</v>
      </c>
      <c r="B1763" s="1832">
        <f>'Tax Sched 23'!D7</f>
        <v>41570</v>
      </c>
      <c r="C1763" s="2" t="s">
        <v>569</v>
      </c>
      <c r="D1763" s="2" t="str">
        <f t="shared" si="26"/>
        <v>Error?</v>
      </c>
    </row>
    <row r="1764" spans="1:7" x14ac:dyDescent="0.2">
      <c r="A1764" s="5">
        <v>1703</v>
      </c>
      <c r="B1764" s="1832">
        <f>'Tax Sched 23'!D8</f>
        <v>17088</v>
      </c>
      <c r="C1764" s="2" t="s">
        <v>569</v>
      </c>
      <c r="D1764" s="2" t="str">
        <f t="shared" si="26"/>
        <v>Error?</v>
      </c>
    </row>
    <row r="1765" spans="1:7" x14ac:dyDescent="0.2">
      <c r="A1765" s="5">
        <v>1704</v>
      </c>
      <c r="B1765" s="1832">
        <f>'Tax Sched 23'!D10</f>
        <v>12991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139802</v>
      </c>
      <c r="C1768" s="2" t="s">
        <v>569</v>
      </c>
      <c r="D1768" s="2" t="str">
        <f t="shared" si="26"/>
        <v>Error?</v>
      </c>
    </row>
    <row r="1769" spans="1:7" x14ac:dyDescent="0.2">
      <c r="A1769" s="5">
        <v>1708</v>
      </c>
      <c r="B1769" s="1832">
        <f>'Tax Sched 23'!D12</f>
        <v>12991</v>
      </c>
      <c r="C1769" s="2" t="s">
        <v>569</v>
      </c>
      <c r="D1769" s="2" t="str">
        <f t="shared" si="26"/>
        <v>Error?</v>
      </c>
    </row>
    <row r="1770" spans="1:7" x14ac:dyDescent="0.2">
      <c r="A1770" s="5">
        <v>1709</v>
      </c>
      <c r="B1770" s="1832">
        <f>'Tax Sched 23'!D14</f>
        <v>5198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836447</v>
      </c>
      <c r="C1775" s="2" t="s">
        <v>569</v>
      </c>
      <c r="D1775" s="2" t="str">
        <f t="shared" si="26"/>
        <v>Error?</v>
      </c>
    </row>
    <row r="1776" spans="1:7" x14ac:dyDescent="0.2">
      <c r="A1776" s="5">
        <v>1715</v>
      </c>
      <c r="B1776" s="1832">
        <f>'Tax Sched 23'!C4</f>
        <v>423180</v>
      </c>
      <c r="D1776" s="2" t="str">
        <f t="shared" si="26"/>
        <v>Error?</v>
      </c>
    </row>
    <row r="1777" spans="1:4" x14ac:dyDescent="0.2">
      <c r="A1777" s="5">
        <v>1716</v>
      </c>
      <c r="B1777" s="1832">
        <f>'Tax Sched 23'!C5</f>
        <v>54535</v>
      </c>
      <c r="D1777" s="2" t="str">
        <f t="shared" si="26"/>
        <v>Error?</v>
      </c>
    </row>
    <row r="1778" spans="1:4" x14ac:dyDescent="0.2">
      <c r="A1778" s="5">
        <v>1717</v>
      </c>
      <c r="B1778" s="1832">
        <f>'Tax Sched 23'!C6</f>
        <v>0</v>
      </c>
      <c r="D1778" s="2" t="str">
        <f t="shared" si="26"/>
        <v>Error?</v>
      </c>
    </row>
    <row r="1779" spans="1:4" x14ac:dyDescent="0.2">
      <c r="A1779" s="5">
        <v>1718</v>
      </c>
      <c r="B1779" s="1832">
        <f>'Tax Sched 23'!C7</f>
        <v>43627</v>
      </c>
      <c r="D1779" s="2" t="str">
        <f t="shared" si="26"/>
        <v>Error?</v>
      </c>
    </row>
    <row r="1780" spans="1:4" x14ac:dyDescent="0.2">
      <c r="A1780" s="5">
        <v>1719</v>
      </c>
      <c r="B1780" s="1832">
        <f>'Tax Sched 23'!C8</f>
        <v>16143</v>
      </c>
      <c r="D1780" s="2" t="str">
        <f t="shared" si="26"/>
        <v>Error?</v>
      </c>
    </row>
    <row r="1781" spans="1:4" x14ac:dyDescent="0.2">
      <c r="A1781" s="5">
        <v>1720</v>
      </c>
      <c r="B1781" s="1832">
        <f>'Tax Sched 23'!C10</f>
        <v>10908</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119974</v>
      </c>
      <c r="D1784" s="2" t="str">
        <f t="shared" si="26"/>
        <v>Error?</v>
      </c>
    </row>
    <row r="1785" spans="1:4" x14ac:dyDescent="0.2">
      <c r="A1785" s="5">
        <v>1724</v>
      </c>
      <c r="B1785" s="1832">
        <f>'Tax Sched 23'!C12</f>
        <v>10908</v>
      </c>
      <c r="D1785" s="2" t="str">
        <f t="shared" si="26"/>
        <v>Error?</v>
      </c>
    </row>
    <row r="1786" spans="1:4" x14ac:dyDescent="0.2">
      <c r="A1786" s="5">
        <v>1725</v>
      </c>
      <c r="B1786" s="1832">
        <f>'Tax Sched 23'!C14</f>
        <v>4364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710690</v>
      </c>
      <c r="C1791" s="2" t="s">
        <v>569</v>
      </c>
      <c r="D1791" s="2" t="str">
        <f t="shared" ref="D1791:D1854" si="27">IF(ISBLANK(B1791),"OK",IF(A1791-B1791=0,"OK","Error?"))</f>
        <v>Error?</v>
      </c>
    </row>
    <row r="1792" spans="1:4" x14ac:dyDescent="0.2">
      <c r="A1792" s="5">
        <v>1731</v>
      </c>
      <c r="B1792" s="1832">
        <f>'Tax Sched 23'!F4</f>
        <v>546820</v>
      </c>
      <c r="C1792" s="2" t="s">
        <v>569</v>
      </c>
      <c r="D1792" s="2" t="str">
        <f t="shared" si="27"/>
        <v>Error?</v>
      </c>
    </row>
    <row r="1793" spans="1:4" x14ac:dyDescent="0.2">
      <c r="A1793" s="5">
        <v>1732</v>
      </c>
      <c r="B1793" s="1832">
        <f>'Tax Sched 23'!F5</f>
        <v>70469</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56373</v>
      </c>
      <c r="C1795" s="2" t="s">
        <v>569</v>
      </c>
      <c r="D1795" s="2" t="str">
        <f t="shared" si="27"/>
        <v>Error?</v>
      </c>
    </row>
    <row r="1796" spans="1:4" x14ac:dyDescent="0.2">
      <c r="A1796" s="5">
        <v>1735</v>
      </c>
      <c r="B1796" s="1832">
        <f>'Tax Sched 23'!F8</f>
        <v>20861</v>
      </c>
      <c r="C1796" s="2" t="s">
        <v>569</v>
      </c>
      <c r="D1796" s="2" t="str">
        <f t="shared" si="27"/>
        <v>Error?</v>
      </c>
    </row>
    <row r="1797" spans="1:4" x14ac:dyDescent="0.2">
      <c r="A1797" s="5">
        <v>1736</v>
      </c>
      <c r="B1797" s="1832">
        <f>'Tax Sched 23'!F10</f>
        <v>14096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155028</v>
      </c>
      <c r="C1800" s="2" t="s">
        <v>569</v>
      </c>
      <c r="D1800" s="2" t="str">
        <f t="shared" si="27"/>
        <v>Error?</v>
      </c>
    </row>
    <row r="1801" spans="1:4" x14ac:dyDescent="0.2">
      <c r="A1801" s="5">
        <v>1740</v>
      </c>
      <c r="B1801" s="1832">
        <f>'Tax Sched 23'!F12</f>
        <v>14096</v>
      </c>
      <c r="C1801" s="2" t="s">
        <v>569</v>
      </c>
      <c r="D1801" s="2" t="str">
        <f t="shared" si="27"/>
        <v>Error?</v>
      </c>
    </row>
    <row r="1802" spans="1:4" x14ac:dyDescent="0.2">
      <c r="A1802" s="5">
        <v>1741</v>
      </c>
      <c r="B1802" s="1832">
        <f>'Tax Sched 23'!F14</f>
        <v>5639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918339</v>
      </c>
      <c r="C1807" s="2" t="s">
        <v>569</v>
      </c>
      <c r="D1807" s="2" t="str">
        <f t="shared" si="27"/>
        <v>Error?</v>
      </c>
    </row>
    <row r="1808" spans="1:4" x14ac:dyDescent="0.2">
      <c r="A1808" s="5">
        <v>1747</v>
      </c>
      <c r="B1808" s="1832">
        <f>'Tax Sched 23'!E4</f>
        <v>970000</v>
      </c>
      <c r="D1808" s="2" t="str">
        <f t="shared" si="27"/>
        <v>Error?</v>
      </c>
    </row>
    <row r="1809" spans="1:4" x14ac:dyDescent="0.2">
      <c r="A1809" s="5">
        <v>1748</v>
      </c>
      <c r="B1809" s="1832">
        <f>'Tax Sched 23'!E5</f>
        <v>125004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100000</v>
      </c>
      <c r="D1811" s="2" t="str">
        <f t="shared" si="27"/>
        <v>Error?</v>
      </c>
    </row>
    <row r="1812" spans="1:4" x14ac:dyDescent="0.2">
      <c r="A1812" s="5">
        <v>1751</v>
      </c>
      <c r="B1812" s="1832">
        <f>'Tax Sched 23'!E8</f>
        <v>37004</v>
      </c>
      <c r="D1812" s="2" t="str">
        <f t="shared" si="27"/>
        <v>Error?</v>
      </c>
    </row>
    <row r="1813" spans="1:4" x14ac:dyDescent="0.2">
      <c r="A1813" s="5">
        <v>1752</v>
      </c>
      <c r="B1813" s="1832">
        <f>'Tax Sched 23'!E10</f>
        <v>25004</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275002</v>
      </c>
      <c r="D1816" s="2" t="str">
        <f t="shared" si="27"/>
        <v>Error?</v>
      </c>
    </row>
    <row r="1817" spans="1:4" x14ac:dyDescent="0.2">
      <c r="A1817" s="5">
        <v>1756</v>
      </c>
      <c r="B1817" s="1832">
        <f>'Tax Sched 23'!E12</f>
        <v>25004</v>
      </c>
      <c r="D1817" s="2" t="str">
        <f t="shared" si="27"/>
        <v>Error?</v>
      </c>
    </row>
    <row r="1818" spans="1:4" x14ac:dyDescent="0.2">
      <c r="A1818" s="5">
        <v>1757</v>
      </c>
      <c r="B1818" s="1832">
        <f>'Tax Sched 23'!E14</f>
        <v>10003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1629029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62983</v>
      </c>
      <c r="C1939" s="2" t="s">
        <v>569</v>
      </c>
      <c r="D1939" s="2" t="str">
        <f t="shared" si="29"/>
        <v>Error?</v>
      </c>
    </row>
    <row r="1940" spans="1:5" x14ac:dyDescent="0.2">
      <c r="A1940" s="5">
        <v>1879</v>
      </c>
      <c r="B1940" s="1832">
        <f>'Short-Term Long-Term Debt 24'!F49</f>
        <v>1275000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9562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9562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9562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16025</v>
      </c>
      <c r="D2008" s="2" t="str">
        <f t="shared" si="30"/>
        <v>Error?</v>
      </c>
    </row>
    <row r="2009" spans="1:4" x14ac:dyDescent="0.2">
      <c r="A2009" s="5">
        <v>1948</v>
      </c>
      <c r="B2009" s="1832">
        <f>'Cap Outlay Deprec 26'!C8</f>
        <v>1920880</v>
      </c>
      <c r="D2009" s="2" t="str">
        <f t="shared" si="30"/>
        <v>Error?</v>
      </c>
    </row>
    <row r="2010" spans="1:4" x14ac:dyDescent="0.2">
      <c r="A2010" s="5">
        <v>1949</v>
      </c>
      <c r="B2010" s="1832">
        <f>'Cap Outlay Deprec 26'!C10</f>
        <v>612120</v>
      </c>
      <c r="D2010" s="2" t="str">
        <f t="shared" si="30"/>
        <v>Error?</v>
      </c>
    </row>
    <row r="2011" spans="1:4" x14ac:dyDescent="0.2">
      <c r="A2011" s="5">
        <v>1950</v>
      </c>
      <c r="B2011" s="1832">
        <f>'Cap Outlay Deprec 26'!C12</f>
        <v>179746</v>
      </c>
      <c r="D2011" s="2" t="str">
        <f t="shared" si="30"/>
        <v>Error?</v>
      </c>
    </row>
    <row r="2012" spans="1:4" x14ac:dyDescent="0.2">
      <c r="A2012" s="5">
        <v>1951</v>
      </c>
      <c r="B2012" s="1832">
        <f>'Cap Outlay Deprec 26'!C13</f>
        <v>125347</v>
      </c>
      <c r="D2012" s="2" t="str">
        <f t="shared" si="30"/>
        <v>Error?</v>
      </c>
    </row>
    <row r="2013" spans="1:4" x14ac:dyDescent="0.2">
      <c r="A2013" s="5">
        <v>1952</v>
      </c>
      <c r="B2013" s="1832">
        <f>'Cap Outlay Deprec 26'!C16</f>
        <v>2854118</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54852</v>
      </c>
      <c r="D2016" s="2" t="str">
        <f t="shared" si="30"/>
        <v>Error?</v>
      </c>
    </row>
    <row r="2017" spans="1:4" x14ac:dyDescent="0.2">
      <c r="A2017" s="5">
        <v>1956</v>
      </c>
      <c r="B2017" s="1832">
        <f>'Cap Outlay Deprec 26'!D12</f>
        <v>14904</v>
      </c>
      <c r="D2017" s="2" t="str">
        <f t="shared" si="30"/>
        <v>Error?</v>
      </c>
    </row>
    <row r="2018" spans="1:4" x14ac:dyDescent="0.2">
      <c r="A2018" s="5">
        <v>1957</v>
      </c>
      <c r="B2018" s="1832">
        <f>'Cap Outlay Deprec 26'!D13</f>
        <v>57074</v>
      </c>
      <c r="D2018" s="2" t="str">
        <f t="shared" si="30"/>
        <v>Error?</v>
      </c>
    </row>
    <row r="2019" spans="1:4" x14ac:dyDescent="0.2">
      <c r="A2019" s="5">
        <v>1958</v>
      </c>
      <c r="B2019" s="1832">
        <f>'Cap Outlay Deprec 26'!D16</f>
        <v>249153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11270</v>
      </c>
      <c r="D2022" s="2" t="str">
        <f t="shared" si="30"/>
        <v>Error?</v>
      </c>
    </row>
    <row r="2023" spans="1:4" x14ac:dyDescent="0.2">
      <c r="A2023" s="5">
        <v>1962</v>
      </c>
      <c r="B2023" s="1832">
        <f>'Cap Outlay Deprec 26'!E12</f>
        <v>12689</v>
      </c>
      <c r="D2023" s="2" t="str">
        <f t="shared" si="30"/>
        <v>Error?</v>
      </c>
    </row>
    <row r="2024" spans="1:4" x14ac:dyDescent="0.2">
      <c r="A2024" s="5">
        <v>1963</v>
      </c>
      <c r="B2024" s="1832">
        <f>'Cap Outlay Deprec 26'!E13</f>
        <v>17688</v>
      </c>
      <c r="D2024" s="2" t="str">
        <f t="shared" si="30"/>
        <v>Error?</v>
      </c>
    </row>
    <row r="2025" spans="1:4" x14ac:dyDescent="0.2">
      <c r="A2025" s="5">
        <v>1964</v>
      </c>
      <c r="B2025" s="1832">
        <f>'Cap Outlay Deprec 26'!E16</f>
        <v>41647</v>
      </c>
      <c r="C2025" s="2" t="s">
        <v>569</v>
      </c>
      <c r="D2025" s="2" t="str">
        <f t="shared" si="30"/>
        <v>Error?</v>
      </c>
    </row>
    <row r="2026" spans="1:4" x14ac:dyDescent="0.2">
      <c r="A2026" s="5">
        <v>1965</v>
      </c>
      <c r="B2026" s="1832">
        <f>'Cap Outlay Deprec 26'!F5</f>
        <v>16025</v>
      </c>
      <c r="C2026" s="2" t="s">
        <v>569</v>
      </c>
      <c r="D2026" s="2" t="str">
        <f t="shared" si="30"/>
        <v>Error?</v>
      </c>
    </row>
    <row r="2027" spans="1:4" x14ac:dyDescent="0.2">
      <c r="A2027" s="5">
        <v>1966</v>
      </c>
      <c r="B2027" s="1832">
        <f>'Cap Outlay Deprec 26'!F8</f>
        <v>1920880</v>
      </c>
      <c r="C2027" s="2" t="s">
        <v>569</v>
      </c>
      <c r="D2027" s="2" t="str">
        <f t="shared" si="30"/>
        <v>Error?</v>
      </c>
    </row>
    <row r="2028" spans="1:4" x14ac:dyDescent="0.2">
      <c r="A2028" s="5">
        <v>1967</v>
      </c>
      <c r="B2028" s="1832">
        <f>'Cap Outlay Deprec 26'!F10</f>
        <v>655702</v>
      </c>
      <c r="C2028" s="2" t="s">
        <v>569</v>
      </c>
      <c r="D2028" s="2" t="str">
        <f t="shared" si="30"/>
        <v>Error?</v>
      </c>
    </row>
    <row r="2029" spans="1:4" x14ac:dyDescent="0.2">
      <c r="A2029" s="5">
        <v>1968</v>
      </c>
      <c r="B2029" s="1832">
        <f>'Cap Outlay Deprec 26'!F12</f>
        <v>181961</v>
      </c>
      <c r="C2029" s="2" t="s">
        <v>569</v>
      </c>
      <c r="D2029" s="2" t="str">
        <f t="shared" si="30"/>
        <v>Error?</v>
      </c>
    </row>
    <row r="2030" spans="1:4" x14ac:dyDescent="0.2">
      <c r="A2030" s="5">
        <v>1969</v>
      </c>
      <c r="B2030" s="1832">
        <f>'Cap Outlay Deprec 26'!F13</f>
        <v>164733</v>
      </c>
      <c r="C2030" s="2" t="s">
        <v>569</v>
      </c>
      <c r="D2030" s="2" t="str">
        <f t="shared" si="30"/>
        <v>Error?</v>
      </c>
    </row>
    <row r="2031" spans="1:4" x14ac:dyDescent="0.2">
      <c r="A2031" s="5">
        <v>1970</v>
      </c>
      <c r="B2031" s="1832">
        <f>'Cap Outlay Deprec 26'!F16</f>
        <v>3061624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1228603</v>
      </c>
      <c r="D2033" s="2" t="str">
        <f t="shared" si="30"/>
        <v>Error?</v>
      </c>
    </row>
    <row r="2034" spans="1:4" x14ac:dyDescent="0.2">
      <c r="A2034" s="5">
        <v>1973</v>
      </c>
      <c r="B2034" s="1832">
        <f>'Cap Outlay Deprec 26'!H10</f>
        <v>160156</v>
      </c>
      <c r="D2034" s="2" t="str">
        <f t="shared" si="30"/>
        <v>Error?</v>
      </c>
    </row>
    <row r="2035" spans="1:4" x14ac:dyDescent="0.2">
      <c r="A2035" s="5">
        <v>1974</v>
      </c>
      <c r="B2035" s="1832">
        <f>'Cap Outlay Deprec 26'!H12</f>
        <v>85011</v>
      </c>
      <c r="D2035" s="2" t="str">
        <f t="shared" si="30"/>
        <v>Error?</v>
      </c>
    </row>
    <row r="2036" spans="1:4" x14ac:dyDescent="0.2">
      <c r="A2036" s="5">
        <v>1975</v>
      </c>
      <c r="B2036" s="1832">
        <f>'Cap Outlay Deprec 26'!H13</f>
        <v>73085</v>
      </c>
      <c r="D2036" s="2" t="str">
        <f t="shared" si="30"/>
        <v>Error?</v>
      </c>
    </row>
    <row r="2037" spans="1:4" x14ac:dyDescent="0.2">
      <c r="A2037" s="5">
        <v>1976</v>
      </c>
      <c r="B2037" s="1832">
        <f>'Cap Outlay Deprec 26'!H16</f>
        <v>1546855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25238</v>
      </c>
      <c r="D2039" s="2" t="str">
        <f t="shared" si="30"/>
        <v>Error?</v>
      </c>
    </row>
    <row r="2040" spans="1:4" x14ac:dyDescent="0.2">
      <c r="A2040" s="5">
        <v>1979</v>
      </c>
      <c r="B2040" s="1832">
        <f>'Cap Outlay Deprec 26'!I10</f>
        <v>32787</v>
      </c>
      <c r="D2040" s="2" t="str">
        <f t="shared" si="30"/>
        <v>Error?</v>
      </c>
    </row>
    <row r="2041" spans="1:4" x14ac:dyDescent="0.2">
      <c r="A2041" s="5">
        <v>1980</v>
      </c>
      <c r="B2041" s="1832">
        <f>'Cap Outlay Deprec 26'!I12</f>
        <v>18195</v>
      </c>
      <c r="D2041" s="2" t="str">
        <f t="shared" si="30"/>
        <v>Error?</v>
      </c>
    </row>
    <row r="2042" spans="1:4" x14ac:dyDescent="0.2">
      <c r="A2042" s="5">
        <v>1981</v>
      </c>
      <c r="B2042" s="1832">
        <f>'Cap Outlay Deprec 26'!I13</f>
        <v>32945</v>
      </c>
      <c r="D2042" s="2" t="str">
        <f t="shared" si="30"/>
        <v>Error?</v>
      </c>
    </row>
    <row r="2043" spans="1:4" x14ac:dyDescent="0.2">
      <c r="A2043" s="5">
        <v>1982</v>
      </c>
      <c r="B2043" s="1832">
        <f>'Cap Outlay Deprec 26'!I16</f>
        <v>109165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11270</v>
      </c>
      <c r="D2046" s="2" t="str">
        <f t="shared" si="30"/>
        <v>Error?</v>
      </c>
    </row>
    <row r="2047" spans="1:4" x14ac:dyDescent="0.2">
      <c r="A2047" s="5">
        <v>1986</v>
      </c>
      <c r="B2047" s="1832">
        <f>'Cap Outlay Deprec 26'!J12</f>
        <v>12689</v>
      </c>
      <c r="D2047" s="2" t="str">
        <f t="shared" ref="D2047:D2110" si="31">IF(ISBLANK(B2047),"OK",IF(A2047-B2047=0,"OK","Error?"))</f>
        <v>Error?</v>
      </c>
    </row>
    <row r="2048" spans="1:4" x14ac:dyDescent="0.2">
      <c r="A2048" s="5">
        <v>1987</v>
      </c>
      <c r="B2048" s="1832">
        <f>'Cap Outlay Deprec 26'!J13</f>
        <v>17688</v>
      </c>
      <c r="D2048" s="2" t="str">
        <f t="shared" si="31"/>
        <v>Error?</v>
      </c>
    </row>
    <row r="2049" spans="1:4" x14ac:dyDescent="0.2">
      <c r="A2049" s="5">
        <v>1988</v>
      </c>
      <c r="B2049" s="1832">
        <f>'Cap Outlay Deprec 26'!J16</f>
        <v>41647</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1253841</v>
      </c>
      <c r="C2051" s="2" t="s">
        <v>569</v>
      </c>
      <c r="D2051" s="2" t="str">
        <f t="shared" si="31"/>
        <v>Error?</v>
      </c>
    </row>
    <row r="2052" spans="1:4" x14ac:dyDescent="0.2">
      <c r="A2052" s="5">
        <v>1991</v>
      </c>
      <c r="B2052" s="1832">
        <f>'Cap Outlay Deprec 26'!K10</f>
        <v>181673</v>
      </c>
      <c r="C2052" s="2" t="s">
        <v>569</v>
      </c>
      <c r="D2052" s="2" t="str">
        <f t="shared" si="31"/>
        <v>Error?</v>
      </c>
    </row>
    <row r="2053" spans="1:4" x14ac:dyDescent="0.2">
      <c r="A2053" s="5">
        <v>1992</v>
      </c>
      <c r="B2053" s="1832">
        <f>'Cap Outlay Deprec 26'!K12</f>
        <v>90517</v>
      </c>
      <c r="C2053" s="2" t="s">
        <v>569</v>
      </c>
      <c r="D2053" s="2" t="str">
        <f t="shared" si="31"/>
        <v>Error?</v>
      </c>
    </row>
    <row r="2054" spans="1:4" x14ac:dyDescent="0.2">
      <c r="A2054" s="5">
        <v>1993</v>
      </c>
      <c r="B2054" s="1832">
        <f>'Cap Outlay Deprec 26'!K13</f>
        <v>88342</v>
      </c>
      <c r="C2054" s="2" t="s">
        <v>569</v>
      </c>
      <c r="D2054" s="2" t="str">
        <f t="shared" si="31"/>
        <v>Error?</v>
      </c>
    </row>
    <row r="2055" spans="1:4" x14ac:dyDescent="0.2">
      <c r="A2055" s="5">
        <v>1994</v>
      </c>
      <c r="B2055" s="1832">
        <f>'Cap Outlay Deprec 26'!K16</f>
        <v>1614373</v>
      </c>
      <c r="C2055" s="2" t="s">
        <v>569</v>
      </c>
      <c r="D2055" s="2" t="str">
        <f t="shared" si="31"/>
        <v>Error?</v>
      </c>
    </row>
    <row r="2056" spans="1:4" x14ac:dyDescent="0.2">
      <c r="A2056" s="5">
        <v>1995</v>
      </c>
      <c r="B2056" s="1832">
        <f>'Cap Outlay Deprec 26'!L5</f>
        <v>16025</v>
      </c>
      <c r="C2056" s="2" t="s">
        <v>569</v>
      </c>
      <c r="D2056" s="2" t="str">
        <f t="shared" si="31"/>
        <v>Error?</v>
      </c>
    </row>
    <row r="2057" spans="1:4" x14ac:dyDescent="0.2">
      <c r="A2057" s="5">
        <v>1996</v>
      </c>
      <c r="B2057" s="1832">
        <f>'Cap Outlay Deprec 26'!L8</f>
        <v>667039</v>
      </c>
      <c r="C2057" s="2" t="s">
        <v>569</v>
      </c>
      <c r="D2057" s="2" t="str">
        <f t="shared" si="31"/>
        <v>Error?</v>
      </c>
    </row>
    <row r="2058" spans="1:4" x14ac:dyDescent="0.2">
      <c r="A2058" s="5">
        <v>1997</v>
      </c>
      <c r="B2058" s="1832">
        <f>'Cap Outlay Deprec 26'!L10</f>
        <v>474029</v>
      </c>
      <c r="C2058" s="2" t="s">
        <v>569</v>
      </c>
      <c r="D2058" s="2" t="str">
        <f t="shared" si="31"/>
        <v>Error?</v>
      </c>
    </row>
    <row r="2059" spans="1:4" x14ac:dyDescent="0.2">
      <c r="A2059" s="5">
        <v>1998</v>
      </c>
      <c r="B2059" s="1832">
        <f>'Cap Outlay Deprec 26'!L12</f>
        <v>91444</v>
      </c>
      <c r="C2059" s="2" t="s">
        <v>569</v>
      </c>
      <c r="D2059" s="2" t="str">
        <f t="shared" si="31"/>
        <v>Error?</v>
      </c>
    </row>
    <row r="2060" spans="1:4" x14ac:dyDescent="0.2">
      <c r="A2060" s="5">
        <v>1999</v>
      </c>
      <c r="B2060" s="1832">
        <f>'Cap Outlay Deprec 26'!L13</f>
        <v>76391</v>
      </c>
      <c r="C2060" s="2" t="s">
        <v>569</v>
      </c>
      <c r="D2060" s="2" t="str">
        <f t="shared" si="31"/>
        <v>Error?</v>
      </c>
    </row>
    <row r="2061" spans="1:4" x14ac:dyDescent="0.2">
      <c r="A2061" s="5">
        <v>2000</v>
      </c>
      <c r="B2061" s="1832">
        <f>'Cap Outlay Deprec 26'!L16</f>
        <v>1447251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300459</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319241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1650000</v>
      </c>
      <c r="C2105" s="2" t="s">
        <v>569</v>
      </c>
      <c r="D2105" s="2" t="str">
        <f t="shared" si="31"/>
        <v>Error?</v>
      </c>
    </row>
    <row r="2106" spans="1:4" x14ac:dyDescent="0.2">
      <c r="A2106" s="5">
        <v>2045</v>
      </c>
      <c r="B2106" s="1832">
        <f>'Acct Summary 7-8'!I48</f>
        <v>5466</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1302569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1125601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772022</v>
      </c>
      <c r="C2553" s="2" t="s">
        <v>569</v>
      </c>
      <c r="D2553" s="2" t="str">
        <f t="shared" si="38"/>
        <v>Error?</v>
      </c>
    </row>
    <row r="2554" spans="1:4" x14ac:dyDescent="0.2">
      <c r="A2554" s="5">
        <v>2493</v>
      </c>
      <c r="B2554" s="1832">
        <f>'Acct Summary 7-8'!C7</f>
        <v>141297</v>
      </c>
      <c r="C2554" s="2" t="s">
        <v>569</v>
      </c>
      <c r="D2554" s="2" t="str">
        <f t="shared" si="38"/>
        <v>Error?</v>
      </c>
    </row>
    <row r="2555" spans="1:4" x14ac:dyDescent="0.2">
      <c r="A2555" s="5">
        <v>2494</v>
      </c>
      <c r="B2555" s="1832">
        <f>'Acct Summary 7-8'!C8</f>
        <v>2038920</v>
      </c>
      <c r="C2555" s="2" t="s">
        <v>569</v>
      </c>
      <c r="D2555" s="2" t="str">
        <f t="shared" si="38"/>
        <v>Error?</v>
      </c>
    </row>
    <row r="2556" spans="1:4" x14ac:dyDescent="0.2">
      <c r="A2556" s="5">
        <v>2495</v>
      </c>
      <c r="B2556" s="1832">
        <f>'Acct Summary 7-8'!C12</f>
        <v>1522136</v>
      </c>
      <c r="C2556" s="2" t="s">
        <v>569</v>
      </c>
      <c r="D2556" s="2" t="str">
        <f t="shared" si="38"/>
        <v>Error?</v>
      </c>
    </row>
    <row r="2557" spans="1:4" x14ac:dyDescent="0.2">
      <c r="A2557" s="5">
        <v>2496</v>
      </c>
      <c r="B2557" s="1832">
        <f>'Acct Summary 7-8'!C13</f>
        <v>526886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319241</v>
      </c>
      <c r="C2559" s="2" t="s">
        <v>569</v>
      </c>
      <c r="D2559" s="2" t="str">
        <f t="shared" ref="D2559:D2622" si="39">IF(ISBLANK(B2559),"OK",IF(A2559-B2559=0,"OK","Error?"))</f>
        <v>Error?</v>
      </c>
    </row>
    <row r="2560" spans="1:4" x14ac:dyDescent="0.2">
      <c r="A2560" s="5">
        <v>2499</v>
      </c>
      <c r="B2560" s="1832">
        <f>'Acct Summary 7-8'!C16</f>
        <v>2649</v>
      </c>
      <c r="C2560" s="2" t="s">
        <v>569</v>
      </c>
      <c r="D2560" s="2" t="str">
        <f t="shared" si="39"/>
        <v>Error?</v>
      </c>
    </row>
    <row r="2561" spans="1:4" x14ac:dyDescent="0.2">
      <c r="A2561" s="5">
        <v>2500</v>
      </c>
      <c r="B2561" s="1832">
        <f>'Acct Summary 7-8'!C17</f>
        <v>2370912</v>
      </c>
      <c r="C2561" s="2" t="s">
        <v>569</v>
      </c>
      <c r="D2561" s="2" t="str">
        <f t="shared" si="39"/>
        <v>Error?</v>
      </c>
    </row>
    <row r="2562" spans="1:4" x14ac:dyDescent="0.2">
      <c r="A2562" s="5">
        <v>2501</v>
      </c>
      <c r="B2562" s="1832">
        <f>'Acct Summary 7-8'!C20</f>
        <v>-331992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158322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208322</v>
      </c>
      <c r="C2568" s="2" t="s">
        <v>569</v>
      </c>
      <c r="D2568" s="2" t="str">
        <f t="shared" si="39"/>
        <v>Error?</v>
      </c>
    </row>
    <row r="2569" spans="1:4" x14ac:dyDescent="0.2">
      <c r="A2569" s="5">
        <v>2508</v>
      </c>
      <c r="B2569" s="1832">
        <f>'Acct Summary 7-8'!D13</f>
        <v>194633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194633</v>
      </c>
      <c r="C2573" s="2" t="s">
        <v>569</v>
      </c>
      <c r="D2573" s="2" t="str">
        <f t="shared" si="39"/>
        <v>Error?</v>
      </c>
    </row>
    <row r="2574" spans="1:4" x14ac:dyDescent="0.2">
      <c r="A2574" s="5">
        <v>2513</v>
      </c>
      <c r="B2574" s="1832">
        <f>'Acct Summary 7-8'!D20</f>
        <v>13689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87596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46668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134264</v>
      </c>
      <c r="C2595" s="2" t="s">
        <v>569</v>
      </c>
      <c r="D2595" s="2" t="str">
        <f t="shared" si="39"/>
        <v>Error?</v>
      </c>
    </row>
    <row r="2596" spans="1:4" x14ac:dyDescent="0.2">
      <c r="A2596" s="5">
        <v>2535</v>
      </c>
      <c r="B2596" s="1832">
        <f>'Acct Summary 7-8'!F13</f>
        <v>123300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123300</v>
      </c>
      <c r="C2600" s="2" t="s">
        <v>569</v>
      </c>
      <c r="D2600" s="2" t="str">
        <f t="shared" si="39"/>
        <v>Error?</v>
      </c>
    </row>
    <row r="2601" spans="1:4" x14ac:dyDescent="0.2">
      <c r="A2601" s="5">
        <v>2540</v>
      </c>
      <c r="B2601" s="1832">
        <f>'Acct Summary 7-8'!F20</f>
        <v>10964</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86462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86462</v>
      </c>
      <c r="C2606" s="2" t="s">
        <v>569</v>
      </c>
      <c r="D2606" s="2" t="str">
        <f t="shared" si="39"/>
        <v>Error?</v>
      </c>
    </row>
    <row r="2607" spans="1:4" x14ac:dyDescent="0.2">
      <c r="A2607" s="5">
        <v>2546</v>
      </c>
      <c r="B2607" s="1832">
        <f>'Acct Summary 7-8'!G12</f>
        <v>39197</v>
      </c>
      <c r="C2607" s="2" t="s">
        <v>569</v>
      </c>
      <c r="D2607" s="2" t="str">
        <f t="shared" si="39"/>
        <v>Error?</v>
      </c>
    </row>
    <row r="2608" spans="1:4" x14ac:dyDescent="0.2">
      <c r="A2608" s="5">
        <v>2547</v>
      </c>
      <c r="B2608" s="1832">
        <f>'Acct Summary 7-8'!G13</f>
        <v>41048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87136</v>
      </c>
      <c r="C2612" s="2" t="s">
        <v>569</v>
      </c>
      <c r="D2612" s="2" t="str">
        <f t="shared" si="39"/>
        <v>Error?</v>
      </c>
    </row>
    <row r="2613" spans="1:4" x14ac:dyDescent="0.2">
      <c r="A2613" s="5">
        <v>2552</v>
      </c>
      <c r="B2613" s="1832">
        <f>'Acct Summary 7-8'!G20</f>
        <v>-674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7803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7803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56738</v>
      </c>
      <c r="C2634" s="2" t="s">
        <v>569</v>
      </c>
      <c r="D2634" s="2" t="str">
        <f t="shared" si="40"/>
        <v>Error?</v>
      </c>
    </row>
    <row r="2635" spans="1:4" x14ac:dyDescent="0.2">
      <c r="A2635" s="5">
        <v>2574</v>
      </c>
      <c r="B2635" s="1832">
        <f>'Acct Summary 7-8'!E17</f>
        <v>56738</v>
      </c>
      <c r="C2635" s="2" t="s">
        <v>569</v>
      </c>
      <c r="D2635" s="2" t="str">
        <f t="shared" si="40"/>
        <v>Error?</v>
      </c>
    </row>
    <row r="2636" spans="1:4" x14ac:dyDescent="0.2">
      <c r="A2636" s="5">
        <v>2575</v>
      </c>
      <c r="B2636" s="1832">
        <f>'Acct Summary 7-8'!E20</f>
        <v>-48935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97457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97457</v>
      </c>
      <c r="C2658" s="2" t="s">
        <v>569</v>
      </c>
      <c r="D2658" s="2" t="str">
        <f t="shared" si="40"/>
        <v>Error?</v>
      </c>
    </row>
    <row r="2659" spans="1:4" x14ac:dyDescent="0.2">
      <c r="A2659" s="5">
        <v>2598</v>
      </c>
      <c r="B2659" s="1832">
        <f>'Acct Summary 7-8'!H13</f>
        <v>56889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56889</v>
      </c>
      <c r="C2661" s="2" t="s">
        <v>569</v>
      </c>
      <c r="D2661" s="2" t="str">
        <f t="shared" si="40"/>
        <v>Error?</v>
      </c>
    </row>
    <row r="2662" spans="1:4" x14ac:dyDescent="0.2">
      <c r="A2662" s="5">
        <v>2601</v>
      </c>
      <c r="B2662" s="1832">
        <f>'Acct Summary 7-8'!H20</f>
        <v>40568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18782</v>
      </c>
      <c r="C2789" s="2" t="s">
        <v>569</v>
      </c>
      <c r="D2789" s="2" t="str">
        <f t="shared" si="42"/>
        <v>Error?</v>
      </c>
    </row>
    <row r="2790" spans="1:4" x14ac:dyDescent="0.2">
      <c r="A2790" s="5">
        <v>2729</v>
      </c>
      <c r="B2790" s="1832">
        <f>'Expenditures 15-22'!E102</f>
        <v>18782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122323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89587</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188734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4891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188734</v>
      </c>
      <c r="D2912" s="2" t="str">
        <f t="shared" si="44"/>
        <v>Error?</v>
      </c>
    </row>
    <row r="2913" spans="1:4" x14ac:dyDescent="0.2">
      <c r="A2913" s="5">
        <v>2852</v>
      </c>
      <c r="B2913" s="1832">
        <f>'Assets-Liab 5-6'!I41</f>
        <v>188734</v>
      </c>
      <c r="C2913" s="2" t="s">
        <v>569</v>
      </c>
      <c r="D2913" s="2" t="str">
        <f t="shared" si="44"/>
        <v>Error?</v>
      </c>
    </row>
    <row r="2914" spans="1:4" x14ac:dyDescent="0.2">
      <c r="A2914" s="5">
        <v>2853</v>
      </c>
      <c r="B2914" s="1832">
        <f>'Assets-Liab 5-6'!L33</f>
        <v>4891</v>
      </c>
      <c r="D2914" s="2" t="str">
        <f t="shared" si="44"/>
        <v>Error?</v>
      </c>
    </row>
    <row r="2915" spans="1:4" x14ac:dyDescent="0.2">
      <c r="A2915" s="10">
        <v>2854</v>
      </c>
      <c r="B2915" s="1832"/>
      <c r="D2915" s="2" t="str">
        <f t="shared" si="44"/>
        <v>OK</v>
      </c>
    </row>
    <row r="2916" spans="1:4" x14ac:dyDescent="0.2">
      <c r="A2916" s="5">
        <v>2855</v>
      </c>
      <c r="B2916" s="1832">
        <f>'Assets-Liab 5-6'!L34</f>
        <v>4891</v>
      </c>
      <c r="C2916" s="2" t="s">
        <v>569</v>
      </c>
      <c r="D2916" s="2" t="str">
        <f t="shared" si="44"/>
        <v>Error?</v>
      </c>
    </row>
    <row r="2917" spans="1:4" x14ac:dyDescent="0.2">
      <c r="A2917" s="5">
        <v>2856</v>
      </c>
      <c r="B2917" s="1832">
        <f>'Assets-Liab 5-6'!L41</f>
        <v>4891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18782</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300459</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18782</v>
      </c>
      <c r="C2973" s="2" t="s">
        <v>569</v>
      </c>
      <c r="D2973" s="2" t="str">
        <f t="shared" si="45"/>
        <v>Error?</v>
      </c>
    </row>
    <row r="2974" spans="1:4" x14ac:dyDescent="0.2">
      <c r="A2974" s="5">
        <v>2913</v>
      </c>
      <c r="B2974" s="1832">
        <f>'Expenditures 15-22'!K79</f>
        <v>300459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32429</v>
      </c>
      <c r="C3225" s="2" t="s">
        <v>569</v>
      </c>
      <c r="D3225" s="2" t="str">
        <f t="shared" si="49"/>
        <v>Error?</v>
      </c>
    </row>
    <row r="3226" spans="1:4" x14ac:dyDescent="0.2">
      <c r="A3226" s="5">
        <v>3165</v>
      </c>
      <c r="B3226" s="1832">
        <f>'Acct Summary 7-8'!I8</f>
        <v>32429</v>
      </c>
      <c r="C3226" s="2" t="s">
        <v>569</v>
      </c>
      <c r="D3226" s="2" t="str">
        <f t="shared" si="49"/>
        <v>Error?</v>
      </c>
    </row>
    <row r="3227" spans="1:4" x14ac:dyDescent="0.2">
      <c r="A3227" s="5">
        <v>3166</v>
      </c>
      <c r="B3227" s="1832">
        <f>'Acct Summary 7-8'!I20</f>
        <v>32429</v>
      </c>
      <c r="C3227" s="2" t="s">
        <v>569</v>
      </c>
      <c r="D3227" s="2" t="str">
        <f t="shared" si="49"/>
        <v>Error?</v>
      </c>
    </row>
    <row r="3228" spans="1:4" x14ac:dyDescent="0.2">
      <c r="A3228" s="5">
        <v>3167</v>
      </c>
      <c r="B3228" s="1832">
        <f>'Acct Summary 7-8'!C43</f>
        <v>34480</v>
      </c>
      <c r="D3228" s="2" t="str">
        <f t="shared" si="49"/>
        <v>Error?</v>
      </c>
    </row>
    <row r="3229" spans="1:4" x14ac:dyDescent="0.2">
      <c r="A3229" s="5">
        <v>3168</v>
      </c>
      <c r="B3229" s="1832">
        <f>'Acct Summary 7-8'!C44</f>
        <v>34480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34480</v>
      </c>
      <c r="C3232" s="2" t="s">
        <v>569</v>
      </c>
      <c r="D3232" s="2" t="str">
        <f t="shared" si="49"/>
        <v>Error?</v>
      </c>
    </row>
    <row r="3233" spans="1:4" x14ac:dyDescent="0.2">
      <c r="A3233" s="5">
        <v>3172</v>
      </c>
      <c r="B3233" s="1832">
        <f>'Acct Summary 7-8'!C78</f>
        <v>-297512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325000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325000</v>
      </c>
      <c r="C3238" s="2" t="s">
        <v>569</v>
      </c>
      <c r="D3238" s="2" t="str">
        <f t="shared" si="49"/>
        <v>Error?</v>
      </c>
    </row>
    <row r="3239" spans="1:4" x14ac:dyDescent="0.2">
      <c r="A3239" s="5">
        <v>3178</v>
      </c>
      <c r="B3239" s="1832">
        <f>'Acct Summary 7-8'!D78</f>
        <v>338689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125000</v>
      </c>
      <c r="C3254" s="2" t="s">
        <v>569</v>
      </c>
      <c r="D3254" s="2" t="str">
        <f t="shared" si="49"/>
        <v>Error?</v>
      </c>
    </row>
    <row r="3255" spans="1:4" x14ac:dyDescent="0.2">
      <c r="A3255" s="5">
        <v>3194</v>
      </c>
      <c r="B3255" s="1832">
        <f>'Acct Summary 7-8'!F77</f>
        <v>-125000</v>
      </c>
      <c r="C3255" s="2" t="s">
        <v>569</v>
      </c>
      <c r="D3255" s="2" t="str">
        <f t="shared" si="49"/>
        <v>Error?</v>
      </c>
    </row>
    <row r="3256" spans="1:4" x14ac:dyDescent="0.2">
      <c r="A3256" s="5">
        <v>3195</v>
      </c>
      <c r="B3256" s="1832">
        <f>'Acct Summary 7-8'!F78</f>
        <v>-114036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-674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205466</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205466</v>
      </c>
      <c r="C3277" s="2" t="s">
        <v>569</v>
      </c>
      <c r="D3277" s="2" t="str">
        <f t="shared" si="50"/>
        <v>Error?</v>
      </c>
    </row>
    <row r="3278" spans="1:4" x14ac:dyDescent="0.2">
      <c r="A3278" s="5">
        <v>3217</v>
      </c>
      <c r="B3278" s="1832">
        <f>'Acct Summary 7-8'!E78</f>
        <v>156531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1250000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1250000</v>
      </c>
      <c r="C3299" s="2" t="s">
        <v>569</v>
      </c>
      <c r="D3299" s="2" t="str">
        <f t="shared" si="50"/>
        <v>Error?</v>
      </c>
    </row>
    <row r="3300" spans="1:4" x14ac:dyDescent="0.2">
      <c r="A3300" s="5">
        <v>3239</v>
      </c>
      <c r="B3300" s="1832">
        <f>'Acct Summary 7-8'!H78</f>
        <v>1290568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1250000</v>
      </c>
      <c r="C3317" s="2" t="s">
        <v>569</v>
      </c>
      <c r="D3317" s="2" t="str">
        <f t="shared" si="50"/>
        <v>Error?</v>
      </c>
    </row>
    <row r="3318" spans="1:4" x14ac:dyDescent="0.2">
      <c r="A3318" s="5">
        <v>3257</v>
      </c>
      <c r="B3318" s="1832">
        <f>'Acct Summary 7-8'!I76</f>
        <v>1655466</v>
      </c>
      <c r="C3318" s="2" t="s">
        <v>569</v>
      </c>
      <c r="D3318" s="2" t="str">
        <f t="shared" si="50"/>
        <v>Error?</v>
      </c>
    </row>
    <row r="3319" spans="1:4" x14ac:dyDescent="0.2">
      <c r="A3319" s="5">
        <v>3258</v>
      </c>
      <c r="B3319" s="1832">
        <f>'Acct Summary 7-8'!I77</f>
        <v>-405466</v>
      </c>
      <c r="C3319" s="2" t="s">
        <v>569</v>
      </c>
      <c r="D3319" s="2" t="str">
        <f t="shared" si="50"/>
        <v>Error?</v>
      </c>
    </row>
    <row r="3320" spans="1:4" x14ac:dyDescent="0.2">
      <c r="A3320" s="5">
        <v>3259</v>
      </c>
      <c r="B3320" s="1832">
        <f>'Acct Summary 7-8'!I78</f>
        <v>-373037</v>
      </c>
      <c r="C3320" s="2" t="s">
        <v>569</v>
      </c>
      <c r="D3320" s="2" t="str">
        <f t="shared" si="50"/>
        <v>Error?</v>
      </c>
    </row>
    <row r="3321" spans="1:4" x14ac:dyDescent="0.2">
      <c r="A3321" s="5">
        <v>3260</v>
      </c>
      <c r="B3321" s="1832">
        <f>'Acct Summary 7-8'!I79</f>
        <v>561771</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188734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84301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16300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100601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24240</v>
      </c>
      <c r="D3387" s="2" t="str">
        <f t="shared" si="51"/>
        <v>Error?</v>
      </c>
    </row>
    <row r="3388" spans="1:4" x14ac:dyDescent="0.2">
      <c r="A3388" s="5">
        <v>3327</v>
      </c>
      <c r="B3388" s="1832">
        <f>'Expenditures 15-22'!D217</f>
        <v>5012</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24240</v>
      </c>
      <c r="C3390" s="2" t="s">
        <v>569</v>
      </c>
      <c r="D3390" s="2" t="str">
        <f t="shared" si="51"/>
        <v>Error?</v>
      </c>
    </row>
    <row r="3391" spans="1:4" x14ac:dyDescent="0.2">
      <c r="A3391" s="5">
        <v>3330</v>
      </c>
      <c r="B3391" s="1832">
        <f>'Expenditures 15-22'!K217</f>
        <v>5012</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539495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425861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205795</v>
      </c>
      <c r="D3417" s="2" t="str">
        <f t="shared" si="52"/>
        <v>Error?</v>
      </c>
    </row>
    <row r="3418" spans="1:4" x14ac:dyDescent="0.2">
      <c r="A3418" s="10">
        <v>3357</v>
      </c>
      <c r="B3418" s="1832"/>
      <c r="D3418" s="2" t="str">
        <f t="shared" si="52"/>
        <v>OK</v>
      </c>
    </row>
    <row r="3419" spans="1:4" x14ac:dyDescent="0.2">
      <c r="A3419" s="5">
        <v>3358</v>
      </c>
      <c r="B3419" s="1832">
        <f>'Assets-Liab 5-6'!F4</f>
        <v>109856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1179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1381050</v>
      </c>
      <c r="D3425" s="2" t="str">
        <f t="shared" si="52"/>
        <v>Error?</v>
      </c>
    </row>
    <row r="3426" spans="1:4" x14ac:dyDescent="0.2">
      <c r="A3426" s="10">
        <v>3365</v>
      </c>
      <c r="B3426" s="1832"/>
      <c r="D3426" s="2" t="str">
        <f t="shared" si="52"/>
        <v>OK</v>
      </c>
    </row>
    <row r="3427" spans="1:4" x14ac:dyDescent="0.2">
      <c r="A3427" s="5">
        <v>3366</v>
      </c>
      <c r="B3427" s="1832">
        <f>'Assets-Liab 5-6'!I4</f>
        <v>99147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4891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33231</v>
      </c>
      <c r="C3446" s="2" t="s">
        <v>569</v>
      </c>
      <c r="D3446" s="2" t="str">
        <f t="shared" si="52"/>
        <v>Error?</v>
      </c>
    </row>
    <row r="3447" spans="1:4" x14ac:dyDescent="0.2">
      <c r="A3447" s="5">
        <v>3386</v>
      </c>
      <c r="B3447" s="1832">
        <f>'Tax Sched 23'!D16</f>
        <v>17088</v>
      </c>
      <c r="C3447" s="2" t="s">
        <v>569</v>
      </c>
      <c r="D3447" s="2" t="str">
        <f t="shared" si="52"/>
        <v>Error?</v>
      </c>
    </row>
    <row r="3448" spans="1:4" x14ac:dyDescent="0.2">
      <c r="A3448" s="5">
        <v>3387</v>
      </c>
      <c r="B3448" s="1832">
        <f>'Tax Sched 23'!C16</f>
        <v>16143</v>
      </c>
      <c r="D3448" s="2" t="str">
        <f t="shared" si="52"/>
        <v>Error?</v>
      </c>
    </row>
    <row r="3449" spans="1:4" x14ac:dyDescent="0.2">
      <c r="A3449" s="5">
        <v>3388</v>
      </c>
      <c r="B3449" s="1832">
        <f>'Tax Sched 23'!F16</f>
        <v>20861</v>
      </c>
      <c r="C3449" s="2" t="s">
        <v>569</v>
      </c>
      <c r="D3449" s="2" t="str">
        <f t="shared" si="52"/>
        <v>Error?</v>
      </c>
    </row>
    <row r="3450" spans="1:4" x14ac:dyDescent="0.2">
      <c r="A3450" s="5">
        <v>3389</v>
      </c>
      <c r="B3450" s="1832">
        <f>'Tax Sched 23'!E16</f>
        <v>37004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122323</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122323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122323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5466</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170312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170312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170312</v>
      </c>
      <c r="D3567" s="2" t="str">
        <f t="shared" si="54"/>
        <v>Error?</v>
      </c>
    </row>
    <row r="3568" spans="1:4" x14ac:dyDescent="0.2">
      <c r="A3568" s="5">
        <v>3507</v>
      </c>
      <c r="B3568" s="1832">
        <f>'Assets-Liab 5-6'!K41</f>
        <v>170312</v>
      </c>
      <c r="C3568" s="2" t="s">
        <v>569</v>
      </c>
      <c r="D3568" s="2" t="str">
        <f t="shared" si="54"/>
        <v>Error?</v>
      </c>
    </row>
    <row r="3569" spans="1:4" x14ac:dyDescent="0.2">
      <c r="A3569" s="5">
        <v>3508</v>
      </c>
      <c r="B3569" s="1832">
        <f>'Acct Summary 7-8'!K4</f>
        <v>23899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23899</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23899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23899</v>
      </c>
      <c r="C3588" s="2" t="s">
        <v>569</v>
      </c>
      <c r="D3588" s="2" t="str">
        <f t="shared" si="55"/>
        <v>Error?</v>
      </c>
    </row>
    <row r="3589" spans="1:4" x14ac:dyDescent="0.2">
      <c r="A3589" s="5">
        <v>3528</v>
      </c>
      <c r="B3589" s="1832">
        <f>'Acct Summary 7-8'!K79</f>
        <v>146413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170312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23899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6891</v>
      </c>
      <c r="D3721" s="2" t="str">
        <f t="shared" si="57"/>
        <v>Error?</v>
      </c>
    </row>
    <row r="3722" spans="1:4" x14ac:dyDescent="0.2">
      <c r="A3722" s="5">
        <v>3661</v>
      </c>
      <c r="B3722" s="1832">
        <f>'Expenditures 15-22'!D285</f>
        <v>6891</v>
      </c>
      <c r="C3722" s="2" t="s">
        <v>569</v>
      </c>
      <c r="D3722" s="2" t="str">
        <f t="shared" si="57"/>
        <v>Error?</v>
      </c>
    </row>
    <row r="3723" spans="1:4" x14ac:dyDescent="0.2">
      <c r="A3723" s="5">
        <v>3662</v>
      </c>
      <c r="B3723" s="1832">
        <f>'Expenditures 15-22'!K283</f>
        <v>6891</v>
      </c>
      <c r="C3723" s="2" t="s">
        <v>569</v>
      </c>
      <c r="D3723" s="2" t="str">
        <f t="shared" si="57"/>
        <v>Error?</v>
      </c>
    </row>
    <row r="3724" spans="1:4" x14ac:dyDescent="0.2">
      <c r="A3724" s="5">
        <v>3663</v>
      </c>
      <c r="B3724" s="1832">
        <f>'Expenditures 15-22'!K285</f>
        <v>6891</v>
      </c>
      <c r="C3724" s="2" t="s">
        <v>569</v>
      </c>
      <c r="D3724" s="2" t="str">
        <f t="shared" si="57"/>
        <v>Error?</v>
      </c>
    </row>
    <row r="3725" spans="1:4" x14ac:dyDescent="0.2">
      <c r="A3725" s="5">
        <v>3664</v>
      </c>
      <c r="B3725" s="1832">
        <f>'Tax Sched 23'!B13</f>
        <v>23899</v>
      </c>
      <c r="C3725" s="2" t="s">
        <v>569</v>
      </c>
      <c r="D3725" s="2" t="str">
        <f t="shared" si="57"/>
        <v>Error?</v>
      </c>
    </row>
    <row r="3726" spans="1:4" x14ac:dyDescent="0.2">
      <c r="A3726" s="5">
        <v>3665</v>
      </c>
      <c r="B3726" s="1832">
        <f>'Tax Sched 23'!D13</f>
        <v>12991</v>
      </c>
      <c r="C3726" s="2" t="s">
        <v>569</v>
      </c>
      <c r="D3726" s="2" t="str">
        <f t="shared" si="57"/>
        <v>Error?</v>
      </c>
    </row>
    <row r="3727" spans="1:4" x14ac:dyDescent="0.2">
      <c r="A3727" s="5">
        <v>3666</v>
      </c>
      <c r="B3727" s="1832">
        <f>'Tax Sched 23'!C13</f>
        <v>10908</v>
      </c>
      <c r="D3727" s="2" t="str">
        <f t="shared" si="57"/>
        <v>Error?</v>
      </c>
    </row>
    <row r="3728" spans="1:4" x14ac:dyDescent="0.2">
      <c r="A3728" s="5">
        <v>3667</v>
      </c>
      <c r="B3728" s="1832">
        <f>'Tax Sched 23'!F13</f>
        <v>14096</v>
      </c>
      <c r="C3728" s="2" t="s">
        <v>569</v>
      </c>
      <c r="D3728" s="2" t="str">
        <f t="shared" si="57"/>
        <v>Error?</v>
      </c>
    </row>
    <row r="3729" spans="1:4" x14ac:dyDescent="0.2">
      <c r="A3729" s="5">
        <v>3668</v>
      </c>
      <c r="B3729" s="1832">
        <f>'Tax Sched 23'!E13</f>
        <v>25004</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961302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3000222</v>
      </c>
      <c r="C4122" s="2" t="s">
        <v>569</v>
      </c>
      <c r="D4122" s="2" t="str">
        <f t="shared" si="63"/>
        <v>Error?</v>
      </c>
    </row>
    <row r="4123" spans="1:4" x14ac:dyDescent="0.2">
      <c r="A4123" s="5">
        <v>4062</v>
      </c>
      <c r="B4123" s="1832">
        <f>'Acct Summary 7-8'!D10</f>
        <v>208322</v>
      </c>
      <c r="C4123" s="2" t="s">
        <v>569</v>
      </c>
      <c r="D4123" s="2" t="str">
        <f t="shared" si="63"/>
        <v>Error?</v>
      </c>
    </row>
    <row r="4124" spans="1:4" x14ac:dyDescent="0.2">
      <c r="A4124" s="5">
        <v>4063</v>
      </c>
      <c r="B4124" s="1832">
        <f>'Acct Summary 7-8'!E10</f>
        <v>7803</v>
      </c>
      <c r="C4124" s="2" t="s">
        <v>569</v>
      </c>
      <c r="D4124" s="2" t="str">
        <f t="shared" si="63"/>
        <v>Error?</v>
      </c>
    </row>
    <row r="4125" spans="1:4" x14ac:dyDescent="0.2">
      <c r="A4125" s="5">
        <v>4064</v>
      </c>
      <c r="B4125" s="1832">
        <f>'Acct Summary 7-8'!F10</f>
        <v>134264</v>
      </c>
      <c r="C4125" s="2" t="s">
        <v>569</v>
      </c>
      <c r="D4125" s="2" t="str">
        <f t="shared" si="63"/>
        <v>Error?</v>
      </c>
    </row>
    <row r="4126" spans="1:4" x14ac:dyDescent="0.2">
      <c r="A4126" s="5">
        <v>4065</v>
      </c>
      <c r="B4126" s="1832">
        <f>'Acct Summary 7-8'!G10</f>
        <v>86462</v>
      </c>
      <c r="C4126" s="2" t="s">
        <v>569</v>
      </c>
      <c r="D4126" s="2" t="str">
        <f t="shared" si="63"/>
        <v>Error?</v>
      </c>
    </row>
    <row r="4127" spans="1:4" x14ac:dyDescent="0.2">
      <c r="A4127" s="5">
        <v>4066</v>
      </c>
      <c r="B4127" s="1832">
        <f>'Acct Summary 7-8'!H10</f>
        <v>97457</v>
      </c>
      <c r="C4127" s="2" t="s">
        <v>569</v>
      </c>
      <c r="D4127" s="2" t="str">
        <f t="shared" si="63"/>
        <v>Error?</v>
      </c>
    </row>
    <row r="4128" spans="1:4" x14ac:dyDescent="0.2">
      <c r="A4128" s="5">
        <v>4067</v>
      </c>
      <c r="B4128" s="1832">
        <f>'Acct Summary 7-8'!I10</f>
        <v>32429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23899</v>
      </c>
      <c r="C4130" s="2" t="s">
        <v>569</v>
      </c>
      <c r="D4130" s="2" t="str">
        <f t="shared" si="63"/>
        <v>Error?</v>
      </c>
    </row>
    <row r="4131" spans="1:4" x14ac:dyDescent="0.2">
      <c r="A4131" s="5">
        <v>4070</v>
      </c>
      <c r="B4131" s="1832">
        <f>'Acct Summary 7-8'!C18</f>
        <v>961302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3332214</v>
      </c>
      <c r="C4136" s="2" t="s">
        <v>569</v>
      </c>
      <c r="D4136" s="2" t="str">
        <f t="shared" si="63"/>
        <v>Error?</v>
      </c>
    </row>
    <row r="4137" spans="1:4" x14ac:dyDescent="0.2">
      <c r="A4137" s="5">
        <v>4076</v>
      </c>
      <c r="B4137" s="1832">
        <f>'Acct Summary 7-8'!D19</f>
        <v>194633</v>
      </c>
      <c r="C4137" s="2" t="s">
        <v>569</v>
      </c>
      <c r="D4137" s="2" t="str">
        <f t="shared" si="63"/>
        <v>Error?</v>
      </c>
    </row>
    <row r="4138" spans="1:4" x14ac:dyDescent="0.2">
      <c r="A4138" s="5">
        <v>4077</v>
      </c>
      <c r="B4138" s="1832">
        <f>'Acct Summary 7-8'!E19</f>
        <v>56738</v>
      </c>
      <c r="C4138" s="2" t="s">
        <v>569</v>
      </c>
      <c r="D4138" s="2" t="str">
        <f t="shared" si="63"/>
        <v>Error?</v>
      </c>
    </row>
    <row r="4139" spans="1:4" x14ac:dyDescent="0.2">
      <c r="A4139" s="5">
        <v>4078</v>
      </c>
      <c r="B4139" s="1832">
        <f>'Acct Summary 7-8'!F19</f>
        <v>123300</v>
      </c>
      <c r="C4139" s="2" t="s">
        <v>569</v>
      </c>
      <c r="D4139" s="2" t="str">
        <f t="shared" si="63"/>
        <v>Error?</v>
      </c>
    </row>
    <row r="4140" spans="1:4" x14ac:dyDescent="0.2">
      <c r="A4140" s="5">
        <v>4079</v>
      </c>
      <c r="B4140" s="1832">
        <f>'Acct Summary 7-8'!G19</f>
        <v>87136</v>
      </c>
      <c r="C4140" s="2" t="s">
        <v>569</v>
      </c>
      <c r="D4140" s="2" t="str">
        <f t="shared" si="63"/>
        <v>Error?</v>
      </c>
    </row>
    <row r="4141" spans="1:4" x14ac:dyDescent="0.2">
      <c r="A4141" s="5">
        <v>4080</v>
      </c>
      <c r="B4141" s="1832">
        <f>'Acct Summary 7-8'!H19</f>
        <v>56889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1262530</v>
      </c>
      <c r="C4171" s="2" t="s">
        <v>569</v>
      </c>
      <c r="D4171" s="2" t="str">
        <f t="shared" si="64"/>
        <v>Error?</v>
      </c>
    </row>
    <row r="4172" spans="1:4" x14ac:dyDescent="0.2">
      <c r="A4172" s="5">
        <v>4111</v>
      </c>
      <c r="B4172" s="1832">
        <f>'Short-Term Long-Term Debt 24'!J49</f>
        <v>1076343</v>
      </c>
      <c r="C4172" s="2" t="s">
        <v>569</v>
      </c>
      <c r="D4172" s="2" t="str">
        <f t="shared" si="64"/>
        <v>Error?</v>
      </c>
    </row>
    <row r="4173" spans="1:4" x14ac:dyDescent="0.2">
      <c r="A4173" s="5">
        <v>4112</v>
      </c>
      <c r="B4173" s="1832">
        <f>'Short-Term Long-Term Debt 24'!H49</f>
        <v>75453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1933.5000000000002</v>
      </c>
      <c r="C4265" s="2" t="s">
        <v>569</v>
      </c>
      <c r="D4265" s="2" t="str">
        <f t="shared" si="65"/>
        <v>Error?</v>
      </c>
      <c r="E4265" s="125"/>
    </row>
    <row r="4266" spans="1:5" x14ac:dyDescent="0.2">
      <c r="A4266" s="12">
        <v>4205</v>
      </c>
      <c r="B4266" s="1832">
        <f>('FP Info 3'!F10)*100000</f>
        <v>249.2</v>
      </c>
      <c r="C4266" s="2" t="s">
        <v>569</v>
      </c>
      <c r="D4266" s="2" t="str">
        <f t="shared" si="65"/>
        <v>Error?</v>
      </c>
      <c r="E4266" s="125"/>
    </row>
    <row r="4267" spans="1:5" x14ac:dyDescent="0.2">
      <c r="A4267" s="12">
        <v>4206</v>
      </c>
      <c r="B4267" s="1832">
        <f>('FP Info 3'!H10)*100000</f>
        <v>199.3</v>
      </c>
      <c r="C4267" s="2" t="s">
        <v>569</v>
      </c>
      <c r="D4267" s="2" t="str">
        <f t="shared" si="65"/>
        <v>Error?</v>
      </c>
      <c r="E4267" s="125"/>
    </row>
    <row r="4268" spans="1:5" x14ac:dyDescent="0.2">
      <c r="A4268" s="12">
        <v>4207</v>
      </c>
      <c r="B4268" s="1832">
        <f>('FP Info 3'!J10)*100000</f>
        <v>2382</v>
      </c>
      <c r="C4268" s="2" t="s">
        <v>569</v>
      </c>
      <c r="D4268" s="2" t="str">
        <f t="shared" si="65"/>
        <v>Error?</v>
      </c>
    </row>
    <row r="4269" spans="1:5" x14ac:dyDescent="0.2">
      <c r="A4269" s="12">
        <v>4208</v>
      </c>
      <c r="B4269" s="1832">
        <f>'FP Info 3'!J16</f>
        <v>2564085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5698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5503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2425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50168118</v>
      </c>
      <c r="D4995" s="2" t="str">
        <f t="shared" si="77"/>
        <v>Error?</v>
      </c>
    </row>
    <row r="4996" spans="1:4" x14ac:dyDescent="0.2">
      <c r="A4996" s="12">
        <v>4935</v>
      </c>
      <c r="B4996" s="1832">
        <f>'FP Info 3'!H31</f>
        <v>3461600.1420000005</v>
      </c>
      <c r="D4996" s="2" t="str">
        <f t="shared" si="77"/>
        <v>Error?</v>
      </c>
    </row>
    <row r="4997" spans="1:4" x14ac:dyDescent="0.2">
      <c r="A4997" s="12">
        <v>4936</v>
      </c>
      <c r="B4997" s="1832">
        <f>'FP Info 3'!H37</f>
        <v>1262530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125000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125000</v>
      </c>
      <c r="D5024" s="2" t="str">
        <f t="shared" si="77"/>
        <v>Error?</v>
      </c>
    </row>
    <row r="5025" spans="1:4" x14ac:dyDescent="0.2">
      <c r="A5025" s="10">
        <v>4964</v>
      </c>
      <c r="B5025" s="1832"/>
      <c r="C5025" s="2" t="s">
        <v>569</v>
      </c>
      <c r="D5025" s="2" t="str">
        <f t="shared" si="77"/>
        <v>OK</v>
      </c>
    </row>
    <row r="5026" spans="1:4" x14ac:dyDescent="0.2">
      <c r="A5026" s="5">
        <v>4965</v>
      </c>
      <c r="B5026" s="1832">
        <f>'Revenues 9-14'!C6</f>
        <v>23899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927191</v>
      </c>
      <c r="D5061" s="2" t="str">
        <f t="shared" si="78"/>
        <v>Error?</v>
      </c>
    </row>
    <row r="5062" spans="1:4" x14ac:dyDescent="0.2">
      <c r="A5062" s="10">
        <v>5001</v>
      </c>
      <c r="B5062" s="1832"/>
      <c r="D5062" s="2" t="str">
        <f t="shared" si="78"/>
        <v>OK</v>
      </c>
    </row>
    <row r="5063" spans="1:4" x14ac:dyDescent="0.2">
      <c r="A5063" s="5">
        <v>5002</v>
      </c>
      <c r="B5063" s="1832">
        <f>'Revenues 9-14'!C7</f>
        <v>9562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960652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26826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26826</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7023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7023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41728</v>
      </c>
      <c r="C5096" s="2" t="s">
        <v>569</v>
      </c>
      <c r="D5096" s="2" t="str">
        <f t="shared" si="78"/>
        <v>Error?</v>
      </c>
    </row>
    <row r="5097" spans="1:4" x14ac:dyDescent="0.2">
      <c r="A5097" s="5">
        <v>5036</v>
      </c>
      <c r="B5097" s="1832">
        <f>'Revenues 9-14'!C77</f>
        <v>11831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61786</v>
      </c>
      <c r="D5101" s="2" t="str">
        <f t="shared" si="78"/>
        <v>Error?</v>
      </c>
    </row>
    <row r="5102" spans="1:4" x14ac:dyDescent="0.2">
      <c r="A5102" s="5">
        <v>5041</v>
      </c>
      <c r="B5102" s="1832">
        <f>'Revenues 9-14'!C82</f>
        <v>73617</v>
      </c>
      <c r="C5102" s="2" t="s">
        <v>569</v>
      </c>
      <c r="D5102" s="2" t="str">
        <f t="shared" si="78"/>
        <v>Error?</v>
      </c>
    </row>
    <row r="5103" spans="1:4" x14ac:dyDescent="0.2">
      <c r="A5103" s="5">
        <v>5042</v>
      </c>
      <c r="B5103" s="1832">
        <f>'Revenues 9-14'!C84</f>
        <v>15583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15583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172</v>
      </c>
      <c r="D5119" s="2" t="str">
        <f t="shared" ref="D5119:D5182" si="79">IF(ISBLANK(B5119),"OK",IF(A5119-B5119=0,"OK","Error?"))</f>
        <v>Error?</v>
      </c>
    </row>
    <row r="5120" spans="1:4" x14ac:dyDescent="0.2">
      <c r="A5120" s="5">
        <v>5059</v>
      </c>
      <c r="B5120" s="1832">
        <f>'Revenues 9-14'!C108</f>
        <v>172</v>
      </c>
      <c r="C5120" s="2" t="s">
        <v>569</v>
      </c>
      <c r="D5120" s="2" t="str">
        <f t="shared" si="79"/>
        <v>Error?</v>
      </c>
    </row>
    <row r="5121" spans="1:4" x14ac:dyDescent="0.2">
      <c r="A5121" s="5">
        <v>5060</v>
      </c>
      <c r="B5121" s="1832">
        <f>'Revenues 9-14'!C109</f>
        <v>1125601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775730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775730</v>
      </c>
      <c r="C5132" s="2" t="s">
        <v>569</v>
      </c>
      <c r="D5132" s="2" t="str">
        <f t="shared" si="79"/>
        <v>Error?</v>
      </c>
    </row>
    <row r="5133" spans="1:4" x14ac:dyDescent="0.2">
      <c r="A5133" s="5">
        <v>5072</v>
      </c>
      <c r="B5133" s="1832">
        <f>'Revenues 9-14'!C125</f>
        <v>5036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-9011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-3975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267</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-3708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772022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21005</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1221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22226</v>
      </c>
      <c r="C5246" s="2" t="s">
        <v>569</v>
      </c>
      <c r="D5246" s="2" t="str">
        <f t="shared" si="80"/>
        <v>Error?</v>
      </c>
    </row>
    <row r="5247" spans="1:4" x14ac:dyDescent="0.2">
      <c r="A5247" s="5">
        <v>5186</v>
      </c>
      <c r="B5247" s="1832">
        <f>'Revenues 9-14'!C200</f>
        <v>51382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51382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54063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54063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141297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141297</v>
      </c>
      <c r="C5326" s="2" t="s">
        <v>569</v>
      </c>
      <c r="D5326" s="2" t="str">
        <f t="shared" si="82"/>
        <v>Error?</v>
      </c>
    </row>
    <row r="5327" spans="1:5" x14ac:dyDescent="0.2">
      <c r="A5327" s="5">
        <v>5266</v>
      </c>
      <c r="B5327" s="1832">
        <f>'Revenues 9-14'!C268</f>
        <v>2038920</v>
      </c>
      <c r="C5327" s="2" t="s">
        <v>569</v>
      </c>
      <c r="D5327" s="2" t="str">
        <f t="shared" si="82"/>
        <v>Error?</v>
      </c>
    </row>
    <row r="5328" spans="1:5" x14ac:dyDescent="0.2">
      <c r="A5328" s="5">
        <v>5267</v>
      </c>
      <c r="B5328" s="1832">
        <f>'Revenues 9-14'!D5</f>
        <v>119485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119485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29815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29815</v>
      </c>
      <c r="C5339" s="2" t="s">
        <v>569</v>
      </c>
      <c r="D5339" s="2" t="str">
        <f t="shared" si="82"/>
        <v>Error?</v>
      </c>
    </row>
    <row r="5340" spans="1:4" x14ac:dyDescent="0.2">
      <c r="A5340" s="5">
        <v>5279</v>
      </c>
      <c r="B5340" s="1832">
        <f>'Revenues 9-14'!D65</f>
        <v>2022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2022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7000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7000</v>
      </c>
      <c r="C5355" s="2" t="s">
        <v>569</v>
      </c>
      <c r="D5355" s="2" t="str">
        <f t="shared" si="82"/>
        <v>Error?</v>
      </c>
    </row>
    <row r="5356" spans="1:4" x14ac:dyDescent="0.2">
      <c r="A5356" s="5">
        <v>5295</v>
      </c>
      <c r="B5356" s="1832">
        <f>'Revenues 9-14'!D109</f>
        <v>158322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208322</v>
      </c>
      <c r="C5508" s="2" t="s">
        <v>569</v>
      </c>
      <c r="D5508" s="2" t="str">
        <f t="shared" si="85"/>
        <v>Error?</v>
      </c>
    </row>
    <row r="5509" spans="1:4" x14ac:dyDescent="0.2">
      <c r="A5509" s="5">
        <v>5448</v>
      </c>
      <c r="B5509" s="1832">
        <f>'Revenues 9-14'!E5</f>
        <v>7767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7767</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7803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7803</v>
      </c>
      <c r="C5552" s="2" t="s">
        <v>569</v>
      </c>
      <c r="D5552" s="2" t="str">
        <f t="shared" si="85"/>
        <v>Error?</v>
      </c>
    </row>
    <row r="5553" spans="1:4" x14ac:dyDescent="0.2">
      <c r="A5553" s="5">
        <v>5492</v>
      </c>
      <c r="B5553" s="1832">
        <f>'Revenues 9-14'!F5</f>
        <v>85197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85197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2399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2399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87596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43126</v>
      </c>
      <c r="D5615" s="2" t="str">
        <f t="shared" si="86"/>
        <v>Error?</v>
      </c>
    </row>
    <row r="5616" spans="1:4" x14ac:dyDescent="0.2">
      <c r="A5616" s="10">
        <v>5555</v>
      </c>
      <c r="B5616" s="1832"/>
      <c r="D5616" s="2" t="str">
        <f t="shared" si="86"/>
        <v>OK</v>
      </c>
    </row>
    <row r="5617" spans="1:5" x14ac:dyDescent="0.2">
      <c r="A5617" s="5">
        <v>5556</v>
      </c>
      <c r="B5617" s="1832">
        <f>'Revenues 9-14'!F153</f>
        <v>3542</v>
      </c>
      <c r="D5617" s="2" t="str">
        <f t="shared" si="86"/>
        <v>Error?</v>
      </c>
    </row>
    <row r="5618" spans="1:5" x14ac:dyDescent="0.2">
      <c r="A5618" s="5">
        <v>5557</v>
      </c>
      <c r="B5618" s="1832">
        <f>'Revenues 9-14'!F155</f>
        <v>46668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46668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46668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134264</v>
      </c>
      <c r="C5720" s="2" t="s">
        <v>569</v>
      </c>
      <c r="D5720" s="2" t="str">
        <f t="shared" si="88"/>
        <v>Error?</v>
      </c>
    </row>
    <row r="5721" spans="1:4" x14ac:dyDescent="0.2">
      <c r="A5721" s="5">
        <v>5660</v>
      </c>
      <c r="B5721" s="1832">
        <f>'Revenues 9-14'!G5</f>
        <v>33231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33231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66462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20000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86462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97457</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97457</v>
      </c>
      <c r="C5915" s="2" t="s">
        <v>569</v>
      </c>
      <c r="D5915" s="2" t="str">
        <f t="shared" si="91"/>
        <v>Error?</v>
      </c>
    </row>
    <row r="5916" spans="1:4" x14ac:dyDescent="0.2">
      <c r="A5916" s="5">
        <v>5855</v>
      </c>
      <c r="B5916" s="1832">
        <f>'Revenues 9-14'!I5</f>
        <v>23899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23899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8530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8530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32429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23899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23899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23899</v>
      </c>
      <c r="C6023" s="2" t="s">
        <v>569</v>
      </c>
      <c r="D6023" s="2" t="str">
        <f t="shared" si="93"/>
        <v>Error?</v>
      </c>
    </row>
    <row r="6024" spans="1:5" x14ac:dyDescent="0.2">
      <c r="A6024" s="5">
        <v>5963</v>
      </c>
      <c r="B6024" s="1832">
        <f>'Revenues 9-14'!G109</f>
        <v>86462</v>
      </c>
      <c r="C6024" s="2" t="s">
        <v>569</v>
      </c>
      <c r="D6024" s="2" t="str">
        <f t="shared" si="93"/>
        <v>Error?</v>
      </c>
    </row>
    <row r="6025" spans="1:5" x14ac:dyDescent="0.2">
      <c r="A6025" s="5">
        <v>5964</v>
      </c>
      <c r="B6025" s="1832">
        <f>'Revenues 9-14'!H109</f>
        <v>97457</v>
      </c>
      <c r="C6025" s="2" t="s">
        <v>569</v>
      </c>
      <c r="D6025" s="2" t="str">
        <f t="shared" si="93"/>
        <v>Error?</v>
      </c>
    </row>
    <row r="6026" spans="1:5" x14ac:dyDescent="0.2">
      <c r="A6026" s="5">
        <v>5965</v>
      </c>
      <c r="B6026" s="1832">
        <f>'Revenues 9-14'!I109</f>
        <v>32429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23899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41728</v>
      </c>
      <c r="D6031" s="2" t="str">
        <f t="shared" si="93"/>
        <v>Error?</v>
      </c>
    </row>
    <row r="6032" spans="1:5" x14ac:dyDescent="0.2">
      <c r="A6032" s="5">
        <v>5971</v>
      </c>
      <c r="B6032" s="1832">
        <f>'Acct Summary 7-8'!G15</f>
        <v>6891</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13116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6663</v>
      </c>
      <c r="D6076" s="2" t="str">
        <f t="shared" si="93"/>
        <v>Error?</v>
      </c>
      <c r="E6076" s="2" t="s">
        <v>924</v>
      </c>
    </row>
    <row r="6077" spans="1:5" x14ac:dyDescent="0.2">
      <c r="A6077">
        <v>6016</v>
      </c>
      <c r="B6077" s="1832">
        <f>'Short-Term Long-Term Debt 24'!D27</f>
        <v>9480</v>
      </c>
      <c r="D6077" s="2" t="str">
        <f t="shared" si="93"/>
        <v>Error?</v>
      </c>
      <c r="E6077" s="2" t="s">
        <v>924</v>
      </c>
    </row>
    <row r="6078" spans="1:5" x14ac:dyDescent="0.2">
      <c r="A6078">
        <v>6017</v>
      </c>
      <c r="B6078" s="1832">
        <f>'Short-Term Long-Term Debt 24'!E27</f>
        <v>16143</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44200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63672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33000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11200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63672</v>
      </c>
      <c r="D6215" s="2" t="str">
        <f t="shared" si="96"/>
        <v>Error?</v>
      </c>
      <c r="E6215" s="2" t="s">
        <v>189</v>
      </c>
    </row>
    <row r="6216" spans="1:5" x14ac:dyDescent="0.2">
      <c r="A6216">
        <v>6155</v>
      </c>
      <c r="B6216" s="1832">
        <f>'Assets-Liab 5-6'!J41</f>
        <v>63672</v>
      </c>
      <c r="D6216" s="2" t="str">
        <f t="shared" si="96"/>
        <v>Error?</v>
      </c>
      <c r="E6216" s="2" t="s">
        <v>189</v>
      </c>
    </row>
    <row r="6217" spans="1:5" x14ac:dyDescent="0.2">
      <c r="A6217">
        <v>6156</v>
      </c>
      <c r="B6217" s="1832">
        <f>'Assets-Liab 5-6'!J4</f>
        <v>63672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259776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259776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259776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223987</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223987</v>
      </c>
      <c r="D6229" s="2" t="str">
        <f t="shared" si="96"/>
        <v>Error?</v>
      </c>
      <c r="E6229" s="2" t="s">
        <v>189</v>
      </c>
    </row>
    <row r="6230" spans="1:5" x14ac:dyDescent="0.2">
      <c r="A6230">
        <v>6169</v>
      </c>
      <c r="B6230" s="1832">
        <f>'Acct Summary 7-8'!J20</f>
        <v>35789</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35789</v>
      </c>
      <c r="D6263" s="2" t="str">
        <f t="shared" si="96"/>
        <v>Error?</v>
      </c>
      <c r="E6263" s="2" t="s">
        <v>189</v>
      </c>
    </row>
    <row r="6264" spans="1:5" x14ac:dyDescent="0.2">
      <c r="A6264">
        <v>6203</v>
      </c>
      <c r="B6264" s="1832">
        <f>'Acct Summary 7-8'!J79</f>
        <v>27883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63672</v>
      </c>
      <c r="D6266" s="2" t="str">
        <f t="shared" si="96"/>
        <v>Error?</v>
      </c>
      <c r="E6266" s="2" t="s">
        <v>189</v>
      </c>
    </row>
    <row r="6267" spans="1:5" x14ac:dyDescent="0.2">
      <c r="A6267">
        <v>6206</v>
      </c>
      <c r="B6267" s="1832">
        <f>'Acct Summary 7-8'!C82</f>
        <v>-297512</v>
      </c>
      <c r="D6267" s="2" t="str">
        <f t="shared" si="96"/>
        <v>Error?</v>
      </c>
      <c r="E6267" s="2" t="s">
        <v>189</v>
      </c>
    </row>
    <row r="6268" spans="1:5" x14ac:dyDescent="0.2">
      <c r="A6268">
        <v>6207</v>
      </c>
      <c r="B6268" s="1832">
        <f>'Acct Summary 7-8'!D82</f>
        <v>338689</v>
      </c>
      <c r="D6268" s="2" t="str">
        <f t="shared" si="96"/>
        <v>Error?</v>
      </c>
      <c r="E6268" s="2" t="s">
        <v>189</v>
      </c>
    </row>
    <row r="6269" spans="1:5" x14ac:dyDescent="0.2">
      <c r="A6269">
        <v>6208</v>
      </c>
      <c r="B6269" s="1832">
        <f>'Acct Summary 7-8'!E82</f>
        <v>156531</v>
      </c>
      <c r="D6269" s="2" t="str">
        <f t="shared" si="96"/>
        <v>Error?</v>
      </c>
      <c r="E6269" s="2" t="s">
        <v>189</v>
      </c>
    </row>
    <row r="6270" spans="1:5" x14ac:dyDescent="0.2">
      <c r="A6270">
        <v>6209</v>
      </c>
      <c r="B6270" s="1832">
        <f>'Acct Summary 7-8'!F82</f>
        <v>-114036</v>
      </c>
      <c r="D6270" s="2" t="str">
        <f t="shared" si="96"/>
        <v>Error?</v>
      </c>
      <c r="E6270" s="2" t="s">
        <v>189</v>
      </c>
    </row>
    <row r="6271" spans="1:5" x14ac:dyDescent="0.2">
      <c r="A6271">
        <v>6210</v>
      </c>
      <c r="B6271" s="1832">
        <f>'Acct Summary 7-8'!G82</f>
        <v>-674</v>
      </c>
      <c r="D6271" s="2" t="str">
        <f t="shared" ref="D6271:D6334" si="97">IF(ISBLANK(B6271),"OK",IF(A6271-B6271=0,"OK","Error?"))</f>
        <v>Error?</v>
      </c>
      <c r="E6271" s="2" t="s">
        <v>189</v>
      </c>
    </row>
    <row r="6272" spans="1:5" x14ac:dyDescent="0.2">
      <c r="A6272">
        <v>6211</v>
      </c>
      <c r="B6272" s="1832">
        <f>'Acct Summary 7-8'!H82</f>
        <v>1290568</v>
      </c>
      <c r="D6272" s="2" t="str">
        <f t="shared" si="97"/>
        <v>Error?</v>
      </c>
      <c r="E6272" s="2" t="s">
        <v>189</v>
      </c>
    </row>
    <row r="6273" spans="1:5" x14ac:dyDescent="0.2">
      <c r="A6273">
        <v>6212</v>
      </c>
      <c r="B6273" s="1832">
        <f>'Acct Summary 7-8'!I82</f>
        <v>-373037</v>
      </c>
      <c r="D6273" s="2" t="str">
        <f t="shared" si="97"/>
        <v>Error?</v>
      </c>
      <c r="E6273" s="2" t="s">
        <v>189</v>
      </c>
    </row>
    <row r="6274" spans="1:5" x14ac:dyDescent="0.2">
      <c r="A6274">
        <v>6213</v>
      </c>
      <c r="B6274" s="1832">
        <f>'Acct Summary 7-8'!J82</f>
        <v>35789</v>
      </c>
      <c r="D6274" s="2" t="str">
        <f t="shared" si="97"/>
        <v>Error?</v>
      </c>
      <c r="E6274" s="2" t="s">
        <v>189</v>
      </c>
    </row>
    <row r="6275" spans="1:5" x14ac:dyDescent="0.2">
      <c r="A6275">
        <v>6214</v>
      </c>
      <c r="B6275" s="1832">
        <f>'Acct Summary 7-8'!K82</f>
        <v>23899</v>
      </c>
      <c r="D6275" s="2" t="str">
        <f t="shared" si="97"/>
        <v>Error?</v>
      </c>
      <c r="E6275" s="2" t="s">
        <v>189</v>
      </c>
    </row>
    <row r="6276" spans="1:5" x14ac:dyDescent="0.2">
      <c r="A6276">
        <v>6215</v>
      </c>
      <c r="B6276" s="1832">
        <f>'Acct Summary 7-8'!C83</f>
        <v>-0.20451636408631274</v>
      </c>
      <c r="D6276" s="2" t="str">
        <f t="shared" si="97"/>
        <v>Error?</v>
      </c>
      <c r="E6276" s="2" t="s">
        <v>189</v>
      </c>
    </row>
    <row r="6277" spans="1:5" x14ac:dyDescent="0.2">
      <c r="A6277">
        <v>6216</v>
      </c>
      <c r="B6277" s="1832">
        <f>'Acct Summary 7-8'!D83</f>
        <v>0.52170611295527536</v>
      </c>
      <c r="D6277" s="2" t="str">
        <f t="shared" si="97"/>
        <v>Error?</v>
      </c>
      <c r="E6277" s="2" t="s">
        <v>189</v>
      </c>
    </row>
    <row r="6278" spans="1:5" x14ac:dyDescent="0.2">
      <c r="A6278">
        <v>6217</v>
      </c>
      <c r="B6278" s="1832">
        <f>'Acct Summary 7-8'!E83</f>
        <v>0.84071927685606407</v>
      </c>
      <c r="D6278" s="2" t="str">
        <f t="shared" si="97"/>
        <v>Error?</v>
      </c>
      <c r="E6278" s="2" t="s">
        <v>189</v>
      </c>
    </row>
    <row r="6279" spans="1:5" x14ac:dyDescent="0.2">
      <c r="A6279">
        <v>6218</v>
      </c>
      <c r="B6279" s="1832">
        <f>'Acct Summary 7-8'!F83</f>
        <v>-0.42010565637364339</v>
      </c>
      <c r="D6279" s="2" t="str">
        <f t="shared" si="97"/>
        <v>Error?</v>
      </c>
      <c r="E6279" s="2" t="s">
        <v>189</v>
      </c>
    </row>
    <row r="6280" spans="1:5" x14ac:dyDescent="0.2">
      <c r="A6280">
        <v>6219</v>
      </c>
      <c r="B6280" s="1832">
        <f>'Acct Summary 7-8'!G83</f>
        <v>6.8593527376348468E-2</v>
      </c>
      <c r="D6280" s="2" t="str">
        <f t="shared" si="97"/>
        <v>Error?</v>
      </c>
      <c r="E6280" s="2" t="s">
        <v>189</v>
      </c>
    </row>
    <row r="6281" spans="1:5" x14ac:dyDescent="0.2">
      <c r="A6281">
        <v>6220</v>
      </c>
      <c r="B6281" s="1832">
        <f>'Acct Summary 7-8'!H83</f>
        <v>0.93448318308533362</v>
      </c>
      <c r="D6281" s="2" t="str">
        <f t="shared" si="97"/>
        <v>Error?</v>
      </c>
      <c r="E6281" s="2" t="s">
        <v>189</v>
      </c>
    </row>
    <row r="6282" spans="1:5" x14ac:dyDescent="0.2">
      <c r="A6282">
        <v>6221</v>
      </c>
      <c r="B6282" s="1832">
        <f>'Acct Summary 7-8'!I83</f>
        <v>-1.976522513166679</v>
      </c>
      <c r="D6282" s="2" t="str">
        <f t="shared" si="97"/>
        <v>Error?</v>
      </c>
      <c r="E6282" s="2" t="s">
        <v>189</v>
      </c>
    </row>
    <row r="6283" spans="1:5" x14ac:dyDescent="0.2">
      <c r="A6283">
        <v>6222</v>
      </c>
      <c r="B6283" s="1832">
        <f>'Acct Summary 7-8'!J83</f>
        <v>0.56208380449805251</v>
      </c>
      <c r="D6283" s="2" t="str">
        <f t="shared" si="97"/>
        <v>Error?</v>
      </c>
      <c r="E6283" s="2" t="s">
        <v>189</v>
      </c>
    </row>
    <row r="6284" spans="1:5" x14ac:dyDescent="0.2">
      <c r="A6284">
        <v>6223</v>
      </c>
      <c r="B6284" s="1832">
        <f>'Acct Summary 7-8'!K83</f>
        <v>0.14032481563248625</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259776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259776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259776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52467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56075</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2649</v>
      </c>
      <c r="D7018" s="2" t="str">
        <f t="shared" si="108"/>
        <v>Error?</v>
      </c>
    </row>
    <row r="7019" spans="1:4" x14ac:dyDescent="0.2">
      <c r="A7019">
        <v>6958</v>
      </c>
      <c r="B7019" s="1832">
        <f>'Expenditures 15-22'!K112</f>
        <v>2649</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223987</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259776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8159</v>
      </c>
      <c r="D7073" s="2" t="str">
        <f t="shared" si="109"/>
        <v>Error?</v>
      </c>
    </row>
    <row r="7074" spans="1:4" x14ac:dyDescent="0.2">
      <c r="A7074">
        <v>7013</v>
      </c>
      <c r="B7074" s="1832">
        <f>'Expenditures 15-22'!K216</f>
        <v>8159</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587</v>
      </c>
      <c r="D7093" s="2" t="str">
        <f t="shared" si="109"/>
        <v>Error?</v>
      </c>
    </row>
    <row r="7094" spans="1:4" x14ac:dyDescent="0.2">
      <c r="A7094">
        <v>7033</v>
      </c>
      <c r="B7094" s="1832">
        <f>'Expenditures 15-22'!K254</f>
        <v>587</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13131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13131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101</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101</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12129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12129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17400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17400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148959</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5670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154629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11389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11389</v>
      </c>
      <c r="D7198" s="2" t="str">
        <f t="shared" si="111"/>
        <v>Error?</v>
      </c>
    </row>
    <row r="7199" spans="1:4" x14ac:dyDescent="0.2">
      <c r="A7199">
        <v>7138</v>
      </c>
      <c r="B7199" s="1832">
        <f>'Expenditures 15-22'!C330</f>
        <v>148959</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69358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5670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223987</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148959</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69358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5670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223987</v>
      </c>
      <c r="D7224" s="2" t="str">
        <f t="shared" si="111"/>
        <v>Error?</v>
      </c>
    </row>
    <row r="7225" spans="1:4" x14ac:dyDescent="0.2">
      <c r="A7225">
        <v>7164</v>
      </c>
      <c r="B7225" s="1832">
        <f>'Expenditures 15-22'!K343</f>
        <v>35789</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380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3228</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109165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15208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15208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33381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97457</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97457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9562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56889</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21380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21380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78269</v>
      </c>
      <c r="D7730" s="2" t="str">
        <f t="shared" si="126"/>
        <v>Error?</v>
      </c>
      <c r="E7730" s="2" t="s">
        <v>822</v>
      </c>
    </row>
    <row r="7731" spans="1:6" x14ac:dyDescent="0.2">
      <c r="A7731">
        <v>7670</v>
      </c>
      <c r="B7731" s="1832">
        <f>'Revenues 9-14'!H103</f>
        <v>97457</v>
      </c>
      <c r="D7731" s="2" t="str">
        <f t="shared" si="126"/>
        <v>Error?</v>
      </c>
      <c r="E7731" s="2" t="s">
        <v>822</v>
      </c>
    </row>
    <row r="7732" spans="1:6" x14ac:dyDescent="0.2">
      <c r="A7732">
        <v>7671</v>
      </c>
      <c r="B7732" s="1832">
        <f>'Rest Tax Levies-Tort Im 25'!J24</f>
        <v>52569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52569</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200000</v>
      </c>
      <c r="D7749" s="2" t="str">
        <f t="shared" si="127"/>
        <v>Error?</v>
      </c>
      <c r="E7749" s="4" t="s">
        <v>1322</v>
      </c>
    </row>
    <row r="7750" spans="1:6" x14ac:dyDescent="0.2">
      <c r="A7750">
        <v>7689</v>
      </c>
      <c r="B7750" s="1832">
        <f>'Acct Summary 7-8'!E25</f>
        <v>200000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1250000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1490481</v>
      </c>
      <c r="D7817" s="2" t="str">
        <f t="shared" si="128"/>
        <v>Error?</v>
      </c>
      <c r="E7817" s="4" t="s">
        <v>1966</v>
      </c>
    </row>
    <row r="7818" spans="1:5" x14ac:dyDescent="0.2">
      <c r="A7818">
        <v>7757</v>
      </c>
      <c r="B7818" s="1832">
        <f>'PCTC-OEPP 27-28'!F172</f>
        <v>59453</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-152766</v>
      </c>
      <c r="D7820" s="2" t="str">
        <f t="shared" si="128"/>
        <v>Error?</v>
      </c>
    </row>
    <row r="7821" spans="1:5" x14ac:dyDescent="0.2">
      <c r="A7821">
        <v>7760</v>
      </c>
      <c r="B7821" s="1832">
        <f>'ICR Computation 30'!G40</f>
        <v>-152766</v>
      </c>
      <c r="D7821" s="2" t="str">
        <f t="shared" si="128"/>
        <v>Error?</v>
      </c>
    </row>
    <row r="7822" spans="1:5" x14ac:dyDescent="0.2">
      <c r="A7822" s="1">
        <v>7761</v>
      </c>
      <c r="B7822" s="1832">
        <f>'PCTC-OEPP 27-28'!F14</f>
        <v>3056706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56075</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637630</v>
      </c>
      <c r="D7834" s="2" t="str">
        <f t="shared" si="129"/>
        <v>Error?</v>
      </c>
      <c r="E7834" s="4" t="s">
        <v>1998</v>
      </c>
    </row>
    <row r="7835" spans="1:5" x14ac:dyDescent="0.2">
      <c r="A7835">
        <v>7774</v>
      </c>
      <c r="B7835" s="1832">
        <f>'PCTC-OEPP 27-28'!F78</f>
        <v>2419076</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7957.4868421052633</v>
      </c>
      <c r="D7837" s="2" t="str">
        <f t="shared" si="129"/>
        <v>Error?</v>
      </c>
      <c r="E7837" s="4" t="s">
        <v>1998</v>
      </c>
    </row>
    <row r="7838" spans="1:5" x14ac:dyDescent="0.2">
      <c r="A7838">
        <v>7777</v>
      </c>
      <c r="B7838" s="1832">
        <f>'PCTC-OEPP 27-28'!F96</f>
        <v>73617</v>
      </c>
      <c r="D7838" s="2" t="str">
        <f t="shared" si="129"/>
        <v>Error?</v>
      </c>
      <c r="E7838" s="4" t="s">
        <v>1998</v>
      </c>
    </row>
    <row r="7839" spans="1:5" x14ac:dyDescent="0.2">
      <c r="A7839">
        <v>7778</v>
      </c>
      <c r="B7839" s="1832">
        <f>'PCTC-OEPP 27-28'!F102</f>
        <v>7000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-3975</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46668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22226</v>
      </c>
      <c r="D7858" s="2" t="str">
        <f t="shared" si="129"/>
        <v>Error?</v>
      </c>
      <c r="E7858" s="4" t="s">
        <v>1998</v>
      </c>
    </row>
    <row r="7859" spans="1:5" x14ac:dyDescent="0.2">
      <c r="A7859">
        <v>7798</v>
      </c>
      <c r="B7859" s="1832">
        <f>'PCTC-OEPP 27-28'!F127</f>
        <v>51382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54063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2425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5698</v>
      </c>
      <c r="D7874" s="2" t="str">
        <f t="shared" si="129"/>
        <v>Error?</v>
      </c>
      <c r="E7874" s="4" t="s">
        <v>1998</v>
      </c>
    </row>
    <row r="7875" spans="1:5" x14ac:dyDescent="0.2">
      <c r="A7875">
        <v>7814</v>
      </c>
      <c r="B7875" s="1832">
        <f>'PCTC-OEPP 27-28'!F170</f>
        <v>5503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431638</v>
      </c>
      <c r="D7877" s="2" t="str">
        <f t="shared" si="129"/>
        <v>Error?</v>
      </c>
      <c r="E7877" s="4" t="s">
        <v>1998</v>
      </c>
    </row>
    <row r="7878" spans="1:5" x14ac:dyDescent="0.2">
      <c r="A7878">
        <v>7817</v>
      </c>
      <c r="B7878" s="1832">
        <f>'PCTC-OEPP 27-28'!F176</f>
        <v>1987438</v>
      </c>
      <c r="D7878" s="2" t="str">
        <f t="shared" si="129"/>
        <v>Error?</v>
      </c>
      <c r="E7878" s="4" t="s">
        <v>1998</v>
      </c>
    </row>
    <row r="7879" spans="1:5" x14ac:dyDescent="0.2">
      <c r="A7879">
        <v>7818</v>
      </c>
      <c r="B7879" s="1832">
        <f>'PCTC-OEPP 27-28'!F178</f>
        <v>2096603</v>
      </c>
      <c r="D7879" s="2" t="str">
        <f t="shared" si="129"/>
        <v>Error?</v>
      </c>
      <c r="E7879" s="4" t="s">
        <v>1998</v>
      </c>
    </row>
    <row r="7880" spans="1:5" x14ac:dyDescent="0.2">
      <c r="A7880">
        <v>7819</v>
      </c>
      <c r="B7880" s="1832">
        <f>'PCTC-OEPP 27-28'!F180</f>
        <v>6896.7203947368425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5670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Monroe SD 70</v>
      </c>
      <c r="B7" s="2518"/>
      <c r="C7" s="2518"/>
      <c r="D7" s="2556"/>
      <c r="E7" s="2557">
        <f>COVER!A13</f>
        <v>48072070002</v>
      </c>
      <c r="F7" s="2558"/>
      <c r="G7" s="2524" t="str">
        <f>COVER!T23</f>
        <v>066-004769</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Meister, Hilton, Chitwood &amp; Associates, Inc.</v>
      </c>
      <c r="H9" s="2531"/>
      <c r="I9" s="2531"/>
      <c r="J9" s="2531"/>
      <c r="K9" s="2531"/>
      <c r="L9" s="2532"/>
    </row>
    <row r="10" spans="1:29" ht="13.5" customHeight="1" x14ac:dyDescent="0.2">
      <c r="A10" s="2514" t="str">
        <f>COVER!A38</f>
        <v>Darrick Reiley</v>
      </c>
      <c r="B10" s="2515"/>
      <c r="C10" s="2515"/>
      <c r="D10" s="2515"/>
      <c r="E10" s="2515"/>
      <c r="F10" s="2516"/>
      <c r="G10" s="2530" t="str">
        <f>COVER!T17</f>
        <v>809 W. Detweiller Drive, Suite 806</v>
      </c>
      <c r="H10" s="2543"/>
      <c r="I10" s="2543"/>
      <c r="J10" s="2543"/>
      <c r="K10" s="2543"/>
      <c r="L10" s="2544"/>
    </row>
    <row r="11" spans="1:29" ht="13.5" customHeight="1" x14ac:dyDescent="0.2">
      <c r="A11" s="963" t="s">
        <v>1502</v>
      </c>
      <c r="B11" s="964"/>
      <c r="C11" s="965"/>
      <c r="D11" s="970"/>
      <c r="E11" s="965"/>
      <c r="F11" s="969"/>
      <c r="G11" s="2530" t="str">
        <f>COVER!T19</f>
        <v>Peoria</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ron.hilton1@comcast.net</v>
      </c>
      <c r="J13" s="2552"/>
      <c r="K13" s="2552"/>
      <c r="L13" s="2553"/>
    </row>
    <row r="14" spans="1:29" ht="13.5" customHeight="1" x14ac:dyDescent="0.2">
      <c r="A14" s="2530" t="str">
        <f>COVER!A19</f>
        <v>5137 West Cisna Road</v>
      </c>
      <c r="B14" s="2543"/>
      <c r="C14" s="2543"/>
      <c r="D14" s="2543"/>
      <c r="E14" s="2543"/>
      <c r="F14" s="2544"/>
      <c r="G14" s="974" t="s">
        <v>1175</v>
      </c>
      <c r="H14" s="972"/>
      <c r="I14" s="972"/>
      <c r="J14" s="972"/>
      <c r="K14" s="972"/>
      <c r="L14" s="973"/>
    </row>
    <row r="15" spans="1:29" ht="13.5" customHeight="1" x14ac:dyDescent="0.2">
      <c r="A15" s="2530" t="str">
        <f>COVER!A21</f>
        <v>Bartonville</v>
      </c>
      <c r="B15" s="2543"/>
      <c r="C15" s="2543"/>
      <c r="D15" s="2543"/>
      <c r="E15" s="2543"/>
      <c r="F15" s="2544"/>
      <c r="G15" s="2540" t="str">
        <f>COVER!T15</f>
        <v>Ron Hilton</v>
      </c>
      <c r="H15" s="2541"/>
      <c r="I15" s="2541"/>
      <c r="J15" s="2541"/>
      <c r="K15" s="2541"/>
      <c r="L15" s="2542"/>
    </row>
    <row r="16" spans="1:29" ht="12.2" customHeight="1" x14ac:dyDescent="0.2">
      <c r="A16" s="2520">
        <f>COVER!A25</f>
        <v>61607</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(309) 683-0441</v>
      </c>
      <c r="H18" s="2518"/>
      <c r="I18" s="2518"/>
      <c r="J18" s="2518"/>
      <c r="K18" s="2517" t="str">
        <f>COVER!X21</f>
        <v>(309) 692-0492</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Monroe SD 70</v>
      </c>
      <c r="B1" s="2560"/>
      <c r="C1" s="2560"/>
      <c r="D1" s="2560"/>
    </row>
    <row r="2" spans="1:11" s="991" customFormat="1" ht="12.75" x14ac:dyDescent="0.2">
      <c r="A2" s="2561">
        <f>'Single Audit Cover'!E7</f>
        <v>48072070002</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Monroe SD 70</v>
      </c>
      <c r="B1" s="2564"/>
      <c r="C1" s="2564"/>
      <c r="D1" s="2564"/>
      <c r="E1" s="2564"/>
    </row>
    <row r="2" spans="1:5" x14ac:dyDescent="0.2">
      <c r="A2" s="2565">
        <f>'Single Audit Cover'!E7</f>
        <v>48072070002</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141297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13116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-5503</v>
      </c>
    </row>
    <row r="19" spans="1:4" ht="13.5" thickBot="1" x14ac:dyDescent="0.25">
      <c r="A19" s="1041" t="s">
        <v>1224</v>
      </c>
      <c r="D19" s="1042">
        <f>SUM(D10:D17)</f>
        <v>148910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148910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148910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Monroe SD 70</v>
      </c>
      <c r="C1" s="2568"/>
      <c r="D1" s="2568"/>
      <c r="E1" s="2568"/>
      <c r="F1" s="2568"/>
      <c r="G1" s="2568"/>
      <c r="H1" s="2568"/>
      <c r="I1" s="2568"/>
      <c r="J1" s="2568"/>
      <c r="K1" s="2568"/>
      <c r="L1" s="2568"/>
      <c r="M1" s="2568"/>
    </row>
    <row r="2" spans="2:14" ht="15" x14ac:dyDescent="0.2">
      <c r="B2" s="2569">
        <f>'Single Audit Cover'!E7</f>
        <v>48072070002</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7"/>
      <c r="J5" s="1917"/>
    </row>
    <row r="6" spans="2:14" x14ac:dyDescent="0.2">
      <c r="B6" s="1079"/>
      <c r="C6" s="1080"/>
      <c r="D6" s="1081" t="s">
        <v>1254</v>
      </c>
      <c r="E6" s="1082" t="s">
        <v>524</v>
      </c>
      <c r="F6" s="1083"/>
      <c r="G6" s="1084" t="s">
        <v>1711</v>
      </c>
      <c r="H6" s="1082"/>
      <c r="I6" s="1082"/>
      <c r="J6" s="1918"/>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6" t="str">
        <f>"7/1/"&amp;MID('AFR20'!$E$2,3,2)-2&amp;"-6/30/"&amp;MID('AFR20'!$E$2,3,2)-1</f>
        <v>7/1/18-6/30/19</v>
      </c>
      <c r="F9" s="1916" t="str">
        <f>"7/1/"&amp;MID('AFR20'!$E$2,3,2)-1&amp;"-6/30/"&amp;MID('AFR20'!$E$2,3,2)</f>
        <v>7/1/19-6/30/20</v>
      </c>
      <c r="G9" s="1916" t="str">
        <f>"7/1/"&amp;MID('AFR20'!$E$2,3,2)-2&amp;"-6/30/"&amp;MID('AFR20'!$E$2,3,2)-1</f>
        <v>7/1/18-6/30/19</v>
      </c>
      <c r="H9" s="1093" t="s">
        <v>1565</v>
      </c>
      <c r="I9" s="1916"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Monroe SD 70</v>
      </c>
      <c r="B1" s="2573"/>
      <c r="C1" s="2573"/>
      <c r="D1" s="2573"/>
      <c r="E1" s="2573"/>
      <c r="F1" s="2573"/>
    </row>
    <row r="2" spans="1:7" ht="13.5" customHeight="1" x14ac:dyDescent="0.2">
      <c r="A2" s="2569">
        <f>'Single Audit Cover'!E7</f>
        <v>48072070002</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t="s">
        <v>2060</v>
      </c>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2060</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t="s">
        <v>2070</v>
      </c>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Monroe SD 70</v>
      </c>
      <c r="C1" s="2589"/>
      <c r="D1" s="2589"/>
      <c r="E1" s="2589"/>
      <c r="F1" s="2589"/>
      <c r="G1" s="2589"/>
      <c r="H1" s="2589"/>
      <c r="I1" s="2589"/>
      <c r="J1" s="1178"/>
    </row>
    <row r="2" spans="2:10" s="295" customFormat="1" ht="12.75" customHeight="1" x14ac:dyDescent="0.2">
      <c r="B2" s="2590">
        <f>'Single Audit Cover'!E7</f>
        <v>48072070002</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9" t="str">
        <f>"Total Federal Expenditures for 7/1/"&amp;MID('AFR20'!E2,3,2)-1&amp;"-6/30/"&amp;MID('AFR20'!E2,3,2)</f>
        <v>Total Federal Expenditures for 7/1/19-6/30/20</v>
      </c>
      <c r="C45" s="1920"/>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I11" sqref="I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Monroe SD 70</v>
      </c>
      <c r="C1" s="2588"/>
      <c r="D1" s="2588"/>
      <c r="E1" s="2588"/>
      <c r="F1" s="2588"/>
      <c r="G1" s="2588"/>
      <c r="H1" s="2588"/>
      <c r="I1" s="2588"/>
      <c r="J1" s="2588"/>
      <c r="K1" s="2588"/>
      <c r="L1" s="1144"/>
      <c r="M1" s="1144"/>
    </row>
    <row r="2" spans="1:13" ht="12" customHeight="1" x14ac:dyDescent="0.2">
      <c r="B2" s="2590">
        <f>'Single Audit Cover'!E7</f>
        <v>48072070002</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1990</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t="s">
        <v>2081</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t="s">
        <v>2082</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t="s">
        <v>2083</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2084</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2085</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t="s">
        <v>2086</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t="s">
        <v>2087</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4" zoomScale="110" zoomScaleNormal="110" workbookViewId="0">
      <selection activeCell="K41" sqref="K41:L4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Monroe SD 70</v>
      </c>
      <c r="C1" s="2588"/>
      <c r="D1" s="2588"/>
      <c r="E1" s="2588"/>
      <c r="F1" s="2588"/>
      <c r="G1" s="2588"/>
      <c r="H1" s="2588"/>
      <c r="I1" s="2588"/>
      <c r="J1" s="2588"/>
      <c r="K1" s="2588"/>
      <c r="L1" s="1144"/>
      <c r="M1" s="1144"/>
    </row>
    <row r="2" spans="1:13" ht="12" customHeight="1" x14ac:dyDescent="0.2">
      <c r="B2" s="2590">
        <f>'Single Audit Cover'!E7</f>
        <v>48072070002</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2037"/>
      <c r="M3" s="203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1" t="str">
        <f>'AFR20'!$E$2&amp;"-"</f>
        <v>2020-</v>
      </c>
      <c r="D10" s="1155">
        <v>2</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2008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5.15" customHeight="1" x14ac:dyDescent="0.2">
      <c r="B14" s="2610" t="s">
        <v>2088</v>
      </c>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70.900000000000006" customHeight="1" x14ac:dyDescent="0.2">
      <c r="B17" s="2610" t="s">
        <v>2089</v>
      </c>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t="s">
        <v>2090</v>
      </c>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t="s">
        <v>2091</v>
      </c>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t="s">
        <v>2092</v>
      </c>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0.45" customHeight="1" x14ac:dyDescent="0.2">
      <c r="B29" s="2609" t="s">
        <v>2093</v>
      </c>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54" customHeight="1" x14ac:dyDescent="0.2">
      <c r="B32" s="2609" t="s">
        <v>2094</v>
      </c>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Monroe SD 70</v>
      </c>
      <c r="C1" s="2615"/>
      <c r="D1" s="2615"/>
      <c r="E1" s="2615"/>
      <c r="F1" s="2615"/>
      <c r="G1" s="2615"/>
      <c r="H1" s="2615"/>
      <c r="I1" s="2615"/>
      <c r="J1" s="2615"/>
      <c r="K1" s="2615"/>
      <c r="L1" s="1221"/>
    </row>
    <row r="2" spans="1:12" ht="12.75" customHeight="1" x14ac:dyDescent="0.2">
      <c r="B2" s="2616">
        <f>'Single Audit Cover'!E7</f>
        <v>48072070002</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1"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Monroe SD 70</v>
      </c>
      <c r="C1" s="2588"/>
      <c r="D1" s="2588"/>
      <c r="E1" s="1240"/>
    </row>
    <row r="2" spans="2:5" s="1058" customFormat="1" ht="12.75" customHeight="1" x14ac:dyDescent="0.2">
      <c r="B2" s="2590">
        <f>'Single Audit Cover'!E7</f>
        <v>48072070002</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50168118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1.9335000000000001E-2</v>
      </c>
      <c r="E10" s="333" t="s">
        <v>998</v>
      </c>
      <c r="F10" s="332">
        <v>2.4919999999999999E-3</v>
      </c>
      <c r="G10" s="333" t="s">
        <v>998</v>
      </c>
      <c r="H10" s="332">
        <v>1.993E-3</v>
      </c>
      <c r="I10" s="333" t="s">
        <v>999</v>
      </c>
      <c r="J10" s="1424">
        <f>ROUND(D10+F10+H10,5)</f>
        <v>2.3820000000000001E-2</v>
      </c>
      <c r="K10" s="217"/>
      <c r="L10" s="332">
        <v>4.9799999999999996E-4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2413935</v>
      </c>
      <c r="E16" s="1547"/>
      <c r="F16" s="1546">
        <f>SUM('Acct Summary 7-8'!C17,'Acct Summary 7-8'!D17,'Acct Summary 7-8'!F17)</f>
        <v>2688845</v>
      </c>
      <c r="G16" s="1547"/>
      <c r="H16" s="1546">
        <f>SUM(D16-F16)</f>
        <v>-274910</v>
      </c>
      <c r="I16" s="1548"/>
      <c r="J16" s="1546">
        <f>SUM('Acct Summary 7-8'!C81,'Acct Summary 7-8'!D81,'Acct Summary 7-8'!F81,'Acct Summary 7-8'!I81)</f>
        <v>2564085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1063</v>
      </c>
      <c r="E31" s="217"/>
      <c r="F31" s="217"/>
      <c r="G31" s="340"/>
      <c r="H31" s="1425">
        <f>IF(B31="X",(J7*0.069),IF(B32="X",(J7*0.138),"Enter x in a.or b."))</f>
        <v>3461600.1420000005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1262530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Monroe SD 70</v>
      </c>
      <c r="E7" s="368"/>
      <c r="G7" s="247"/>
      <c r="H7" s="364"/>
      <c r="I7" s="364"/>
      <c r="J7" s="364"/>
      <c r="K7" s="364"/>
      <c r="L7" s="307"/>
      <c r="M7" s="307"/>
      <c r="N7" s="307"/>
      <c r="O7" s="307"/>
      <c r="P7" s="307"/>
    </row>
    <row r="8" spans="1:18" ht="12.75" x14ac:dyDescent="0.2">
      <c r="A8" s="307"/>
      <c r="B8" s="307"/>
      <c r="C8" s="366" t="s">
        <v>1115</v>
      </c>
      <c r="D8" s="369">
        <f>COVER!A13</f>
        <v>48072070002</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2554259</v>
      </c>
      <c r="I12" s="380"/>
      <c r="J12" s="380"/>
      <c r="K12" s="1559">
        <f>TRUNC((H12/H13*100000),5)/100000</f>
        <v>1.0581308113000001</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2413935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2</v>
      </c>
      <c r="P16" s="211"/>
      <c r="R16" s="361"/>
    </row>
    <row r="17" spans="1:18" s="382" customFormat="1" ht="11.25" x14ac:dyDescent="0.2">
      <c r="A17" s="213"/>
      <c r="B17" s="377"/>
      <c r="C17" s="213" t="s">
        <v>792</v>
      </c>
      <c r="D17" s="213"/>
      <c r="E17" s="213"/>
      <c r="F17" s="213" t="s">
        <v>441</v>
      </c>
      <c r="G17" s="378"/>
      <c r="H17" s="1551">
        <f>SUM('Acct Summary 7-8'!C17+'Acct Summary 7-8'!D17+'Acct Summary 7-8'!F17)</f>
        <v>2688845</v>
      </c>
      <c r="I17" s="380"/>
      <c r="J17" s="389"/>
      <c r="K17" s="1559">
        <f>TRUNC((H17/H18*100000),5)/100000</f>
        <v>1.1138845909000001</v>
      </c>
      <c r="L17" s="381"/>
      <c r="M17" s="390" t="s">
        <v>1161</v>
      </c>
      <c r="O17" s="1565" t="str">
        <f>IF(AND(O16="2", J20 &gt; 2),"1",IF(AND(O16 = "1", J20 &gt; 2),"2",IF(AND(O16="1", J20 &gt;1),"1","0")))</f>
        <v>1</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2413935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8.4131733999999998</v>
      </c>
      <c r="K20" s="1559">
        <f>IF(K17&lt;=1,"0",IF(AND(O16="2", J20 &gt; 2),TRUNC(((K12-0.1)/(K17-1)*100),5)/100,IF(AND(O16 = "1", J20 &gt; 2),TRUNC(((K12-0.1)/(K17-1)*100),5)/100,IF(AND(O16="1", J20 &gt;1),TRUNC(((K12-0.1)/(K17-1)*100),5)/100,""))))</f>
        <v>8.4131733999999998</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2516396</v>
      </c>
      <c r="I24" s="394"/>
      <c r="J24" s="394"/>
      <c r="K24" s="1555">
        <f>TRUNC(((H24/H25*100000)/100000),2)</f>
        <v>336.91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7469.0138900000002</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1015753.88515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1262530</v>
      </c>
      <c r="I32" s="392"/>
      <c r="J32" s="392"/>
      <c r="K32" s="1555">
        <f>TRUNC(100-((((H32/H33*100))*100)/100),2)</f>
        <v>63.52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3461600.1420000005</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8" zoomScaleNormal="98" workbookViewId="0">
      <pane ySplit="2" topLeftCell="A18"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539495</v>
      </c>
      <c r="D4" s="1573">
        <v>425861</v>
      </c>
      <c r="E4" s="1573">
        <v>205795</v>
      </c>
      <c r="F4" s="1573">
        <v>109856</v>
      </c>
      <c r="G4" s="1573">
        <v>1179</v>
      </c>
      <c r="H4" s="1573">
        <v>1381050</v>
      </c>
      <c r="I4" s="1573">
        <v>99147</v>
      </c>
      <c r="J4" s="1574">
        <v>63672</v>
      </c>
      <c r="K4" s="1573">
        <v>170312</v>
      </c>
      <c r="L4" s="1573">
        <v>4891</v>
      </c>
      <c r="M4" s="1575"/>
      <c r="N4" s="1576"/>
    </row>
    <row r="5" spans="1:14" x14ac:dyDescent="0.2">
      <c r="A5" s="427" t="s">
        <v>985</v>
      </c>
      <c r="B5" s="429">
        <v>120</v>
      </c>
      <c r="C5" s="1572">
        <v>867078</v>
      </c>
      <c r="D5" s="1573">
        <v>223782</v>
      </c>
      <c r="E5" s="1573">
        <v>13392</v>
      </c>
      <c r="F5" s="1573">
        <v>161590</v>
      </c>
      <c r="G5" s="1573">
        <v>23</v>
      </c>
      <c r="H5" s="1573"/>
      <c r="I5" s="1573">
        <v>89587</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44200</v>
      </c>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3937</v>
      </c>
      <c r="D12" s="1573"/>
      <c r="E12" s="1573"/>
      <c r="F12" s="1573"/>
      <c r="G12" s="1573">
        <v>172</v>
      </c>
      <c r="H12" s="1573"/>
      <c r="I12" s="1573"/>
      <c r="J12" s="1574"/>
      <c r="K12" s="1573"/>
      <c r="L12" s="1573"/>
      <c r="M12" s="1576"/>
      <c r="N12" s="1576"/>
    </row>
    <row r="13" spans="1:14" ht="13.5" customHeight="1" thickBot="1" x14ac:dyDescent="0.25">
      <c r="A13" s="1426" t="s">
        <v>639</v>
      </c>
      <c r="B13" s="1407"/>
      <c r="C13" s="1587">
        <f>SUM(C4:C12)</f>
        <v>1454710</v>
      </c>
      <c r="D13" s="1587">
        <f t="shared" ref="D13:L13" si="0">SUM(D4:D12)</f>
        <v>649643</v>
      </c>
      <c r="E13" s="1587">
        <f t="shared" si="0"/>
        <v>219187</v>
      </c>
      <c r="F13" s="1587">
        <f t="shared" si="0"/>
        <v>271446</v>
      </c>
      <c r="G13" s="1587">
        <f t="shared" si="0"/>
        <v>1374</v>
      </c>
      <c r="H13" s="1587">
        <f t="shared" si="0"/>
        <v>1381050</v>
      </c>
      <c r="I13" s="1587">
        <f t="shared" si="0"/>
        <v>188734</v>
      </c>
      <c r="J13" s="1587">
        <f t="shared" si="0"/>
        <v>63672</v>
      </c>
      <c r="K13" s="1587">
        <f t="shared" si="0"/>
        <v>170312</v>
      </c>
      <c r="L13" s="1587">
        <f t="shared" si="0"/>
        <v>4891</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16025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667039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474029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167835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122323</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186187</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1076343</v>
      </c>
    </row>
    <row r="23" spans="1:14" ht="13.5" customHeight="1" thickBot="1" x14ac:dyDescent="0.25">
      <c r="A23" s="1426" t="s">
        <v>638</v>
      </c>
      <c r="B23" s="1429"/>
      <c r="C23" s="1575"/>
      <c r="D23" s="1575"/>
      <c r="E23" s="1575"/>
      <c r="F23" s="1575"/>
      <c r="G23" s="1575"/>
      <c r="H23" s="1575"/>
      <c r="I23" s="1575"/>
      <c r="J23" s="1575"/>
      <c r="K23" s="1575"/>
      <c r="L23" s="1575"/>
      <c r="M23" s="1594">
        <f>SUM(M15:M22)</f>
        <v>1447251</v>
      </c>
      <c r="N23" s="1594">
        <f>SUM(N21:N22)</f>
        <v>1262530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v>33000</v>
      </c>
      <c r="F25" s="1583"/>
      <c r="G25" s="1583">
        <v>11200</v>
      </c>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v>448</v>
      </c>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4891</v>
      </c>
      <c r="M33" s="1575"/>
      <c r="N33" s="1576"/>
    </row>
    <row r="34" spans="1:14" ht="13.5" customHeight="1" thickBot="1" x14ac:dyDescent="0.25">
      <c r="A34" s="1427" t="s">
        <v>649</v>
      </c>
      <c r="B34" s="1428"/>
      <c r="C34" s="1600">
        <f>SUM(C25:C33)</f>
        <v>0</v>
      </c>
      <c r="D34" s="1600">
        <f t="shared" ref="D34:K34" si="1">SUM(D25:D33)</f>
        <v>448</v>
      </c>
      <c r="E34" s="1600">
        <f t="shared" si="1"/>
        <v>33000</v>
      </c>
      <c r="F34" s="1600">
        <f t="shared" si="1"/>
        <v>0</v>
      </c>
      <c r="G34" s="1600">
        <f t="shared" si="1"/>
        <v>11200</v>
      </c>
      <c r="H34" s="1600">
        <f t="shared" si="1"/>
        <v>0</v>
      </c>
      <c r="I34" s="1600">
        <f t="shared" si="1"/>
        <v>0</v>
      </c>
      <c r="J34" s="1600">
        <f t="shared" si="1"/>
        <v>0</v>
      </c>
      <c r="K34" s="1600">
        <f t="shared" si="1"/>
        <v>0</v>
      </c>
      <c r="L34" s="1601">
        <f>SUM(L33)</f>
        <v>4891</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1262530</v>
      </c>
    </row>
    <row r="37" spans="1:14" ht="13.5" thickBot="1" x14ac:dyDescent="0.25">
      <c r="A37" s="1426" t="s">
        <v>648</v>
      </c>
      <c r="B37" s="1429"/>
      <c r="C37" s="1582"/>
      <c r="D37" s="1582"/>
      <c r="E37" s="1582"/>
      <c r="F37" s="1582"/>
      <c r="G37" s="1582"/>
      <c r="H37" s="1582"/>
      <c r="I37" s="1582"/>
      <c r="J37" s="1582"/>
      <c r="K37" s="1582"/>
      <c r="L37" s="1585"/>
      <c r="M37" s="1575"/>
      <c r="N37" s="1594">
        <f>SUM(N36:N36)</f>
        <v>1262530</v>
      </c>
    </row>
    <row r="38" spans="1:14" s="307" customFormat="1" ht="13.5" customHeight="1" thickTop="1" x14ac:dyDescent="0.2">
      <c r="A38" s="438" t="s">
        <v>417</v>
      </c>
      <c r="B38" s="432">
        <v>714</v>
      </c>
      <c r="C38" s="1573">
        <v>0</v>
      </c>
      <c r="D38" s="1573">
        <v>50000</v>
      </c>
      <c r="E38" s="1573">
        <v>0</v>
      </c>
      <c r="F38" s="1573">
        <v>0</v>
      </c>
      <c r="G38" s="1573">
        <v>0</v>
      </c>
      <c r="H38" s="1573">
        <v>1302569</v>
      </c>
      <c r="I38" s="1573">
        <v>0</v>
      </c>
      <c r="J38" s="1573">
        <v>0</v>
      </c>
      <c r="K38" s="1573">
        <v>0</v>
      </c>
      <c r="L38" s="1586"/>
      <c r="M38" s="1604"/>
      <c r="N38" s="1604"/>
    </row>
    <row r="39" spans="1:14" s="307" customFormat="1" ht="13.5" customHeight="1" x14ac:dyDescent="0.2">
      <c r="A39" s="438" t="s">
        <v>339</v>
      </c>
      <c r="B39" s="432">
        <v>730</v>
      </c>
      <c r="C39" s="1573">
        <f>'Acct Summary 7-8'!C81-C38</f>
        <v>1454710</v>
      </c>
      <c r="D39" s="1573">
        <f>'Acct Summary 7-8'!D81-D38</f>
        <v>599195</v>
      </c>
      <c r="E39" s="1573">
        <f>'Acct Summary 7-8'!E81-E38</f>
        <v>186187</v>
      </c>
      <c r="F39" s="1573">
        <f>'Acct Summary 7-8'!F81-F38</f>
        <v>271446</v>
      </c>
      <c r="G39" s="1573">
        <f>'Acct Summary 7-8'!G81-G38</f>
        <v>-9826</v>
      </c>
      <c r="H39" s="1573">
        <f>'Acct Summary 7-8'!H81-H38</f>
        <v>78481</v>
      </c>
      <c r="I39" s="1573">
        <f>'Acct Summary 7-8'!I81-I38</f>
        <v>188734</v>
      </c>
      <c r="J39" s="1573">
        <f>'Acct Summary 7-8'!J81-J38</f>
        <v>63672</v>
      </c>
      <c r="K39" s="1573">
        <f>'Acct Summary 7-8'!K81-K38</f>
        <v>170312</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1447251</v>
      </c>
      <c r="N40" s="1604"/>
    </row>
    <row r="41" spans="1:14" ht="13.5" customHeight="1" thickBot="1" x14ac:dyDescent="0.25">
      <c r="A41" s="1426" t="s">
        <v>650</v>
      </c>
      <c r="B41" s="1405"/>
      <c r="C41" s="1594">
        <f>(SUM(C34,C37,C38,C39))</f>
        <v>1454710</v>
      </c>
      <c r="D41" s="1594">
        <f t="shared" ref="D41:L41" si="2">SUM(D34,D37,D38:D39)</f>
        <v>649643</v>
      </c>
      <c r="E41" s="1594">
        <f t="shared" si="2"/>
        <v>219187</v>
      </c>
      <c r="F41" s="1594">
        <f t="shared" si="2"/>
        <v>271446</v>
      </c>
      <c r="G41" s="1594">
        <f t="shared" si="2"/>
        <v>1374</v>
      </c>
      <c r="H41" s="1594">
        <f t="shared" si="2"/>
        <v>1381050</v>
      </c>
      <c r="I41" s="1594">
        <f t="shared" si="2"/>
        <v>188734</v>
      </c>
      <c r="J41" s="1594">
        <f t="shared" si="2"/>
        <v>63672</v>
      </c>
      <c r="K41" s="1594">
        <f t="shared" si="2"/>
        <v>170312</v>
      </c>
      <c r="L41" s="1594">
        <f t="shared" si="2"/>
        <v>4891</v>
      </c>
      <c r="M41" s="1594">
        <f>SUM(M40)</f>
        <v>1447251</v>
      </c>
      <c r="N41" s="1594">
        <f>SUM(N37)</f>
        <v>1262530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27" activePane="bottomLeft" state="frozen"/>
      <selection pane="bottomLeft" activeCell="C79" sqref="C79:K7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1125601</v>
      </c>
      <c r="D4" s="1606">
        <f>'Revenues 9-14'!D109</f>
        <v>158322</v>
      </c>
      <c r="E4" s="1606">
        <f>'Revenues 9-14'!E109</f>
        <v>7803</v>
      </c>
      <c r="F4" s="1606">
        <f>'Revenues 9-14'!F109</f>
        <v>87596</v>
      </c>
      <c r="G4" s="1606">
        <f>'Revenues 9-14'!G109</f>
        <v>86462</v>
      </c>
      <c r="H4" s="1606">
        <f>'Revenues 9-14'!H109</f>
        <v>97457</v>
      </c>
      <c r="I4" s="1606">
        <f>'Revenues 9-14'!I109</f>
        <v>32429</v>
      </c>
      <c r="J4" s="1606">
        <f>'Revenues 9-14'!J109</f>
        <v>259776</v>
      </c>
      <c r="K4" s="1606">
        <f>'Revenues 9-14'!K109</f>
        <v>23899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772022</v>
      </c>
      <c r="D6" s="1607">
        <f>'Revenues 9-14'!D170</f>
        <v>50000</v>
      </c>
      <c r="E6" s="1607">
        <f>'Revenues 9-14'!E170</f>
        <v>0</v>
      </c>
      <c r="F6" s="1607">
        <f>'Revenues 9-14'!F170</f>
        <v>46668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141297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2038920</v>
      </c>
      <c r="D8" s="1594">
        <f t="shared" ref="D8:K8" si="0">SUM(D4:D7)</f>
        <v>208322</v>
      </c>
      <c r="E8" s="1594">
        <f t="shared" si="0"/>
        <v>7803</v>
      </c>
      <c r="F8" s="1594">
        <f t="shared" si="0"/>
        <v>134264</v>
      </c>
      <c r="G8" s="1594">
        <f t="shared" si="0"/>
        <v>86462</v>
      </c>
      <c r="H8" s="1594">
        <f t="shared" si="0"/>
        <v>97457</v>
      </c>
      <c r="I8" s="1594">
        <f t="shared" si="0"/>
        <v>32429</v>
      </c>
      <c r="J8" s="1594">
        <f t="shared" si="0"/>
        <v>259776</v>
      </c>
      <c r="K8" s="1594">
        <f t="shared" si="0"/>
        <v>23899</v>
      </c>
      <c r="L8" s="325"/>
    </row>
    <row r="9" spans="1:13" ht="15.75" thickTop="1" x14ac:dyDescent="0.2">
      <c r="A9" s="449" t="s">
        <v>1634</v>
      </c>
      <c r="B9" s="450">
        <v>3998</v>
      </c>
      <c r="C9" s="1586">
        <v>961302</v>
      </c>
      <c r="D9" s="1613"/>
      <c r="E9" s="1586"/>
      <c r="F9" s="1586"/>
      <c r="G9" s="1614"/>
      <c r="H9" s="1586"/>
      <c r="I9" s="1609" t="s">
        <v>1159</v>
      </c>
      <c r="J9" s="1583"/>
      <c r="K9" s="1586"/>
      <c r="L9" s="325"/>
    </row>
    <row r="10" spans="1:13" s="452" customFormat="1" ht="13.5" thickBot="1" x14ac:dyDescent="0.25">
      <c r="A10" s="1426" t="s">
        <v>1163</v>
      </c>
      <c r="B10" s="1407"/>
      <c r="C10" s="1594">
        <f>SUM(C8:C9)</f>
        <v>3000222</v>
      </c>
      <c r="D10" s="1594">
        <f t="shared" ref="D10:K10" si="1">SUM(D8:D9)</f>
        <v>208322</v>
      </c>
      <c r="E10" s="1594">
        <f t="shared" si="1"/>
        <v>7803</v>
      </c>
      <c r="F10" s="1594">
        <f t="shared" si="1"/>
        <v>134264</v>
      </c>
      <c r="G10" s="1594">
        <f t="shared" si="1"/>
        <v>86462</v>
      </c>
      <c r="H10" s="1594">
        <f t="shared" si="1"/>
        <v>97457</v>
      </c>
      <c r="I10" s="1594">
        <f t="shared" si="1"/>
        <v>32429</v>
      </c>
      <c r="J10" s="1594">
        <f t="shared" si="1"/>
        <v>259776</v>
      </c>
      <c r="K10" s="1594">
        <f t="shared" si="1"/>
        <v>23899</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1522136</v>
      </c>
      <c r="D12" s="1616" t="s">
        <v>1159</v>
      </c>
      <c r="E12" s="1575" t="s">
        <v>1159</v>
      </c>
      <c r="F12" s="1575" t="s">
        <v>1159</v>
      </c>
      <c r="G12" s="1606">
        <f>'Expenditures 15-22'!K229</f>
        <v>39197</v>
      </c>
      <c r="H12" s="1617"/>
      <c r="I12" s="1575" t="s">
        <v>1159</v>
      </c>
      <c r="J12" s="1575" t="s">
        <v>1159</v>
      </c>
      <c r="K12" s="1617" t="s">
        <v>1159</v>
      </c>
      <c r="L12" s="325"/>
    </row>
    <row r="13" spans="1:13" ht="15.75" customHeight="1" x14ac:dyDescent="0.2">
      <c r="A13" s="1314" t="s">
        <v>454</v>
      </c>
      <c r="B13" s="1316">
        <v>2000</v>
      </c>
      <c r="C13" s="1607">
        <f>'Expenditures 15-22'!K74</f>
        <v>526886</v>
      </c>
      <c r="D13" s="1607">
        <f>'Expenditures 15-22'!K129</f>
        <v>194633</v>
      </c>
      <c r="E13" s="1576" t="s">
        <v>1159</v>
      </c>
      <c r="F13" s="1607">
        <f>'Expenditures 15-22'!K184</f>
        <v>123300</v>
      </c>
      <c r="G13" s="1607">
        <f>'Expenditures 15-22'!K279</f>
        <v>41048</v>
      </c>
      <c r="H13" s="1607">
        <f>'Expenditures 15-22'!K303</f>
        <v>56889</v>
      </c>
      <c r="I13" s="1575" t="s">
        <v>1159</v>
      </c>
      <c r="J13" s="1607">
        <f>'Expenditures 15-22'!K330</f>
        <v>223987</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319241</v>
      </c>
      <c r="D15" s="1607">
        <f>'Expenditures 15-22'!K139</f>
        <v>0</v>
      </c>
      <c r="E15" s="1607">
        <f>'Expenditures 15-22'!K160</f>
        <v>0</v>
      </c>
      <c r="F15" s="1607">
        <f>'Expenditures 15-22'!K196</f>
        <v>0</v>
      </c>
      <c r="G15" s="1607">
        <f>'Expenditures 15-22'!K285</f>
        <v>6891</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2649</v>
      </c>
      <c r="D16" s="1607">
        <f>'Expenditures 15-22'!K149</f>
        <v>0</v>
      </c>
      <c r="E16" s="1607">
        <f>'Expenditures 15-22'!K172</f>
        <v>56738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2370912</v>
      </c>
      <c r="D17" s="1594">
        <f t="shared" si="2"/>
        <v>194633</v>
      </c>
      <c r="E17" s="1594">
        <f t="shared" si="2"/>
        <v>56738</v>
      </c>
      <c r="F17" s="1594">
        <f t="shared" si="2"/>
        <v>123300</v>
      </c>
      <c r="G17" s="1594">
        <f t="shared" si="2"/>
        <v>87136</v>
      </c>
      <c r="H17" s="1594">
        <f t="shared" si="2"/>
        <v>56889</v>
      </c>
      <c r="I17" s="1575"/>
      <c r="J17" s="1594">
        <f>SUM(J12:J16)</f>
        <v>223987</v>
      </c>
      <c r="K17" s="1594">
        <f>SUM(K12:K16)</f>
        <v>0</v>
      </c>
      <c r="L17" s="325"/>
    </row>
    <row r="18" spans="1:12" ht="15" customHeight="1" thickTop="1" x14ac:dyDescent="0.2">
      <c r="A18" s="1430" t="s">
        <v>1635</v>
      </c>
      <c r="B18" s="1431">
        <v>4180</v>
      </c>
      <c r="C18" s="1606">
        <f t="shared" ref="C18:H18" si="3">C9</f>
        <v>961302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3332214</v>
      </c>
      <c r="D19" s="1594">
        <f t="shared" si="4"/>
        <v>194633</v>
      </c>
      <c r="E19" s="1594">
        <f t="shared" si="4"/>
        <v>56738</v>
      </c>
      <c r="F19" s="1594">
        <f t="shared" si="4"/>
        <v>123300</v>
      </c>
      <c r="G19" s="1594">
        <f t="shared" si="4"/>
        <v>87136</v>
      </c>
      <c r="H19" s="1594">
        <f t="shared" si="4"/>
        <v>56889</v>
      </c>
      <c r="I19" s="1575"/>
      <c r="J19" s="1594">
        <f>SUM(J17:J18)</f>
        <v>223987</v>
      </c>
      <c r="K19" s="1594">
        <f>SUM(K17:K18)</f>
        <v>0</v>
      </c>
      <c r="L19" s="325"/>
    </row>
    <row r="20" spans="1:12" ht="16.5" thickTop="1" thickBot="1" x14ac:dyDescent="0.25">
      <c r="A20" s="2233" t="s">
        <v>1636</v>
      </c>
      <c r="B20" s="2234"/>
      <c r="C20" s="1622">
        <f>C8-C17</f>
        <v>-331992</v>
      </c>
      <c r="D20" s="1622">
        <f t="shared" ref="D20:K20" si="5">D8-D17</f>
        <v>13689</v>
      </c>
      <c r="E20" s="1622">
        <f t="shared" si="5"/>
        <v>-48935</v>
      </c>
      <c r="F20" s="1622">
        <f t="shared" si="5"/>
        <v>10964</v>
      </c>
      <c r="G20" s="1622">
        <f t="shared" si="5"/>
        <v>-674</v>
      </c>
      <c r="H20" s="1622">
        <f t="shared" si="5"/>
        <v>40568</v>
      </c>
      <c r="I20" s="1622">
        <f t="shared" si="5"/>
        <v>32429</v>
      </c>
      <c r="J20" s="1622">
        <f t="shared" si="5"/>
        <v>35789</v>
      </c>
      <c r="K20" s="1622">
        <f t="shared" si="5"/>
        <v>23899</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v>200000</v>
      </c>
      <c r="E25" s="1574">
        <v>200000</v>
      </c>
      <c r="F25" s="1574"/>
      <c r="G25" s="1574"/>
      <c r="H25" s="1574">
        <v>1250000</v>
      </c>
      <c r="I25" s="1582"/>
      <c r="J25" s="1574"/>
      <c r="K25" s="1574"/>
      <c r="L25" s="453"/>
    </row>
    <row r="26" spans="1:12" s="433" customFormat="1" ht="13.5" customHeight="1" x14ac:dyDescent="0.2">
      <c r="A26" s="1260" t="s">
        <v>183</v>
      </c>
      <c r="B26" s="432">
        <v>7120</v>
      </c>
      <c r="C26" s="1574"/>
      <c r="D26" s="1574"/>
      <c r="E26" s="1574">
        <v>5466</v>
      </c>
      <c r="F26" s="1574"/>
      <c r="G26" s="1574"/>
      <c r="H26" s="1574"/>
      <c r="I26" s="1582"/>
      <c r="J26" s="1574"/>
      <c r="K26" s="1574"/>
      <c r="L26" s="453"/>
    </row>
    <row r="27" spans="1:12" s="433" customFormat="1" ht="13.5" customHeight="1" x14ac:dyDescent="0.2">
      <c r="A27" s="1260" t="s">
        <v>184</v>
      </c>
      <c r="B27" s="432">
        <v>7130</v>
      </c>
      <c r="C27" s="1574"/>
      <c r="D27" s="1574">
        <v>125000</v>
      </c>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v>1250000</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34480</v>
      </c>
      <c r="D43" s="1574"/>
      <c r="E43" s="1574"/>
      <c r="F43" s="1574"/>
      <c r="G43" s="1574"/>
      <c r="H43" s="1574"/>
      <c r="I43" s="1574"/>
      <c r="J43" s="1574"/>
      <c r="K43" s="1574"/>
      <c r="L43" s="453"/>
    </row>
    <row r="44" spans="1:12" s="433" customFormat="1" ht="13.5" customHeight="1" thickBot="1" x14ac:dyDescent="0.25">
      <c r="A44" s="2247" t="s">
        <v>371</v>
      </c>
      <c r="B44" s="2248"/>
      <c r="C44" s="1624">
        <f>SUM(C24:C43)</f>
        <v>34480</v>
      </c>
      <c r="D44" s="1624">
        <f t="shared" ref="D44:K44" si="6">SUM(D24:D43)</f>
        <v>325000</v>
      </c>
      <c r="E44" s="1624">
        <f t="shared" si="6"/>
        <v>205466</v>
      </c>
      <c r="F44" s="1624">
        <f t="shared" si="6"/>
        <v>0</v>
      </c>
      <c r="G44" s="1624">
        <f t="shared" si="6"/>
        <v>0</v>
      </c>
      <c r="H44" s="1624">
        <f t="shared" si="6"/>
        <v>1250000</v>
      </c>
      <c r="I44" s="1624">
        <f t="shared" si="6"/>
        <v>1250000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1650000</v>
      </c>
      <c r="J47" s="1582"/>
      <c r="K47" s="1582"/>
      <c r="L47" s="456"/>
    </row>
    <row r="48" spans="1:12" s="433" customFormat="1" ht="15" x14ac:dyDescent="0.2">
      <c r="A48" s="1261" t="s">
        <v>1641</v>
      </c>
      <c r="B48" s="432">
        <v>8120</v>
      </c>
      <c r="C48" s="1585"/>
      <c r="D48" s="1585"/>
      <c r="E48" s="1582"/>
      <c r="F48" s="1585"/>
      <c r="G48" s="1582"/>
      <c r="H48" s="1582"/>
      <c r="I48" s="1607">
        <f>SUM(C26:H26,J26,K26)</f>
        <v>5466</v>
      </c>
      <c r="J48" s="1582"/>
      <c r="K48" s="1582"/>
      <c r="L48" s="456"/>
    </row>
    <row r="49" spans="1:12" s="433" customFormat="1" x14ac:dyDescent="0.2">
      <c r="A49" s="1261" t="s">
        <v>184</v>
      </c>
      <c r="B49" s="432">
        <v>8130</v>
      </c>
      <c r="C49" s="1574"/>
      <c r="D49" s="1574"/>
      <c r="E49" s="1585"/>
      <c r="F49" s="1574">
        <v>125000</v>
      </c>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125000</v>
      </c>
      <c r="G76" s="1624">
        <f t="shared" si="7"/>
        <v>0</v>
      </c>
      <c r="H76" s="1624">
        <f t="shared" si="7"/>
        <v>0</v>
      </c>
      <c r="I76" s="1624">
        <f t="shared" si="7"/>
        <v>1655466</v>
      </c>
      <c r="J76" s="1624">
        <f t="shared" si="7"/>
        <v>0</v>
      </c>
      <c r="K76" s="1624">
        <f t="shared" si="7"/>
        <v>0</v>
      </c>
      <c r="L76" s="453"/>
    </row>
    <row r="77" spans="1:12" ht="14.25" thickTop="1" thickBot="1" x14ac:dyDescent="0.25">
      <c r="A77" s="2225" t="s">
        <v>1167</v>
      </c>
      <c r="B77" s="2226"/>
      <c r="C77" s="1624">
        <f t="shared" ref="C77:K77" si="8">C44-C76</f>
        <v>34480</v>
      </c>
      <c r="D77" s="1624">
        <f t="shared" si="8"/>
        <v>325000</v>
      </c>
      <c r="E77" s="1624">
        <f t="shared" si="8"/>
        <v>205466</v>
      </c>
      <c r="F77" s="1624">
        <f t="shared" si="8"/>
        <v>-125000</v>
      </c>
      <c r="G77" s="1624">
        <f t="shared" si="8"/>
        <v>0</v>
      </c>
      <c r="H77" s="1624">
        <f t="shared" si="8"/>
        <v>1250000</v>
      </c>
      <c r="I77" s="1624">
        <f t="shared" si="8"/>
        <v>-405466</v>
      </c>
      <c r="J77" s="1624">
        <f t="shared" si="8"/>
        <v>0</v>
      </c>
      <c r="K77" s="1624">
        <f t="shared" si="8"/>
        <v>0</v>
      </c>
      <c r="L77" s="325"/>
    </row>
    <row r="78" spans="1:12" ht="21.75" customHeight="1" thickTop="1" thickBot="1" x14ac:dyDescent="0.25">
      <c r="A78" s="2229" t="s">
        <v>593</v>
      </c>
      <c r="B78" s="2230"/>
      <c r="C78" s="1629">
        <f t="shared" ref="C78:K78" si="9">C20+C77</f>
        <v>-297512</v>
      </c>
      <c r="D78" s="1629">
        <f t="shared" si="9"/>
        <v>338689</v>
      </c>
      <c r="E78" s="1629">
        <f t="shared" si="9"/>
        <v>156531</v>
      </c>
      <c r="F78" s="1629">
        <f t="shared" si="9"/>
        <v>-114036</v>
      </c>
      <c r="G78" s="1629">
        <f t="shared" si="9"/>
        <v>-674</v>
      </c>
      <c r="H78" s="1629">
        <f t="shared" si="9"/>
        <v>1290568</v>
      </c>
      <c r="I78" s="1629">
        <f t="shared" si="9"/>
        <v>-373037</v>
      </c>
      <c r="J78" s="1629">
        <f t="shared" si="9"/>
        <v>35789</v>
      </c>
      <c r="K78" s="1629">
        <f t="shared" si="9"/>
        <v>23899</v>
      </c>
      <c r="L78" s="457"/>
    </row>
    <row r="79" spans="1:12" ht="13.5" thickTop="1" x14ac:dyDescent="0.2">
      <c r="A79" s="1844" t="str">
        <f>"Fund Balances - July 1, "&amp;'AFR20'!E2-1</f>
        <v>Fund Balances - July 1, 2019</v>
      </c>
      <c r="B79" s="458"/>
      <c r="C79" s="1583">
        <v>1752222</v>
      </c>
      <c r="D79" s="1630">
        <v>310506</v>
      </c>
      <c r="E79" s="1630">
        <v>29656</v>
      </c>
      <c r="F79" s="1630">
        <v>385482</v>
      </c>
      <c r="G79" s="1630">
        <v>-9152</v>
      </c>
      <c r="H79" s="1630">
        <v>90482</v>
      </c>
      <c r="I79" s="1630">
        <v>561771</v>
      </c>
      <c r="J79" s="1630">
        <v>27883</v>
      </c>
      <c r="K79" s="1630">
        <v>146413</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1454710</v>
      </c>
      <c r="D81" s="1594">
        <f>SUM(D78:D80)</f>
        <v>649195</v>
      </c>
      <c r="E81" s="1594">
        <f t="shared" ref="E81:K81" si="10">SUM(E78:E80)</f>
        <v>186187</v>
      </c>
      <c r="F81" s="1594">
        <f t="shared" si="10"/>
        <v>271446</v>
      </c>
      <c r="G81" s="1594">
        <f t="shared" si="10"/>
        <v>-9826</v>
      </c>
      <c r="H81" s="1594">
        <f t="shared" si="10"/>
        <v>1381050</v>
      </c>
      <c r="I81" s="1594">
        <f t="shared" si="10"/>
        <v>188734</v>
      </c>
      <c r="J81" s="1594">
        <f t="shared" si="10"/>
        <v>63672</v>
      </c>
      <c r="K81" s="1594">
        <f t="shared" si="10"/>
        <v>170312</v>
      </c>
      <c r="L81" s="325"/>
    </row>
    <row r="82" spans="1:12" ht="0.75" customHeight="1" thickTop="1" thickBot="1" x14ac:dyDescent="0.25">
      <c r="A82" s="459" t="s">
        <v>340</v>
      </c>
      <c r="B82" s="460"/>
      <c r="C82" s="461">
        <f>(C81-C79)</f>
        <v>-297512</v>
      </c>
      <c r="D82" s="461">
        <f t="shared" ref="D82:K82" si="11">(D81-D79)</f>
        <v>338689</v>
      </c>
      <c r="E82" s="461">
        <f t="shared" si="11"/>
        <v>156531</v>
      </c>
      <c r="F82" s="461">
        <f t="shared" si="11"/>
        <v>-114036</v>
      </c>
      <c r="G82" s="461">
        <f t="shared" si="11"/>
        <v>-674</v>
      </c>
      <c r="H82" s="461">
        <f t="shared" si="11"/>
        <v>1290568</v>
      </c>
      <c r="I82" s="461">
        <f t="shared" si="11"/>
        <v>-373037</v>
      </c>
      <c r="J82" s="461">
        <f t="shared" si="11"/>
        <v>35789</v>
      </c>
      <c r="K82" s="461">
        <f t="shared" si="11"/>
        <v>23899</v>
      </c>
    </row>
    <row r="83" spans="1:12" ht="14.25" hidden="1" thickTop="1" thickBot="1" x14ac:dyDescent="0.25">
      <c r="A83" s="462" t="s">
        <v>341</v>
      </c>
      <c r="B83" s="428"/>
      <c r="C83" s="463">
        <f>C82/C81</f>
        <v>-0.20451636408631274</v>
      </c>
      <c r="D83" s="463">
        <f t="shared" ref="D83:K83" si="12">D82/D81</f>
        <v>0.52170611295527536</v>
      </c>
      <c r="E83" s="463">
        <f t="shared" si="12"/>
        <v>0.84071927685606407</v>
      </c>
      <c r="F83" s="463">
        <f t="shared" si="12"/>
        <v>-0.42010565637364339</v>
      </c>
      <c r="G83" s="463">
        <f t="shared" si="12"/>
        <v>6.8593527376348468E-2</v>
      </c>
      <c r="H83" s="463">
        <f t="shared" si="12"/>
        <v>0.93448318308533362</v>
      </c>
      <c r="I83" s="463">
        <f t="shared" si="12"/>
        <v>-1.976522513166679</v>
      </c>
      <c r="J83" s="463">
        <f t="shared" si="12"/>
        <v>0.56208380449805251</v>
      </c>
      <c r="K83" s="463">
        <f t="shared" si="12"/>
        <v>0.14032481563248625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246"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927191</v>
      </c>
      <c r="D5" s="1586">
        <v>119485</v>
      </c>
      <c r="E5" s="1573">
        <v>7767</v>
      </c>
      <c r="F5" s="1631">
        <v>85197</v>
      </c>
      <c r="G5" s="1573">
        <v>33231</v>
      </c>
      <c r="H5" s="1573"/>
      <c r="I5" s="1573">
        <v>23899</v>
      </c>
      <c r="J5" s="1574">
        <v>259776</v>
      </c>
      <c r="K5" s="1573">
        <v>23899</v>
      </c>
    </row>
    <row r="6" spans="1:12" ht="15" x14ac:dyDescent="0.2">
      <c r="A6" s="427" t="s">
        <v>1643</v>
      </c>
      <c r="B6" s="429">
        <v>1130</v>
      </c>
      <c r="C6" s="1573">
        <v>23899</v>
      </c>
      <c r="D6" s="1573"/>
      <c r="E6" s="1580"/>
      <c r="F6" s="1580"/>
      <c r="G6" s="1575"/>
      <c r="H6" s="1575"/>
      <c r="I6" s="1575"/>
      <c r="J6" s="1575"/>
      <c r="K6" s="1575"/>
    </row>
    <row r="7" spans="1:12" x14ac:dyDescent="0.2">
      <c r="A7" s="427" t="s">
        <v>110</v>
      </c>
      <c r="B7" s="471">
        <v>1140</v>
      </c>
      <c r="C7" s="1573">
        <v>9562</v>
      </c>
      <c r="D7" s="1573"/>
      <c r="E7" s="1575"/>
      <c r="F7" s="1574"/>
      <c r="G7" s="1574"/>
      <c r="H7" s="1574"/>
      <c r="I7" s="1575"/>
      <c r="J7" s="1575"/>
      <c r="K7" s="1575"/>
    </row>
    <row r="8" spans="1:12" x14ac:dyDescent="0.2">
      <c r="A8" s="427" t="s">
        <v>410</v>
      </c>
      <c r="B8" s="429">
        <v>1150</v>
      </c>
      <c r="C8" s="1580"/>
      <c r="D8" s="1580"/>
      <c r="E8" s="1582"/>
      <c r="F8" s="1582"/>
      <c r="G8" s="1586">
        <v>33231</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960652</v>
      </c>
      <c r="D12" s="1633">
        <f t="shared" si="0"/>
        <v>119485</v>
      </c>
      <c r="E12" s="1633">
        <f t="shared" si="0"/>
        <v>7767</v>
      </c>
      <c r="F12" s="1633">
        <f t="shared" si="0"/>
        <v>85197</v>
      </c>
      <c r="G12" s="1633">
        <f t="shared" si="0"/>
        <v>66462</v>
      </c>
      <c r="H12" s="1633">
        <f t="shared" si="0"/>
        <v>0</v>
      </c>
      <c r="I12" s="1633">
        <f t="shared" si="0"/>
        <v>23899</v>
      </c>
      <c r="J12" s="1633">
        <f t="shared" si="0"/>
        <v>259776</v>
      </c>
      <c r="K12" s="1594">
        <f t="shared" si="0"/>
        <v>23899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26826</v>
      </c>
      <c r="D16" s="1573">
        <v>29815</v>
      </c>
      <c r="E16" s="1573"/>
      <c r="F16" s="1573"/>
      <c r="G16" s="1573">
        <v>20000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26826</v>
      </c>
      <c r="D18" s="1635">
        <f t="shared" ref="D18:K18" si="1">SUM(D14:D17)</f>
        <v>29815</v>
      </c>
      <c r="E18" s="1635">
        <f t="shared" si="1"/>
        <v>0</v>
      </c>
      <c r="F18" s="1635">
        <f t="shared" si="1"/>
        <v>0</v>
      </c>
      <c r="G18" s="1635">
        <f t="shared" si="1"/>
        <v>20000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7023</v>
      </c>
      <c r="D65" s="1573">
        <v>2022</v>
      </c>
      <c r="E65" s="1573">
        <v>36</v>
      </c>
      <c r="F65" s="1574">
        <v>2399</v>
      </c>
      <c r="G65" s="1573"/>
      <c r="H65" s="1573"/>
      <c r="I65" s="1573">
        <v>8530</v>
      </c>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7023</v>
      </c>
      <c r="D67" s="1594">
        <f t="shared" ref="D67:K67" si="2">SUM(D65:D66)</f>
        <v>2022</v>
      </c>
      <c r="E67" s="1594">
        <f t="shared" si="2"/>
        <v>36</v>
      </c>
      <c r="F67" s="1594">
        <f t="shared" si="2"/>
        <v>2399</v>
      </c>
      <c r="G67" s="1594">
        <f t="shared" si="2"/>
        <v>0</v>
      </c>
      <c r="H67" s="1594">
        <f t="shared" si="2"/>
        <v>0</v>
      </c>
      <c r="I67" s="1594">
        <f t="shared" si="2"/>
        <v>8530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41728</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41728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11831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61786</v>
      </c>
      <c r="D81" s="1573"/>
      <c r="E81" s="1575"/>
      <c r="F81" s="1575"/>
      <c r="G81" s="1575"/>
      <c r="H81" s="1575"/>
      <c r="I81" s="1575"/>
      <c r="J81" s="1575"/>
      <c r="K81" s="1575"/>
    </row>
    <row r="82" spans="1:11" ht="12.75" customHeight="1" thickBot="1" x14ac:dyDescent="0.25">
      <c r="A82" s="1406" t="s">
        <v>239</v>
      </c>
      <c r="B82" s="1407"/>
      <c r="C82" s="1633">
        <f>SUM(C77:C81)</f>
        <v>73617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15583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15583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7000</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97457</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172</v>
      </c>
      <c r="D107" s="1573"/>
      <c r="E107" s="1573"/>
      <c r="F107" s="1573"/>
      <c r="G107" s="1573"/>
      <c r="H107" s="1573"/>
      <c r="I107" s="1573"/>
      <c r="J107" s="1574"/>
      <c r="K107" s="1573"/>
    </row>
    <row r="108" spans="1:12" ht="12.75" customHeight="1" thickBot="1" x14ac:dyDescent="0.25">
      <c r="A108" s="1406" t="s">
        <v>484</v>
      </c>
      <c r="B108" s="1408"/>
      <c r="C108" s="1633">
        <f>SUM(C95:C107)</f>
        <v>172</v>
      </c>
      <c r="D108" s="1633">
        <f t="shared" ref="D108:K108" si="3">SUM(D95:D107)</f>
        <v>7000</v>
      </c>
      <c r="E108" s="1633">
        <f t="shared" si="3"/>
        <v>0</v>
      </c>
      <c r="F108" s="1633">
        <f t="shared" si="3"/>
        <v>0</v>
      </c>
      <c r="G108" s="1633">
        <f t="shared" si="3"/>
        <v>0</v>
      </c>
      <c r="H108" s="1633">
        <f t="shared" si="3"/>
        <v>97457</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1125601</v>
      </c>
      <c r="D109" s="1641">
        <f t="shared" si="4"/>
        <v>158322</v>
      </c>
      <c r="E109" s="1641">
        <f t="shared" si="4"/>
        <v>7803</v>
      </c>
      <c r="F109" s="1641">
        <f t="shared" si="4"/>
        <v>87596</v>
      </c>
      <c r="G109" s="1641">
        <f t="shared" si="4"/>
        <v>86462</v>
      </c>
      <c r="H109" s="1641">
        <f t="shared" si="4"/>
        <v>97457</v>
      </c>
      <c r="I109" s="1641">
        <f t="shared" si="4"/>
        <v>32429</v>
      </c>
      <c r="J109" s="1641">
        <f t="shared" si="4"/>
        <v>259776</v>
      </c>
      <c r="K109" s="1629">
        <f t="shared" si="4"/>
        <v>23899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775730</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775730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5036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-9011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-3975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267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43126</v>
      </c>
      <c r="G152" s="1574"/>
      <c r="H152" s="1575"/>
      <c r="I152" s="1575"/>
      <c r="J152" s="1575"/>
      <c r="K152" s="1575"/>
    </row>
    <row r="153" spans="1:11" ht="12.75" customHeight="1" x14ac:dyDescent="0.2">
      <c r="A153" s="427" t="s">
        <v>1048</v>
      </c>
      <c r="B153" s="478">
        <v>3510</v>
      </c>
      <c r="C153" s="1632"/>
      <c r="D153" s="1573"/>
      <c r="E153" s="1640"/>
      <c r="F153" s="1573">
        <v>3542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46668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-3708</v>
      </c>
      <c r="D169" s="1658">
        <f t="shared" si="6"/>
        <v>50000</v>
      </c>
      <c r="E169" s="1658">
        <f t="shared" si="6"/>
        <v>0</v>
      </c>
      <c r="F169" s="1658">
        <f t="shared" si="6"/>
        <v>46668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772022</v>
      </c>
      <c r="D170" s="1641">
        <f t="shared" si="7"/>
        <v>50000</v>
      </c>
      <c r="E170" s="1641">
        <f t="shared" si="7"/>
        <v>0</v>
      </c>
      <c r="F170" s="1641">
        <f t="shared" si="7"/>
        <v>46668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21005</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v>1221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22226</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51382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51382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54063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54063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2425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5698</v>
      </c>
      <c r="D263" s="1651"/>
      <c r="E263" s="1575"/>
      <c r="F263" s="1651"/>
      <c r="G263" s="1651"/>
      <c r="H263" s="1575"/>
      <c r="I263" s="1575"/>
      <c r="J263" s="1575"/>
      <c r="K263" s="1575"/>
    </row>
    <row r="264" spans="1:11" ht="12.75" customHeight="1" thickTop="1" thickBot="1" x14ac:dyDescent="0.25">
      <c r="A264" s="427" t="s">
        <v>374</v>
      </c>
      <c r="B264" s="429">
        <v>4992</v>
      </c>
      <c r="C264" s="1650">
        <v>5503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141297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141297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2038920</v>
      </c>
      <c r="D268" s="1641">
        <f t="shared" si="12"/>
        <v>208322</v>
      </c>
      <c r="E268" s="1641">
        <f t="shared" si="12"/>
        <v>7803</v>
      </c>
      <c r="F268" s="1641">
        <f t="shared" si="12"/>
        <v>134264</v>
      </c>
      <c r="G268" s="1641">
        <f t="shared" si="12"/>
        <v>86462</v>
      </c>
      <c r="H268" s="1641">
        <f t="shared" si="12"/>
        <v>97457</v>
      </c>
      <c r="I268" s="1641">
        <f t="shared" si="12"/>
        <v>32429</v>
      </c>
      <c r="J268" s="1641">
        <f t="shared" si="12"/>
        <v>259776</v>
      </c>
      <c r="K268" s="1629">
        <f t="shared" si="12"/>
        <v>23899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5" zoomScaleNormal="95" workbookViewId="0">
      <pane ySplit="2" topLeftCell="A39" activePane="bottomLeft" state="frozen"/>
      <selection pane="bottomLeft" activeCell="E326" sqref="E32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952582</v>
      </c>
      <c r="D5" s="1573">
        <v>152549</v>
      </c>
      <c r="E5" s="1573">
        <v>21657</v>
      </c>
      <c r="F5" s="1573">
        <v>72118</v>
      </c>
      <c r="G5" s="1573">
        <v>66378</v>
      </c>
      <c r="H5" s="1573">
        <v>37090</v>
      </c>
      <c r="I5" s="1574"/>
      <c r="J5" s="1574"/>
      <c r="K5" s="1672">
        <f>SUM(C5:J5)</f>
        <v>1302374</v>
      </c>
      <c r="L5" s="1573">
        <v>1348434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52467</v>
      </c>
      <c r="D7" s="1574">
        <v>380</v>
      </c>
      <c r="E7" s="1574"/>
      <c r="F7" s="1574">
        <v>3228</v>
      </c>
      <c r="G7" s="1574"/>
      <c r="H7" s="1574"/>
      <c r="I7" s="1574"/>
      <c r="J7" s="1574"/>
      <c r="K7" s="1672">
        <f t="shared" ref="K7:K32" si="0">SUM(C7:J7)</f>
        <v>56075</v>
      </c>
      <c r="L7" s="1573">
        <v>0</v>
      </c>
    </row>
    <row r="8" spans="1:14" x14ac:dyDescent="0.2">
      <c r="A8" s="1274" t="s">
        <v>163</v>
      </c>
      <c r="B8" s="503">
        <v>1200</v>
      </c>
      <c r="C8" s="1573">
        <v>84301</v>
      </c>
      <c r="D8" s="1573">
        <v>16300</v>
      </c>
      <c r="E8" s="1573"/>
      <c r="F8" s="1573"/>
      <c r="G8" s="1573"/>
      <c r="H8" s="1573"/>
      <c r="I8" s="1574"/>
      <c r="J8" s="1574"/>
      <c r="K8" s="1672">
        <f t="shared" si="0"/>
        <v>100601</v>
      </c>
      <c r="L8" s="1573">
        <v>116000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45044</v>
      </c>
      <c r="D14" s="1573">
        <v>493</v>
      </c>
      <c r="E14" s="1573">
        <v>9812</v>
      </c>
      <c r="F14" s="1573">
        <v>2672</v>
      </c>
      <c r="G14" s="1573"/>
      <c r="H14" s="1573">
        <v>5065</v>
      </c>
      <c r="I14" s="1574"/>
      <c r="J14" s="1574"/>
      <c r="K14" s="1672">
        <f t="shared" si="0"/>
        <v>63086</v>
      </c>
      <c r="L14" s="1573">
        <v>57992</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1134394</v>
      </c>
      <c r="D33" s="1674">
        <f t="shared" ref="D33:L33" si="1">SUM(D5:D32)</f>
        <v>169722</v>
      </c>
      <c r="E33" s="1674">
        <f t="shared" si="1"/>
        <v>31469</v>
      </c>
      <c r="F33" s="1674">
        <f t="shared" si="1"/>
        <v>78018</v>
      </c>
      <c r="G33" s="1674">
        <f t="shared" si="1"/>
        <v>66378</v>
      </c>
      <c r="H33" s="1674">
        <f t="shared" si="1"/>
        <v>42155</v>
      </c>
      <c r="I33" s="1674">
        <f t="shared" si="1"/>
        <v>0</v>
      </c>
      <c r="J33" s="1674">
        <f t="shared" si="1"/>
        <v>0</v>
      </c>
      <c r="K33" s="1674">
        <f t="shared" si="1"/>
        <v>1522136</v>
      </c>
      <c r="L33" s="1674">
        <f t="shared" si="1"/>
        <v>1522426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11984</v>
      </c>
      <c r="E44" s="1586">
        <v>2291</v>
      </c>
      <c r="F44" s="1586"/>
      <c r="G44" s="1586"/>
      <c r="H44" s="1586"/>
      <c r="I44" s="1574"/>
      <c r="J44" s="1574"/>
      <c r="K44" s="1678">
        <f>SUM(C44:J44)</f>
        <v>14275</v>
      </c>
      <c r="L44" s="1586">
        <v>7728</v>
      </c>
    </row>
    <row r="45" spans="1:14" x14ac:dyDescent="0.2">
      <c r="A45" s="1274" t="s">
        <v>810</v>
      </c>
      <c r="B45" s="503">
        <v>2220</v>
      </c>
      <c r="C45" s="1573">
        <v>17076</v>
      </c>
      <c r="D45" s="1573">
        <v>598</v>
      </c>
      <c r="E45" s="1573"/>
      <c r="F45" s="1573"/>
      <c r="G45" s="1573"/>
      <c r="H45" s="1573"/>
      <c r="I45" s="1574"/>
      <c r="J45" s="1574"/>
      <c r="K45" s="1678">
        <f>SUM(C45:J45)</f>
        <v>17674</v>
      </c>
      <c r="L45" s="1573">
        <v>12600</v>
      </c>
    </row>
    <row r="46" spans="1:14" x14ac:dyDescent="0.2">
      <c r="A46" s="1274" t="s">
        <v>811</v>
      </c>
      <c r="B46" s="503">
        <v>2230</v>
      </c>
      <c r="C46" s="1573"/>
      <c r="D46" s="1573"/>
      <c r="E46" s="1573">
        <v>20821</v>
      </c>
      <c r="F46" s="1573"/>
      <c r="G46" s="1573"/>
      <c r="H46" s="1573"/>
      <c r="I46" s="1574"/>
      <c r="J46" s="1574"/>
      <c r="K46" s="1678">
        <f>SUM(C46:J46)</f>
        <v>20821</v>
      </c>
      <c r="L46" s="1573">
        <v>18500</v>
      </c>
    </row>
    <row r="47" spans="1:14" ht="12.75" customHeight="1" thickBot="1" x14ac:dyDescent="0.25">
      <c r="A47" s="1380" t="s">
        <v>557</v>
      </c>
      <c r="B47" s="1381" t="s">
        <v>32</v>
      </c>
      <c r="C47" s="1674">
        <f>SUM(C44:C46)</f>
        <v>17076</v>
      </c>
      <c r="D47" s="1674">
        <f t="shared" ref="D47:K47" si="4">SUM(D44:D46)</f>
        <v>12582</v>
      </c>
      <c r="E47" s="1674">
        <f t="shared" si="4"/>
        <v>23112</v>
      </c>
      <c r="F47" s="1674">
        <f t="shared" si="4"/>
        <v>0</v>
      </c>
      <c r="G47" s="1674">
        <f t="shared" si="4"/>
        <v>0</v>
      </c>
      <c r="H47" s="1674">
        <f t="shared" si="4"/>
        <v>0</v>
      </c>
      <c r="I47" s="1674">
        <f t="shared" si="4"/>
        <v>0</v>
      </c>
      <c r="J47" s="1674">
        <f t="shared" si="4"/>
        <v>0</v>
      </c>
      <c r="K47" s="1674">
        <f t="shared" si="4"/>
        <v>52770</v>
      </c>
      <c r="L47" s="1674">
        <f>SUM(L44:L46)</f>
        <v>38828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1995</v>
      </c>
      <c r="D49" s="1586"/>
      <c r="E49" s="1586">
        <v>10978</v>
      </c>
      <c r="F49" s="1586">
        <v>182</v>
      </c>
      <c r="G49" s="1586">
        <v>31159</v>
      </c>
      <c r="H49" s="1586">
        <v>1547</v>
      </c>
      <c r="I49" s="1574"/>
      <c r="J49" s="1574"/>
      <c r="K49" s="1678">
        <f>SUM(C49:J49)</f>
        <v>45861</v>
      </c>
      <c r="L49" s="1586">
        <v>15600</v>
      </c>
    </row>
    <row r="50" spans="1:14" x14ac:dyDescent="0.2">
      <c r="A50" s="1274" t="s">
        <v>813</v>
      </c>
      <c r="B50" s="503">
        <v>2320</v>
      </c>
      <c r="C50" s="1573">
        <v>117829</v>
      </c>
      <c r="D50" s="1573">
        <v>32850</v>
      </c>
      <c r="E50" s="1573">
        <v>8829</v>
      </c>
      <c r="F50" s="1573">
        <v>118</v>
      </c>
      <c r="G50" s="1573"/>
      <c r="H50" s="1573">
        <v>961</v>
      </c>
      <c r="I50" s="1574"/>
      <c r="J50" s="1574"/>
      <c r="K50" s="1678">
        <f>SUM(C50:J50)</f>
        <v>160587</v>
      </c>
      <c r="L50" s="1573">
        <v>143800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119824</v>
      </c>
      <c r="D53" s="1674">
        <f t="shared" ref="D53:L53" si="5">SUM(D49:D52)</f>
        <v>32850</v>
      </c>
      <c r="E53" s="1674">
        <f t="shared" si="5"/>
        <v>19807</v>
      </c>
      <c r="F53" s="1674">
        <f t="shared" si="5"/>
        <v>300</v>
      </c>
      <c r="G53" s="1674">
        <f t="shared" si="5"/>
        <v>31159</v>
      </c>
      <c r="H53" s="1674">
        <f t="shared" si="5"/>
        <v>2508</v>
      </c>
      <c r="I53" s="1674">
        <f t="shared" si="5"/>
        <v>0</v>
      </c>
      <c r="J53" s="1674">
        <f t="shared" si="5"/>
        <v>0</v>
      </c>
      <c r="K53" s="1674">
        <f t="shared" si="5"/>
        <v>206448</v>
      </c>
      <c r="L53" s="1674">
        <f t="shared" si="5"/>
        <v>159400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48954</v>
      </c>
      <c r="D55" s="1586">
        <v>16196</v>
      </c>
      <c r="E55" s="1586">
        <v>856</v>
      </c>
      <c r="F55" s="1586"/>
      <c r="G55" s="1586"/>
      <c r="H55" s="1586">
        <v>598</v>
      </c>
      <c r="I55" s="1574"/>
      <c r="J55" s="1574"/>
      <c r="K55" s="1678">
        <f>SUM(C55:J55)</f>
        <v>66604</v>
      </c>
      <c r="L55" s="1586">
        <v>67050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48954</v>
      </c>
      <c r="D57" s="1679">
        <f t="shared" ref="D57:K57" si="6">SUM(D55:D56)</f>
        <v>16196</v>
      </c>
      <c r="E57" s="1679">
        <f t="shared" si="6"/>
        <v>856</v>
      </c>
      <c r="F57" s="1679">
        <f t="shared" si="6"/>
        <v>0</v>
      </c>
      <c r="G57" s="1679">
        <f t="shared" si="6"/>
        <v>0</v>
      </c>
      <c r="H57" s="1679">
        <f t="shared" si="6"/>
        <v>598</v>
      </c>
      <c r="I57" s="1679">
        <f t="shared" si="6"/>
        <v>0</v>
      </c>
      <c r="J57" s="1679">
        <f t="shared" si="6"/>
        <v>0</v>
      </c>
      <c r="K57" s="1679">
        <f t="shared" si="6"/>
        <v>66604</v>
      </c>
      <c r="L57" s="1674">
        <f>SUM(L55:L56)</f>
        <v>67050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48018</v>
      </c>
      <c r="D60" s="1573">
        <v>8223</v>
      </c>
      <c r="E60" s="1573">
        <v>557</v>
      </c>
      <c r="F60" s="1573">
        <v>18</v>
      </c>
      <c r="G60" s="1573"/>
      <c r="H60" s="1573"/>
      <c r="I60" s="1574"/>
      <c r="J60" s="1574"/>
      <c r="K60" s="1678">
        <f t="shared" si="7"/>
        <v>56816</v>
      </c>
      <c r="L60" s="1573">
        <v>46017</v>
      </c>
      <c r="M60" s="501"/>
      <c r="N60" s="501"/>
    </row>
    <row r="61" spans="1:14" s="321" customFormat="1" x14ac:dyDescent="0.2">
      <c r="A61" s="1274" t="s">
        <v>195</v>
      </c>
      <c r="B61" s="503">
        <v>2540</v>
      </c>
      <c r="C61" s="1573"/>
      <c r="D61" s="1573"/>
      <c r="E61" s="1573">
        <v>3683</v>
      </c>
      <c r="F61" s="1573"/>
      <c r="G61" s="1573">
        <v>44000</v>
      </c>
      <c r="H61" s="1573"/>
      <c r="I61" s="1574"/>
      <c r="J61" s="1574"/>
      <c r="K61" s="1678">
        <f t="shared" si="7"/>
        <v>47683</v>
      </c>
      <c r="L61" s="1573">
        <v>3700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43083</v>
      </c>
      <c r="D63" s="1573">
        <v>3878</v>
      </c>
      <c r="E63" s="1573">
        <v>742</v>
      </c>
      <c r="F63" s="1573">
        <v>39612</v>
      </c>
      <c r="G63" s="1573"/>
      <c r="H63" s="1573"/>
      <c r="I63" s="1574"/>
      <c r="J63" s="1574"/>
      <c r="K63" s="1678">
        <f t="shared" si="7"/>
        <v>87315</v>
      </c>
      <c r="L63" s="1573">
        <v>83300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91101</v>
      </c>
      <c r="D65" s="1674">
        <f t="shared" ref="D65:L65" si="8">SUM(D59:D64)</f>
        <v>12101</v>
      </c>
      <c r="E65" s="1674">
        <f t="shared" si="8"/>
        <v>4982</v>
      </c>
      <c r="F65" s="1674">
        <f t="shared" si="8"/>
        <v>39630</v>
      </c>
      <c r="G65" s="1674">
        <f t="shared" si="8"/>
        <v>44000</v>
      </c>
      <c r="H65" s="1674">
        <f t="shared" si="8"/>
        <v>0</v>
      </c>
      <c r="I65" s="1674">
        <f t="shared" si="8"/>
        <v>0</v>
      </c>
      <c r="J65" s="1674">
        <f t="shared" si="8"/>
        <v>0</v>
      </c>
      <c r="K65" s="1674">
        <f t="shared" si="8"/>
        <v>191814</v>
      </c>
      <c r="L65" s="1674">
        <f t="shared" si="8"/>
        <v>133017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v>9250</v>
      </c>
      <c r="I73" s="1627"/>
      <c r="J73" s="1627"/>
      <c r="K73" s="1674">
        <f>SUM(C73:J73)</f>
        <v>9250</v>
      </c>
      <c r="L73" s="1651">
        <v>200</v>
      </c>
      <c r="M73" s="501"/>
      <c r="N73" s="501"/>
    </row>
    <row r="74" spans="1:14" ht="12.75" customHeight="1" thickTop="1" thickBot="1" x14ac:dyDescent="0.25">
      <c r="A74" s="1380" t="s">
        <v>806</v>
      </c>
      <c r="B74" s="1384">
        <v>2000</v>
      </c>
      <c r="C74" s="1681">
        <f>SUM(C42,C47,C53,C57,C65,C72,C73)</f>
        <v>276955</v>
      </c>
      <c r="D74" s="1681">
        <f t="shared" ref="D74:K74" si="10">SUM(D42,D47,D53,D57,D65,D72,D73)</f>
        <v>73729</v>
      </c>
      <c r="E74" s="1681">
        <f t="shared" si="10"/>
        <v>48757</v>
      </c>
      <c r="F74" s="1681">
        <f t="shared" si="10"/>
        <v>39930</v>
      </c>
      <c r="G74" s="1681">
        <f t="shared" si="10"/>
        <v>75159</v>
      </c>
      <c r="H74" s="1681">
        <f t="shared" si="10"/>
        <v>12356</v>
      </c>
      <c r="I74" s="1681">
        <f t="shared" si="10"/>
        <v>0</v>
      </c>
      <c r="J74" s="1681">
        <f t="shared" si="10"/>
        <v>0</v>
      </c>
      <c r="K74" s="1681">
        <f t="shared" si="10"/>
        <v>526886</v>
      </c>
      <c r="L74" s="1681">
        <f>SUM(L42,L47,L53,L57,L65,L72,L73)</f>
        <v>398495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18782</v>
      </c>
      <c r="F78" s="1673"/>
      <c r="G78" s="1673"/>
      <c r="H78" s="1682"/>
      <c r="I78" s="1582"/>
      <c r="J78" s="1582"/>
      <c r="K78" s="1672">
        <f t="shared" ref="K78:K83" si="11">SUM(C78:J78)</f>
        <v>18782</v>
      </c>
      <c r="L78" s="1586">
        <v>19161</v>
      </c>
    </row>
    <row r="79" spans="1:14" x14ac:dyDescent="0.2">
      <c r="A79" s="1274" t="s">
        <v>301</v>
      </c>
      <c r="B79" s="503">
        <v>4120</v>
      </c>
      <c r="C79" s="1673"/>
      <c r="D79" s="1673"/>
      <c r="E79" s="1573"/>
      <c r="F79" s="1673"/>
      <c r="G79" s="1673"/>
      <c r="H79" s="1573">
        <v>300459</v>
      </c>
      <c r="I79" s="1582"/>
      <c r="J79" s="1582"/>
      <c r="K79" s="1672">
        <f t="shared" si="11"/>
        <v>300459</v>
      </c>
      <c r="L79" s="1573">
        <v>250000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18782</v>
      </c>
      <c r="F84" s="1673"/>
      <c r="G84" s="1673"/>
      <c r="H84" s="1674">
        <f>SUM(H78:H83)</f>
        <v>300459</v>
      </c>
      <c r="I84" s="1582"/>
      <c r="J84" s="1582"/>
      <c r="K84" s="1674">
        <f>SUM(K78:K83)</f>
        <v>319241</v>
      </c>
      <c r="L84" s="1674">
        <f>SUM(L78:L83)</f>
        <v>269161</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18782</v>
      </c>
      <c r="F102" s="1673"/>
      <c r="G102" s="1673"/>
      <c r="H102" s="1681">
        <f>SUM(H84,H92,H100,H101)</f>
        <v>300459</v>
      </c>
      <c r="I102" s="1582"/>
      <c r="J102" s="1582"/>
      <c r="K102" s="1681">
        <f>SUM(K84,K92,K100,K101)</f>
        <v>319241</v>
      </c>
      <c r="L102" s="1681">
        <f>SUM(L84,L92,L100,L101)</f>
        <v>269161</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v>2649</v>
      </c>
      <c r="I109" s="1575"/>
      <c r="J109" s="1575"/>
      <c r="K109" s="1672">
        <f>H109</f>
        <v>2649</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2649</v>
      </c>
      <c r="I110" s="1575"/>
      <c r="J110" s="1575"/>
      <c r="K110" s="1674">
        <f>SUM(K105:K109)</f>
        <v>2649</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2649</v>
      </c>
      <c r="I112" s="1575"/>
      <c r="J112" s="1575"/>
      <c r="K112" s="1674">
        <f>SUM(K110:K111)</f>
        <v>2649</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1411349</v>
      </c>
      <c r="D114" s="1674">
        <f t="shared" ref="D114:K114" si="13">SUM(D33,D74,D75,D102,D112,D113)</f>
        <v>243451</v>
      </c>
      <c r="E114" s="1674">
        <f t="shared" si="13"/>
        <v>99008</v>
      </c>
      <c r="F114" s="1674">
        <f t="shared" si="13"/>
        <v>117948</v>
      </c>
      <c r="G114" s="1674">
        <f t="shared" si="13"/>
        <v>141537</v>
      </c>
      <c r="H114" s="1674">
        <f>SUM(H33,H74,H75,H102,H112,H113)</f>
        <v>357619</v>
      </c>
      <c r="I114" s="1674">
        <f t="shared" si="13"/>
        <v>0</v>
      </c>
      <c r="J114" s="1674">
        <f t="shared" si="13"/>
        <v>0</v>
      </c>
      <c r="K114" s="1674">
        <f t="shared" si="13"/>
        <v>2370912</v>
      </c>
      <c r="L114" s="1674">
        <f>SUM(L33,L74,L75,L102,L112,L113)</f>
        <v>2190082</v>
      </c>
    </row>
    <row r="115" spans="1:14" ht="13.5" thickTop="1" x14ac:dyDescent="0.2">
      <c r="A115" s="2263" t="s">
        <v>989</v>
      </c>
      <c r="B115" s="2264"/>
      <c r="C115" s="1675"/>
      <c r="D115" s="1675"/>
      <c r="E115" s="1675"/>
      <c r="F115" s="1675"/>
      <c r="G115" s="1675"/>
      <c r="H115" s="1675"/>
      <c r="I115" s="1675"/>
      <c r="J115" s="1675"/>
      <c r="K115" s="1689">
        <f>'Revenues 9-14'!C268-'Expenditures 15-22'!K114</f>
        <v>-331992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57666</v>
      </c>
      <c r="D124" s="1573">
        <v>6402</v>
      </c>
      <c r="E124" s="1573">
        <v>38214</v>
      </c>
      <c r="F124" s="1573">
        <v>47294</v>
      </c>
      <c r="G124" s="1573">
        <v>45057</v>
      </c>
      <c r="H124" s="1573"/>
      <c r="I124" s="1574"/>
      <c r="J124" s="1574"/>
      <c r="K124" s="1674">
        <f>SUM(C124:J124)</f>
        <v>194633</v>
      </c>
      <c r="L124" s="1573">
        <v>154100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57666</v>
      </c>
      <c r="D127" s="1674">
        <f t="shared" ref="D127:L127" si="14">SUM(D122:D126)</f>
        <v>6402</v>
      </c>
      <c r="E127" s="1674">
        <f t="shared" si="14"/>
        <v>38214</v>
      </c>
      <c r="F127" s="1674">
        <f t="shared" si="14"/>
        <v>47294</v>
      </c>
      <c r="G127" s="1674">
        <f t="shared" si="14"/>
        <v>45057</v>
      </c>
      <c r="H127" s="1674">
        <f t="shared" si="14"/>
        <v>0</v>
      </c>
      <c r="I127" s="1674">
        <f t="shared" si="14"/>
        <v>0</v>
      </c>
      <c r="J127" s="1674">
        <f t="shared" si="14"/>
        <v>0</v>
      </c>
      <c r="K127" s="1674">
        <f t="shared" si="14"/>
        <v>194633</v>
      </c>
      <c r="L127" s="1674">
        <f t="shared" si="14"/>
        <v>154100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57666</v>
      </c>
      <c r="D129" s="1681">
        <f t="shared" ref="D129:L129" si="15">SUM(D120,D127,D128)</f>
        <v>6402</v>
      </c>
      <c r="E129" s="1681">
        <f t="shared" si="15"/>
        <v>38214</v>
      </c>
      <c r="F129" s="1681">
        <f t="shared" si="15"/>
        <v>47294</v>
      </c>
      <c r="G129" s="1681">
        <f t="shared" si="15"/>
        <v>45057</v>
      </c>
      <c r="H129" s="1681">
        <f t="shared" si="15"/>
        <v>0</v>
      </c>
      <c r="I129" s="1681">
        <f t="shared" si="15"/>
        <v>0</v>
      </c>
      <c r="J129" s="1681">
        <f t="shared" si="15"/>
        <v>0</v>
      </c>
      <c r="K129" s="1681">
        <f t="shared" si="15"/>
        <v>194633</v>
      </c>
      <c r="L129" s="1681">
        <f t="shared" si="15"/>
        <v>154100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57666</v>
      </c>
      <c r="D151" s="1674">
        <f t="shared" ref="D151:K151" si="16">SUM(D129,D130,D139,D149,D150)</f>
        <v>6402</v>
      </c>
      <c r="E151" s="1674">
        <f t="shared" si="16"/>
        <v>38214</v>
      </c>
      <c r="F151" s="1674">
        <f t="shared" si="16"/>
        <v>47294</v>
      </c>
      <c r="G151" s="1674">
        <f t="shared" si="16"/>
        <v>45057</v>
      </c>
      <c r="H151" s="1674">
        <f t="shared" si="16"/>
        <v>0</v>
      </c>
      <c r="I151" s="1674">
        <f t="shared" si="16"/>
        <v>0</v>
      </c>
      <c r="J151" s="1674">
        <f t="shared" si="16"/>
        <v>0</v>
      </c>
      <c r="K151" s="1674">
        <f t="shared" si="16"/>
        <v>194633</v>
      </c>
      <c r="L151" s="1674">
        <f>SUM(L129,L130,L139,L149,L150)</f>
        <v>154100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13689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1238</v>
      </c>
      <c r="I169" s="1673"/>
      <c r="J169" s="1673"/>
      <c r="K169" s="1672">
        <f>SUM(C169:H169)</f>
        <v>1238</v>
      </c>
      <c r="L169" s="1695">
        <v>1237</v>
      </c>
    </row>
    <row r="170" spans="1:14" ht="33.75" customHeight="1" x14ac:dyDescent="0.2">
      <c r="A170" s="543" t="s">
        <v>1651</v>
      </c>
      <c r="B170" s="545" t="s">
        <v>31</v>
      </c>
      <c r="C170" s="1673"/>
      <c r="D170" s="1673"/>
      <c r="E170" s="1673"/>
      <c r="F170" s="1673"/>
      <c r="G170" s="1673"/>
      <c r="H170" s="1646">
        <v>55000</v>
      </c>
      <c r="I170" s="1673"/>
      <c r="J170" s="1673"/>
      <c r="K170" s="1672">
        <f>SUM(C170:J170)</f>
        <v>55000</v>
      </c>
      <c r="L170" s="1646">
        <v>55000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56738</v>
      </c>
      <c r="I172" s="1684"/>
      <c r="J172" s="1673"/>
      <c r="K172" s="1681">
        <f>SUM(K168,K169,K170,K171)</f>
        <v>56738</v>
      </c>
      <c r="L172" s="1681">
        <f>SUM(L168,L169,L170,L171)</f>
        <v>56237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56738</v>
      </c>
      <c r="I174" s="1684"/>
      <c r="J174" s="1673"/>
      <c r="K174" s="1681">
        <f>SUM(K160,K172,K173)</f>
        <v>56738</v>
      </c>
      <c r="L174" s="1681">
        <f>SUM(L160,L172,L173)</f>
        <v>56237</v>
      </c>
    </row>
    <row r="175" spans="1:14" ht="13.5" thickTop="1" x14ac:dyDescent="0.2">
      <c r="A175" s="2263" t="s">
        <v>989</v>
      </c>
      <c r="B175" s="2264"/>
      <c r="C175" s="1673"/>
      <c r="D175" s="1673"/>
      <c r="E175" s="1673"/>
      <c r="F175" s="1673"/>
      <c r="G175" s="1673"/>
      <c r="H175" s="1675"/>
      <c r="I175" s="1673"/>
      <c r="J175" s="1673"/>
      <c r="K175" s="1689">
        <f>'Revenues 9-14'!E268-'Expenditures 15-22'!K174</f>
        <v>-48935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5534</v>
      </c>
      <c r="D182" s="1573"/>
      <c r="E182" s="1573">
        <v>117766</v>
      </c>
      <c r="F182" s="1573"/>
      <c r="G182" s="1573"/>
      <c r="H182" s="1573"/>
      <c r="I182" s="1574"/>
      <c r="J182" s="1574"/>
      <c r="K182" s="1672">
        <f>SUM(C182:J182)</f>
        <v>123300</v>
      </c>
      <c r="L182" s="1573">
        <v>115700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5534</v>
      </c>
      <c r="D184" s="1681">
        <f t="shared" ref="D184:J184" si="17">SUM(D180,D182,D183)</f>
        <v>0</v>
      </c>
      <c r="E184" s="1681">
        <f t="shared" si="17"/>
        <v>117766</v>
      </c>
      <c r="F184" s="1681">
        <f t="shared" si="17"/>
        <v>0</v>
      </c>
      <c r="G184" s="1681">
        <f t="shared" si="17"/>
        <v>0</v>
      </c>
      <c r="H184" s="1681">
        <f t="shared" si="17"/>
        <v>0</v>
      </c>
      <c r="I184" s="1681">
        <f t="shared" si="17"/>
        <v>0</v>
      </c>
      <c r="J184" s="1681">
        <f t="shared" si="17"/>
        <v>0</v>
      </c>
      <c r="K184" s="1681">
        <f>SUM(K180,K182,K183)</f>
        <v>123300</v>
      </c>
      <c r="L184" s="1681">
        <f>SUM(L180, L182:L183)</f>
        <v>115700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5534</v>
      </c>
      <c r="D210" s="1674">
        <f>SUM(D184,D185)</f>
        <v>0</v>
      </c>
      <c r="E210" s="1674">
        <f>SUM(E184,E185,E196)</f>
        <v>117766</v>
      </c>
      <c r="F210" s="1674">
        <f>SUM(F184,F185)</f>
        <v>0</v>
      </c>
      <c r="G210" s="1674">
        <f>SUM(G184,G185)</f>
        <v>0</v>
      </c>
      <c r="H210" s="1674">
        <f>SUM(H184,H185,H196,H208,H209)</f>
        <v>0</v>
      </c>
      <c r="I210" s="1674">
        <f>SUM(I184,I185)</f>
        <v>0</v>
      </c>
      <c r="J210" s="1674">
        <f>SUM(J184,J185)</f>
        <v>0</v>
      </c>
      <c r="K210" s="1672">
        <f>SUM(K184,K185,K196,K208,K209)</f>
        <v>123300</v>
      </c>
      <c r="L210" s="1674">
        <f>SUM(L184,L185,L196,L208,L209)</f>
        <v>115700</v>
      </c>
    </row>
    <row r="211" spans="1:14" ht="13.5" thickTop="1" x14ac:dyDescent="0.2">
      <c r="A211" s="2263" t="s">
        <v>989</v>
      </c>
      <c r="B211" s="2264"/>
      <c r="C211" s="1675"/>
      <c r="D211" s="1675"/>
      <c r="E211" s="1675"/>
      <c r="F211" s="1675"/>
      <c r="G211" s="1675"/>
      <c r="H211" s="1675"/>
      <c r="I211" s="1673"/>
      <c r="J211" s="1673"/>
      <c r="K211" s="1689">
        <f>'Revenues 9-14'!F268-'Expenditures 15-22'!K210</f>
        <v>10964</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24240</v>
      </c>
      <c r="E215" s="1673"/>
      <c r="F215" s="1673"/>
      <c r="G215" s="1673"/>
      <c r="H215" s="1673"/>
      <c r="I215" s="1673"/>
      <c r="J215" s="1673"/>
      <c r="K215" s="1672">
        <f>D215</f>
        <v>24240</v>
      </c>
      <c r="L215" s="1573">
        <v>27962</v>
      </c>
    </row>
    <row r="216" spans="1:14" x14ac:dyDescent="0.2">
      <c r="A216" s="1274" t="s">
        <v>162</v>
      </c>
      <c r="B216" s="503" t="s">
        <v>961</v>
      </c>
      <c r="C216" s="1673"/>
      <c r="D216" s="1574">
        <v>8159</v>
      </c>
      <c r="E216" s="1673"/>
      <c r="F216" s="1673"/>
      <c r="G216" s="1673"/>
      <c r="H216" s="1673"/>
      <c r="I216" s="1673"/>
      <c r="J216" s="1673"/>
      <c r="K216" s="1672">
        <f t="shared" ref="K216:K228" si="19">D216</f>
        <v>8159</v>
      </c>
      <c r="L216" s="1573">
        <v>0</v>
      </c>
    </row>
    <row r="217" spans="1:14" x14ac:dyDescent="0.2">
      <c r="A217" s="1274" t="s">
        <v>163</v>
      </c>
      <c r="B217" s="503">
        <v>1200</v>
      </c>
      <c r="C217" s="1673"/>
      <c r="D217" s="1573">
        <v>5012</v>
      </c>
      <c r="E217" s="1673"/>
      <c r="F217" s="1673"/>
      <c r="G217" s="1673"/>
      <c r="H217" s="1673"/>
      <c r="I217" s="1673"/>
      <c r="J217" s="1673"/>
      <c r="K217" s="1672">
        <f t="shared" si="19"/>
        <v>5012</v>
      </c>
      <c r="L217" s="1573">
        <v>11400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1786</v>
      </c>
      <c r="E223" s="1673"/>
      <c r="F223" s="1673"/>
      <c r="G223" s="1673"/>
      <c r="H223" s="1673"/>
      <c r="I223" s="1673"/>
      <c r="J223" s="1673"/>
      <c r="K223" s="1672">
        <f t="shared" si="19"/>
        <v>1786</v>
      </c>
      <c r="L223" s="1573">
        <v>1500</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39197</v>
      </c>
      <c r="E229" s="1673"/>
      <c r="F229" s="1673"/>
      <c r="G229" s="1673"/>
      <c r="H229" s="1673"/>
      <c r="I229" s="1673"/>
      <c r="J229" s="1673"/>
      <c r="K229" s="1674">
        <f>SUM(K215:K228)</f>
        <v>39197</v>
      </c>
      <c r="L229" s="1674">
        <f>SUM(L215:L228)</f>
        <v>40862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3165</v>
      </c>
      <c r="E241" s="1673"/>
      <c r="F241" s="1673"/>
      <c r="G241" s="1673"/>
      <c r="H241" s="1673"/>
      <c r="I241" s="1673"/>
      <c r="J241" s="1673"/>
      <c r="K241" s="1678">
        <f>D241</f>
        <v>3165</v>
      </c>
      <c r="L241" s="1573">
        <v>3030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3165</v>
      </c>
      <c r="E243" s="1673"/>
      <c r="F243" s="1673"/>
      <c r="G243" s="1673"/>
      <c r="H243" s="1673"/>
      <c r="I243" s="1673"/>
      <c r="J243" s="1673"/>
      <c r="K243" s="1674">
        <f>SUM(K240:K242)</f>
        <v>3165</v>
      </c>
      <c r="L243" s="1674">
        <f>SUM(L240:L242)</f>
        <v>3030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153</v>
      </c>
      <c r="E245" s="1673"/>
      <c r="F245" s="1673"/>
      <c r="G245" s="1673"/>
      <c r="H245" s="1673"/>
      <c r="I245" s="1673"/>
      <c r="J245" s="1673"/>
      <c r="K245" s="1678">
        <f>D245</f>
        <v>153</v>
      </c>
      <c r="L245" s="1586">
        <v>150</v>
      </c>
    </row>
    <row r="246" spans="1:12" x14ac:dyDescent="0.2">
      <c r="A246" s="1274" t="s">
        <v>813</v>
      </c>
      <c r="B246" s="503">
        <v>2320</v>
      </c>
      <c r="C246" s="1673"/>
      <c r="D246" s="1573">
        <v>8064</v>
      </c>
      <c r="E246" s="1673"/>
      <c r="F246" s="1673"/>
      <c r="G246" s="1673"/>
      <c r="H246" s="1673"/>
      <c r="I246" s="1673"/>
      <c r="J246" s="1673"/>
      <c r="K246" s="1678">
        <f t="shared" ref="K246:K256" si="21">D246</f>
        <v>8064</v>
      </c>
      <c r="L246" s="1573">
        <v>8300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587</v>
      </c>
      <c r="E254" s="1673"/>
      <c r="F254" s="1673"/>
      <c r="G254" s="1673"/>
      <c r="H254" s="1673"/>
      <c r="I254" s="1673"/>
      <c r="J254" s="1673"/>
      <c r="K254" s="1678">
        <f t="shared" si="21"/>
        <v>587</v>
      </c>
      <c r="L254" s="1573">
        <v>890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8804</v>
      </c>
      <c r="E257" s="1673"/>
      <c r="F257" s="1673"/>
      <c r="G257" s="1673"/>
      <c r="H257" s="1673"/>
      <c r="I257" s="1673"/>
      <c r="J257" s="1673"/>
      <c r="K257" s="1674">
        <f>SUM(K245:K256)</f>
        <v>8804</v>
      </c>
      <c r="L257" s="1674">
        <f>SUM(L245:L256)</f>
        <v>9340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894</v>
      </c>
      <c r="E259" s="1673"/>
      <c r="F259" s="1673"/>
      <c r="G259" s="1673"/>
      <c r="H259" s="1673"/>
      <c r="I259" s="1673"/>
      <c r="J259" s="1673"/>
      <c r="K259" s="1678">
        <f>D259</f>
        <v>894</v>
      </c>
      <c r="L259" s="1586">
        <v>750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894</v>
      </c>
      <c r="E261" s="1673"/>
      <c r="F261" s="1673"/>
      <c r="G261" s="1673"/>
      <c r="H261" s="1673"/>
      <c r="I261" s="1673"/>
      <c r="J261" s="1673"/>
      <c r="K261" s="1674">
        <f>SUM(K259:K260)</f>
        <v>894</v>
      </c>
      <c r="L261" s="1674">
        <f>SUM(L259:L260)</f>
        <v>750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8583</v>
      </c>
      <c r="E264" s="1673"/>
      <c r="F264" s="1673"/>
      <c r="G264" s="1673"/>
      <c r="H264" s="1673"/>
      <c r="I264" s="1673"/>
      <c r="J264" s="1673"/>
      <c r="K264" s="1678">
        <f t="shared" ref="K264:K269" si="22">D264</f>
        <v>8583</v>
      </c>
      <c r="L264" s="1573">
        <v>8615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10430</v>
      </c>
      <c r="E266" s="1673"/>
      <c r="F266" s="1673"/>
      <c r="G266" s="1673"/>
      <c r="H266" s="1673"/>
      <c r="I266" s="1673"/>
      <c r="J266" s="1673"/>
      <c r="K266" s="1678">
        <f t="shared" si="22"/>
        <v>10430</v>
      </c>
      <c r="L266" s="1573">
        <v>13400</v>
      </c>
    </row>
    <row r="267" spans="1:14" x14ac:dyDescent="0.2">
      <c r="A267" s="1274" t="s">
        <v>947</v>
      </c>
      <c r="B267" s="503">
        <v>2550</v>
      </c>
      <c r="C267" s="1673"/>
      <c r="D267" s="1573"/>
      <c r="E267" s="1673"/>
      <c r="F267" s="1673"/>
      <c r="G267" s="1673"/>
      <c r="H267" s="1673"/>
      <c r="I267" s="1673"/>
      <c r="J267" s="1673"/>
      <c r="K267" s="1678">
        <f t="shared" si="22"/>
        <v>0</v>
      </c>
      <c r="L267" s="1573">
        <v>8700</v>
      </c>
    </row>
    <row r="268" spans="1:14" x14ac:dyDescent="0.2">
      <c r="A268" s="1274" t="s">
        <v>100</v>
      </c>
      <c r="B268" s="503">
        <v>2560</v>
      </c>
      <c r="C268" s="1673"/>
      <c r="D268" s="1573">
        <v>9172</v>
      </c>
      <c r="E268" s="1673"/>
      <c r="F268" s="1673"/>
      <c r="G268" s="1673"/>
      <c r="H268" s="1673"/>
      <c r="I268" s="1673"/>
      <c r="J268" s="1673"/>
      <c r="K268" s="1678">
        <f t="shared" si="22"/>
        <v>9172</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28185</v>
      </c>
      <c r="E270" s="1673"/>
      <c r="F270" s="1673"/>
      <c r="G270" s="1673"/>
      <c r="H270" s="1673"/>
      <c r="I270" s="1673"/>
      <c r="J270" s="1673"/>
      <c r="K270" s="1674">
        <f>SUM(K263:K269)</f>
        <v>28185</v>
      </c>
      <c r="L270" s="1674">
        <f>SUM(L263:L269)</f>
        <v>30715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41048</v>
      </c>
      <c r="E279" s="1673"/>
      <c r="F279" s="1673"/>
      <c r="G279" s="1673"/>
      <c r="H279" s="1673"/>
      <c r="I279" s="1673"/>
      <c r="J279" s="1673"/>
      <c r="K279" s="1681">
        <f>SUM(K238,K243,K257,K261,K270,K277,K278)</f>
        <v>41048</v>
      </c>
      <c r="L279" s="1681">
        <f>SUM(L238,L243,L257,L261,L270,L277,L278)</f>
        <v>43835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v>6891</v>
      </c>
      <c r="E283" s="1673"/>
      <c r="F283" s="1673"/>
      <c r="G283" s="1673"/>
      <c r="H283" s="1673"/>
      <c r="I283" s="1673"/>
      <c r="J283" s="1673"/>
      <c r="K283" s="1672">
        <f>D283</f>
        <v>6891</v>
      </c>
      <c r="L283" s="1573">
        <v>4300</v>
      </c>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6891</v>
      </c>
      <c r="E285" s="1673"/>
      <c r="F285" s="1673"/>
      <c r="G285" s="1673"/>
      <c r="H285" s="1673"/>
      <c r="I285" s="1673"/>
      <c r="J285" s="1673"/>
      <c r="K285" s="1674">
        <f>SUM(K282:K284)</f>
        <v>6891</v>
      </c>
      <c r="L285" s="1674">
        <f>SUM(L282:L284)</f>
        <v>4300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87136</v>
      </c>
      <c r="E295" s="1673"/>
      <c r="F295" s="1673"/>
      <c r="G295" s="1673"/>
      <c r="H295" s="1674">
        <f>H293</f>
        <v>0</v>
      </c>
      <c r="I295" s="1673"/>
      <c r="J295" s="1673"/>
      <c r="K295" s="1674">
        <f>SUM(K229,K279,K280,K285,K293,K294)</f>
        <v>87136</v>
      </c>
      <c r="L295" s="1674">
        <f>SUM(L229,L279,L280,L285,L293,L294)</f>
        <v>88997</v>
      </c>
    </row>
    <row r="296" spans="1:14" ht="13.5" thickTop="1" x14ac:dyDescent="0.2">
      <c r="A296" s="2263" t="s">
        <v>989</v>
      </c>
      <c r="B296" s="2264"/>
      <c r="C296" s="1673"/>
      <c r="D296" s="1675"/>
      <c r="E296" s="1673"/>
      <c r="F296" s="1673"/>
      <c r="G296" s="1673"/>
      <c r="H296" s="1707"/>
      <c r="I296" s="1673"/>
      <c r="J296" s="1673"/>
      <c r="K296" s="1689">
        <f>'Revenues 9-14'!G268-'Expenditures 15-22'!K295</f>
        <v>-674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56889</v>
      </c>
      <c r="H301" s="1573"/>
      <c r="I301" s="1574"/>
      <c r="J301" s="1574"/>
      <c r="K301" s="1672">
        <f>SUM(C301:J301)</f>
        <v>56889</v>
      </c>
      <c r="L301" s="1574">
        <v>55000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56889</v>
      </c>
      <c r="H303" s="1681">
        <f t="shared" si="23"/>
        <v>0</v>
      </c>
      <c r="I303" s="1681">
        <f t="shared" si="23"/>
        <v>0</v>
      </c>
      <c r="J303" s="1681">
        <f t="shared" si="23"/>
        <v>0</v>
      </c>
      <c r="K303" s="1681">
        <f t="shared" si="23"/>
        <v>56889</v>
      </c>
      <c r="L303" s="1681">
        <f t="shared" si="23"/>
        <v>55000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56889</v>
      </c>
      <c r="H312" s="1674">
        <f>SUM(H303,H310)</f>
        <v>0</v>
      </c>
      <c r="I312" s="1674">
        <f>SUM(I303)</f>
        <v>0</v>
      </c>
      <c r="J312" s="1674">
        <f>SUM(J303)</f>
        <v>0</v>
      </c>
      <c r="K312" s="1674">
        <f>SUM(K303,K310,K311)</f>
        <v>56889</v>
      </c>
      <c r="L312" s="1674">
        <f>SUM(L303,L310,L311)</f>
        <v>55000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40568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13131</v>
      </c>
      <c r="F320" s="1574"/>
      <c r="G320" s="1574"/>
      <c r="H320" s="1574"/>
      <c r="I320" s="1574"/>
      <c r="J320" s="1574"/>
      <c r="K320" s="1672">
        <f t="shared" ref="K320:K327" si="24">SUM(C320:J320)</f>
        <v>13131</v>
      </c>
      <c r="L320" s="1574">
        <v>14000</v>
      </c>
      <c r="M320" s="539"/>
      <c r="N320" s="539"/>
    </row>
    <row r="321" spans="1:14" s="548" customFormat="1" x14ac:dyDescent="0.2">
      <c r="A321" s="1289" t="s">
        <v>297</v>
      </c>
      <c r="B321" s="567" t="s">
        <v>281</v>
      </c>
      <c r="C321" s="1574"/>
      <c r="D321" s="1574"/>
      <c r="E321" s="1574">
        <v>101</v>
      </c>
      <c r="F321" s="1574"/>
      <c r="G321" s="1574"/>
      <c r="H321" s="1574"/>
      <c r="I321" s="1574"/>
      <c r="J321" s="1574"/>
      <c r="K321" s="1672">
        <f t="shared" si="24"/>
        <v>101</v>
      </c>
      <c r="L321" s="1574">
        <v>95</v>
      </c>
      <c r="M321" s="539"/>
      <c r="N321" s="539"/>
    </row>
    <row r="322" spans="1:14" s="548" customFormat="1" x14ac:dyDescent="0.2">
      <c r="A322" s="1289" t="s">
        <v>236</v>
      </c>
      <c r="B322" s="567" t="s">
        <v>282</v>
      </c>
      <c r="C322" s="1574"/>
      <c r="D322" s="1574"/>
      <c r="E322" s="1574">
        <v>12129</v>
      </c>
      <c r="F322" s="1574"/>
      <c r="G322" s="1574"/>
      <c r="H322" s="1574"/>
      <c r="I322" s="1574"/>
      <c r="J322" s="1574"/>
      <c r="K322" s="1672">
        <f t="shared" si="24"/>
        <v>12129</v>
      </c>
      <c r="L322" s="1574">
        <v>12000</v>
      </c>
      <c r="M322" s="539"/>
      <c r="N322" s="539"/>
    </row>
    <row r="323" spans="1:14" s="548" customFormat="1" x14ac:dyDescent="0.2">
      <c r="A323" s="1289" t="s">
        <v>697</v>
      </c>
      <c r="B323" s="567" t="s">
        <v>283</v>
      </c>
      <c r="C323" s="1574"/>
      <c r="D323" s="1574"/>
      <c r="E323" s="1574">
        <v>17400</v>
      </c>
      <c r="F323" s="1574"/>
      <c r="G323" s="1574"/>
      <c r="H323" s="1574"/>
      <c r="I323" s="1574"/>
      <c r="J323" s="1574"/>
      <c r="K323" s="1672">
        <f t="shared" si="24"/>
        <v>17400</v>
      </c>
      <c r="L323" s="1574">
        <v>17000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148959</v>
      </c>
      <c r="D325" s="1574"/>
      <c r="E325" s="1574"/>
      <c r="F325" s="1574"/>
      <c r="G325" s="1574">
        <v>5670</v>
      </c>
      <c r="H325" s="1574"/>
      <c r="I325" s="1574"/>
      <c r="J325" s="1574"/>
      <c r="K325" s="1672">
        <f t="shared" si="24"/>
        <v>154629</v>
      </c>
      <c r="L325" s="1574">
        <v>225000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11389</v>
      </c>
      <c r="F327" s="1574"/>
      <c r="G327" s="1574"/>
      <c r="H327" s="1574"/>
      <c r="I327" s="1574"/>
      <c r="J327" s="1574"/>
      <c r="K327" s="1672">
        <f t="shared" si="24"/>
        <v>11389</v>
      </c>
      <c r="L327" s="1574">
        <v>2465</v>
      </c>
      <c r="M327" s="539"/>
      <c r="N327" s="539"/>
    </row>
    <row r="328" spans="1:14" s="548" customFormat="1" x14ac:dyDescent="0.2">
      <c r="A328" s="1290" t="s">
        <v>469</v>
      </c>
      <c r="B328" s="562" t="s">
        <v>1122</v>
      </c>
      <c r="C328" s="1579"/>
      <c r="D328" s="1579"/>
      <c r="E328" s="1579">
        <v>15208</v>
      </c>
      <c r="F328" s="1579"/>
      <c r="G328" s="1579"/>
      <c r="H328" s="1579"/>
      <c r="I328" s="1579"/>
      <c r="J328" s="1579"/>
      <c r="K328" s="1713">
        <f>SUM(C328:J328)</f>
        <v>15208</v>
      </c>
      <c r="L328" s="1579">
        <v>13000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148959</v>
      </c>
      <c r="D330" s="1674">
        <f t="shared" ref="D330:J330" si="25">SUM(D319:D329)</f>
        <v>0</v>
      </c>
      <c r="E330" s="1674">
        <f t="shared" si="25"/>
        <v>69358</v>
      </c>
      <c r="F330" s="1674">
        <f t="shared" si="25"/>
        <v>0</v>
      </c>
      <c r="G330" s="1674">
        <f t="shared" si="25"/>
        <v>5670</v>
      </c>
      <c r="H330" s="1674">
        <f t="shared" si="25"/>
        <v>0</v>
      </c>
      <c r="I330" s="1674">
        <f t="shared" si="25"/>
        <v>0</v>
      </c>
      <c r="J330" s="1674">
        <f t="shared" si="25"/>
        <v>0</v>
      </c>
      <c r="K330" s="1674">
        <f>SUM(K319:K329)</f>
        <v>223987</v>
      </c>
      <c r="L330" s="1674">
        <f>SUM(L319:L329)</f>
        <v>283560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148959</v>
      </c>
      <c r="D342" s="1674">
        <f>SUM(D330)</f>
        <v>0</v>
      </c>
      <c r="E342" s="1674">
        <f>SUM(E330)</f>
        <v>69358</v>
      </c>
      <c r="F342" s="1674">
        <f>SUM(F330)</f>
        <v>0</v>
      </c>
      <c r="G342" s="1674">
        <f>SUM(G330)</f>
        <v>5670</v>
      </c>
      <c r="H342" s="1674">
        <f>SUM(H330,H334,H340)</f>
        <v>0</v>
      </c>
      <c r="I342" s="1674">
        <f>SUM(I330)</f>
        <v>0</v>
      </c>
      <c r="J342" s="1674">
        <f>SUM(J330)</f>
        <v>0</v>
      </c>
      <c r="K342" s="1674">
        <f>SUM(K330,K334,K340)</f>
        <v>223987</v>
      </c>
      <c r="L342" s="1681">
        <f>SUM(L330,L334,L340,L341)</f>
        <v>283560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35789</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23899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sharepoint/v3"/>
    <ds:schemaRef ds:uri="http://purl.org/dc/terms/"/>
    <ds:schemaRef ds:uri="http://schemas.microsoft.com/office/2006/metadata/properties"/>
    <ds:schemaRef ds:uri="http://www.w3.org/XML/1998/namespace"/>
    <ds:schemaRef ds:uri="4d435f69-8686-490b-bd6d-b153bf22ab50"/>
    <ds:schemaRef ds:uri="http://schemas.microsoft.com/office/2006/documentManagement/types"/>
    <ds:schemaRef ds:uri="http://schemas.openxmlformats.org/package/2006/metadata/core-propertie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2020-10-05T18:59:52Z</cp:lastPrinted>
  <dcterms:created xsi:type="dcterms:W3CDTF">2003-10-29T19:06:34Z</dcterms:created>
  <dcterms:modified xsi:type="dcterms:W3CDTF">2020-10-08T16:53:36Z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