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2F52731D-6560-47E6-8394-864D376BE8C5}" xr6:coauthVersionLast="36" xr6:coauthVersionMax="36" xr10:uidLastSave="{00000000-0000-0000-0000-000000000000}"/>
  <bookViews>
    <workbookView xWindow="0" yWindow="0" windowWidth="23040" windowHeight="106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2 (2)" sheetId="185" r:id="rId32"/>
    <sheet name="SF&amp;QC Sec-2 (3)" sheetId="186" r:id="rId33"/>
    <sheet name="SF&amp;QC Sec-3" sheetId="176" r:id="rId34"/>
    <sheet name="SSPAF" sheetId="177" r:id="rId35"/>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3">'SF&amp;QC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10" i="186" l="1"/>
  <c r="C10" i="185"/>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F20" i="183" s="1"/>
  <c r="E19" i="183"/>
  <c r="F19" i="183" s="1"/>
  <c r="E18" i="183"/>
  <c r="F18" i="183" s="1"/>
  <c r="F17" i="183"/>
  <c r="E17" i="183"/>
  <c r="B7885" i="106" l="1"/>
  <c r="D7885" i="106" s="1"/>
  <c r="B7884" i="106"/>
  <c r="D7884" i="106" s="1"/>
  <c r="B7883" i="106"/>
  <c r="B7882" i="106"/>
  <c r="D7882" i="106" s="1"/>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6" l="1"/>
  <c r="B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6" l="1"/>
  <c r="B1" i="185"/>
  <c r="B2" i="179"/>
  <c r="B2" i="186"/>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1" i="127"/>
  <c r="B62"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B7826" i="106" s="1"/>
  <c r="D7826" i="106" s="1"/>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5752" i="106"/>
  <c r="D5752" i="106" s="1"/>
  <c r="B7705" i="106" l="1"/>
  <c r="D7705" i="106" s="1"/>
  <c r="E67" i="184"/>
  <c r="N67" i="184" s="1"/>
  <c r="B7126" i="106"/>
  <c r="D7126" i="106" s="1"/>
  <c r="E57" i="184"/>
  <c r="N57" i="184" s="1"/>
  <c r="H15" i="184"/>
  <c r="G33" i="108"/>
  <c r="E17" i="184"/>
  <c r="H17" i="184" s="1"/>
  <c r="H342" i="29"/>
  <c r="B7696" i="106"/>
  <c r="D7696" i="106" s="1"/>
  <c r="E66" i="184"/>
  <c r="N66" i="184" s="1"/>
  <c r="B7189" i="106"/>
  <c r="D7189" i="106" s="1"/>
  <c r="E64" i="184"/>
  <c r="N64" i="184" s="1"/>
  <c r="B7171" i="106"/>
  <c r="D7171" i="106" s="1"/>
  <c r="E62" i="184"/>
  <c r="N62" i="184" s="1"/>
  <c r="B7153" i="106"/>
  <c r="D7153" i="106" s="1"/>
  <c r="E60" i="184"/>
  <c r="N60" i="184" s="1"/>
  <c r="D31" i="108"/>
  <c r="E16" i="184"/>
  <c r="H16" i="184" s="1"/>
  <c r="F52" i="34"/>
  <c r="B7831" i="106" s="1"/>
  <c r="D7831" i="106" s="1"/>
  <c r="G30" i="108"/>
  <c r="H12" i="184"/>
  <c r="H19" i="184" s="1"/>
  <c r="L20" i="184" s="1"/>
  <c r="E19" i="184"/>
  <c r="B7198" i="106"/>
  <c r="D7198" i="106" s="1"/>
  <c r="E65" i="184"/>
  <c r="N65" i="184" s="1"/>
  <c r="B7180" i="106"/>
  <c r="D7180" i="106" s="1"/>
  <c r="E63" i="184"/>
  <c r="N63" i="184" s="1"/>
  <c r="B7162" i="106"/>
  <c r="D7162" i="106" s="1"/>
  <c r="E61" i="184"/>
  <c r="N61" i="184" s="1"/>
  <c r="B7135" i="106"/>
  <c r="D7135" i="106" s="1"/>
  <c r="E58" i="184"/>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B1134" i="106"/>
  <c r="D1134" i="106" s="1"/>
  <c r="B7759" i="106"/>
  <c r="D7759" i="106" s="1"/>
  <c r="B1339" i="106"/>
  <c r="D1339" i="106" s="1"/>
  <c r="C210" i="29"/>
  <c r="B1340" i="106" s="1"/>
  <c r="D1340" i="106" s="1"/>
  <c r="B1225" i="106"/>
  <c r="D1225" i="106" s="1"/>
  <c r="C151" i="29"/>
  <c r="B1226" i="106" s="1"/>
  <c r="D1226" i="106" s="1"/>
  <c r="B169" i="106"/>
  <c r="D169" i="106"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L151" i="29"/>
  <c r="C266" i="5"/>
  <c r="J24" i="12"/>
  <c r="B7730" i="106"/>
  <c r="D7730" i="106" s="1"/>
  <c r="B3447" i="106"/>
  <c r="D3447" i="106" s="1"/>
  <c r="B7222" i="106" l="1"/>
  <c r="D7222" i="106" s="1"/>
  <c r="F76" i="34"/>
  <c r="B7887" i="106" s="1"/>
  <c r="D7887" i="106" s="1"/>
  <c r="E367" i="29"/>
  <c r="B3635" i="106"/>
  <c r="B7220" i="106"/>
  <c r="D7220" i="106" s="1"/>
  <c r="F75" i="34"/>
  <c r="B7886" i="106" s="1"/>
  <c r="D7886" i="106" s="1"/>
  <c r="H151" i="29"/>
  <c r="B1273" i="106" s="1"/>
  <c r="D1273" i="106" s="1"/>
  <c r="L16" i="11"/>
  <c r="B2061" i="106" s="1"/>
  <c r="D2061" i="106" s="1"/>
  <c r="N23" i="3"/>
  <c r="B284" i="106" s="1"/>
  <c r="D284" i="106" s="1"/>
  <c r="F41" i="108"/>
  <c r="G43" i="108" s="1"/>
  <c r="B1381" i="106"/>
  <c r="D1381" i="106" s="1"/>
  <c r="K342" i="29"/>
  <c r="F13" i="34" s="1"/>
  <c r="N58" i="184"/>
  <c r="N68" i="184" s="1"/>
  <c r="E68" i="184"/>
  <c r="L114" i="29"/>
  <c r="B5527" i="106"/>
  <c r="D5527"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D3674" i="106"/>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1145" i="106" l="1"/>
  <c r="D1145" i="106" s="1"/>
  <c r="F24" i="37"/>
  <c r="D268" i="5"/>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F77" i="34" l="1"/>
  <c r="B7834" i="106" s="1"/>
  <c r="D7834" i="106" s="1"/>
  <c r="J20" i="4"/>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J39" i="3" s="1"/>
  <c r="B6263" i="106"/>
  <c r="D6263" i="106" s="1"/>
  <c r="D78" i="4"/>
  <c r="B6215" i="106" l="1"/>
  <c r="D6215" i="106" s="1"/>
  <c r="J41" i="3"/>
  <c r="F78" i="34"/>
  <c r="F80" i="34" s="1"/>
  <c r="B7837" i="106" s="1"/>
  <c r="D7837" i="106" s="1"/>
  <c r="B7822" i="106"/>
  <c r="B3588" i="106"/>
  <c r="D3588" i="106" s="1"/>
  <c r="K81" i="4"/>
  <c r="K39" i="3" s="1"/>
  <c r="F78" i="4"/>
  <c r="B2601" i="106"/>
  <c r="D2601" i="106" s="1"/>
  <c r="B3320" i="106"/>
  <c r="D3320" i="106" s="1"/>
  <c r="I81" i="4"/>
  <c r="I39" i="3" s="1"/>
  <c r="K17" i="118"/>
  <c r="B3300" i="106"/>
  <c r="D3300" i="106" s="1"/>
  <c r="H81" i="4"/>
  <c r="H39" i="3" s="1"/>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D39" i="3" s="1"/>
  <c r="B3239" i="106"/>
  <c r="D3239" i="106" s="1"/>
  <c r="B212" i="106" l="1"/>
  <c r="D212" i="106" s="1"/>
  <c r="H41" i="3"/>
  <c r="B3567" i="106"/>
  <c r="D3567" i="106" s="1"/>
  <c r="K41" i="3"/>
  <c r="D51" i="36"/>
  <c r="B6216" i="106"/>
  <c r="D6216" i="106" s="1"/>
  <c r="B2912" i="106"/>
  <c r="D2912" i="106" s="1"/>
  <c r="I41" i="3"/>
  <c r="B123" i="106"/>
  <c r="D123" i="106" s="1"/>
  <c r="D41" i="3"/>
  <c r="F176" i="34"/>
  <c r="B7878" i="106" s="1"/>
  <c r="D7878" i="106" s="1"/>
  <c r="B7835" i="106"/>
  <c r="D7835" i="106" s="1"/>
  <c r="B3278" i="106"/>
  <c r="D3278" i="106" s="1"/>
  <c r="E81" i="4"/>
  <c r="E39" i="3" s="1"/>
  <c r="B3233" i="106"/>
  <c r="D3233" i="106" s="1"/>
  <c r="C81" i="4"/>
  <c r="C39" i="3" s="1"/>
  <c r="A7263" i="106"/>
  <c r="D7262" i="106"/>
  <c r="B1700" i="106"/>
  <c r="D1700" i="106" s="1"/>
  <c r="H82" i="4"/>
  <c r="D62" i="36"/>
  <c r="O16" i="118"/>
  <c r="F81" i="4"/>
  <c r="F39" i="3" s="1"/>
  <c r="B3256" i="106"/>
  <c r="D3256" i="106" s="1"/>
  <c r="G81" i="4"/>
  <c r="G39" i="3"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D49" i="36" l="1"/>
  <c r="B213" i="106"/>
  <c r="D213" i="106" s="1"/>
  <c r="B3568" i="106"/>
  <c r="D3568" i="106" s="1"/>
  <c r="D52" i="36"/>
  <c r="D50" i="36"/>
  <c r="B2913" i="106"/>
  <c r="D2913" i="106" s="1"/>
  <c r="B189" i="106"/>
  <c r="D189" i="106" s="1"/>
  <c r="G41" i="3"/>
  <c r="B170" i="106"/>
  <c r="D170" i="106" s="1"/>
  <c r="F41" i="3"/>
  <c r="B140" i="106"/>
  <c r="D140" i="106" s="1"/>
  <c r="E41" i="3"/>
  <c r="B124" i="106"/>
  <c r="D124" i="106" s="1"/>
  <c r="D45" i="36"/>
  <c r="D76" i="36"/>
  <c r="B92" i="106"/>
  <c r="D92" i="106" s="1"/>
  <c r="C41" i="3"/>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B190" i="106"/>
  <c r="D190" i="106" s="1"/>
  <c r="D48" i="36"/>
  <c r="B171" i="106"/>
  <c r="D171" i="106" s="1"/>
  <c r="D47" i="36"/>
  <c r="B141" i="106"/>
  <c r="D141" i="106" s="1"/>
  <c r="D46" i="36"/>
  <c r="B93" i="106"/>
  <c r="D93" i="106" s="1"/>
  <c r="D44" i="36"/>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<sst xmlns="http://schemas.openxmlformats.org/spreadsheetml/2006/main" count="5253" uniqueCount="2123">
  <si>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</si>
  <si>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</si>
  <si>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</si>
  <si>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</si>
  <si>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</si>
  <si>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</si>
  <si>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</si>
  <si>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</si>
  <si>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</si>
  <si>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</si>
  <si>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</si>
  <si>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</si>
  <si>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</si>
  <si>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</si>
  <si>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</si>
  <si>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</si>
  <si>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</si>
  <si>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</si>
  <si>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</si>
  <si>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</si>
  <si>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</si>
  <si>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</si>
  <si>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</si>
  <si>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</si>
  <si>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</si>
  <si>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</si>
  <si>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</si>
  <si>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</si>
  <si>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</si>
  <si>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</si>
  <si>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</si>
  <si>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</si>
  <si>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</si>
  <si>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</si>
  <si>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</si>
  <si>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</si>
  <si>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</si>
  <si>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</si>
  <si>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</si>
  <si>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</si>
  <si>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</si>
  <si>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</si>
  <si>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</si>
  <si>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</si>
  <si>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</si>
  <si>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</si>
  <si>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</si>
  <si>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</si>
  <si>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</si>
  <si>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</si>
  <si>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</si>
  <si>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</si>
  <si>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</si>
  <si>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</si>
  <si>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</si>
  <si>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</si>
  <si>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</si>
  <si>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</si>
  <si>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</si>
  <si>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</si>
  <si>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</si>
  <si>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</si>
  <si>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</si>
  <si>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</si>
  <si>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</si>
  <si>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</si>
  <si>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</si>
  <si>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</si>
  <si>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</si>
  <si>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</si>
  <si>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</si>
  <si>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</si>
  <si>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</si>
  <si>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</si>
  <si>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</si>
  <si>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</si>
  <si>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</si>
  <si>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</si>
  <si>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</si>
  <si>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</si>
  <si>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</si>
  <si>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</si>
  <si>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</si>
  <si>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</si>
  <si>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</si>
  <si>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</si>
  <si>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</si>
  <si>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</si>
  <si>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</si>
  <si>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</si>
  <si>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</si>
  <si>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</si>
  <si>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</si>
  <si>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</si>
  <si>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</si>
  <si>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</si>
  <si>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</si>
  <si>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</si>
  <si>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</si>
  <si>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</si>
  <si>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</si>
  <si>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</si>
  <si>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</si>
  <si>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</si>
  <si>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</si>
  <si>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</si>
  <si>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</si>
  <si>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</si>
  <si>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</si>
  <si>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</si>
  <si>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</si>
  <si>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</si>
  <si>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</si>
  <si>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</si>
  <si>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</si>
  <si>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</si>
  <si>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</si>
  <si>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</si>
  <si>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</si>
  <si>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</si>
  <si>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</si>
  <si>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</si>
  <si>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</si>
  <si>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</si>
  <si>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</si>
  <si>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</si>
  <si>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</si>
  <si>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</si>
  <si>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</si>
  <si>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</si>
  <si>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</si>
  <si>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</si>
  <si>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</si>
  <si>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</si>
  <si>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</si>
  <si>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</si>
  <si>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</si>
  <si>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</si>
  <si>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</si>
  <si>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</si>
  <si>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</si>
  <si>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</si>
  <si>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</si>
  <si>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</si>
  <si>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</si>
  <si>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</si>
  <si>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</si>
  <si>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</si>
  <si>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</si>
  <si>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</si>
  <si>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</si>
  <si>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</si>
  <si>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</si>
  <si>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</si>
  <si>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</si>
  <si>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</si>
  <si>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</si>
  <si>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</si>
  <si>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</si>
  <si>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</si>
  <si>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</si>
  <si>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</si>
  <si>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</si>
  <si>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</si>
  <si>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</si>
  <si>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</si>
  <si>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</si>
  <si>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</si>
  <si>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</si>
  <si>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</si>
  <si>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</si>
  <si>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</si>
  <si>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</si>
  <si>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</si>
  <si>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</si>
  <si>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</si>
  <si>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</si>
  <si>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</si>
  <si>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</si>
  <si>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</si>
  <si>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</si>
  <si>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</si>
  <si>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</si>
  <si>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</si>
  <si>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</si>
  <si>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</si>
  <si>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</si>
  <si>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</si>
  <si>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</si>
  <si>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</si>
  <si>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</si>
  <si>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</si>
  <si>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</si>
  <si>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</si>
  <si>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</si>
  <si>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</si>
  <si>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</si>
  <si>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</si>
  <si>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</si>
  <si>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</si>
  <si>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</si>
  <si>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</si>
  <si>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</si>
  <si>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</si>
  <si>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</si>
  <si>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</si>
  <si>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</si>
  <si>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</si>
  <si>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</si>
  <si>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</si>
  <si>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</si>
  <si>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</si>
  <si>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</si>
  <si>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</si>
  <si>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</si>
  <si>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</si>
  <si>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</si>
  <si>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</si>
  <si>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</si>
  <si>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</si>
  <si>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</si>
  <si>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</si>
  <si>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</si>
  <si>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</si>
  <si>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</si>
  <si>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</si>
  <si>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</si>
  <si>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</si>
  <si>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</si>
  <si>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</si>
  <si>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</si>
  <si>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</si>
  <si>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</si>
  <si>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</si>
  <si>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</si>
  <si>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</si>
  <si>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</si>
  <si>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</si>
  <si>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</si>
  <si>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</si>
  <si>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</si>
  <si>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</si>
  <si>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</si>
  <si>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</si>
  <si>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</si>
  <si>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</si>
  <si>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</si>
  <si>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</si>
  <si>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</si>
  <si>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</si>
  <si>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</si>
  <si>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</si>
  <si>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</si>
  <si>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</si>
  <si>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</si>
  <si>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</si>
  <si>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</si>
  <si>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</si>
  <si>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</si>
  <si>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</si>
  <si>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</si>
  <si>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</si>
  <si>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</si>
  <si>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</si>
  <si>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</si>
  <si>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</si>
  <si>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</si>
  <si>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</si>
  <si>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</si>
  <si>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</si>
  <si>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</si>
  <si>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</si>
  <si>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</si>
  <si>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</si>
  <si>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</si>
  <si>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</si>
  <si>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</si>
  <si>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</si>
  <si>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</si>
  <si>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</si>
  <si>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</si>
  <si>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</si>
  <si>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</si>
  <si>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</si>
  <si>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</si>
  <si>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</si>
  <si>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</si>
  <si>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</si>
  <si>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</si>
  <si>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</si>
  <si>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</si>
  <si>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</si>
  <si>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</si>
  <si>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</si>
  <si>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</si>
  <si>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</si>
  <si>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</si>
  <si>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</si>
  <si>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</si>
  <si>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</si>
  <si>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</si>
  <si>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</si>
  <si>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</si>
  <si>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</si>
  <si>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</si>
  <si>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</si>
  <si>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</si>
  <si>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</si>
  <si>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</si>
  <si>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</si>
  <si>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</si>
  <si>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</si>
  <si>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</si>
  <si>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</si>
  <si>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</si>
  <si>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</si>
  <si>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</si>
  <si>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</si>
  <si>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</si>
  <si>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</si>
  <si>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</si>
  <si>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</si>
  <si>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</si>
  <si>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</si>
  <si>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</si>
  <si>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</si>
  <si>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</si>
  <si>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</si>
  <si>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</si>
  <si>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</si>
  <si>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</si>
  <si>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</si>
  <si>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</si>
  <si>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</si>
  <si>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</si>
  <si>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</si>
  <si>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</si>
  <si>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</si>
  <si>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</si>
  <si>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</si>
  <si>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</si>
  <si>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</si>
  <si>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</si>
  <si>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</si>
  <si>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</si>
  <si>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</si>
  <si>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</si>
  <si>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</si>
  <si>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</si>
  <si>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</si>
  <si>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</si>
  <si>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</si>
  <si>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</si>
  <si>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</si>
  <si>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</si>
  <si>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</si>
  <si>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</si>
  <si>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</si>
  <si>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</si>
  <si>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</si>
  <si>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</si>
  <si>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</si>
  <si>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</si>
  <si>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</si>
  <si>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</si>
  <si>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</si>
  <si>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</si>
  <si>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</si>
  <si>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</si>
  <si>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</si>
  <si>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</si>
  <si>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</si>
  <si>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</si>
  <si>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</si>
  <si>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</si>
  <si>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</si>
  <si>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</si>
  <si>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</si>
  <si>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</si>
  <si>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</si>
  <si>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</si>
  <si>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</si>
  <si>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</si>
  <si>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</si>
  <si>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</si>
  <si>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</si>
  <si>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</si>
  <si>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</si>
  <si>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</si>
  <si>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</si>
  <si>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</si>
  <si>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</si>
  <si>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</si>
  <si>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</si>
  <si>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</si>
  <si>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</si>
  <si>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</si>
  <si>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</si>
  <si>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</si>
  <si>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</si>
  <si>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</si>
  <si>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</si>
  <si>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</si>
  <si>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</si>
  <si>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</si>
  <si>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</si>
  <si>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</si>
  <si>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</si>
  <si>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</si>
  <si>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</si>
  <si>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</si>
  <si>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</si>
  <si>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</si>
  <si>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</si>
  <si>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</si>
  <si>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</si>
  <si>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</si>
  <si>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</si>
  <si>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</si>
  <si>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</si>
  <si>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</si>
  <si>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</si>
  <si>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</si>
  <si>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</si>
  <si>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</si>
  <si>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</si>
  <si>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</si>
  <si>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</si>
  <si>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</si>
  <si>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</si>
  <si>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</si>
  <si>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</si>
  <si>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</si>
  <si>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</si>
  <si>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</si>
  <si>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</si>
  <si>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</si>
  <si>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</si>
  <si>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</si>
  <si>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</si>
  <si>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</si>
  <si>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</si>
  <si>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</si>
  <si>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</si>
  <si>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</si>
  <si>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</si>
  <si>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</si>
  <si>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</si>
  <si>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</si>
  <si>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</si>
  <si>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</si>
  <si>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</si>
  <si>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</si>
  <si>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</si>
  <si>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</si>
  <si>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</si>
  <si>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</si>
  <si>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</si>
  <si>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</si>
  <si>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</si>
  <si>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</si>
  <si>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</si>
  <si>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</si>
  <si>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</si>
  <si>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</si>
  <si>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</si>
  <si>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</si>
  <si>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</si>
  <si>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</si>
  <si>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</si>
  <si>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</si>
  <si>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</si>
  <si>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</si>
  <si>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</si>
  <si>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</si>
  <si>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</si>
  <si>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</si>
  <si>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</si>
  <si>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</si>
  <si>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</si>
  <si>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</si>
  <si>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</si>
  <si>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</si>
  <si>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</si>
  <si>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</si>
  <si>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</si>
  <si>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</si>
  <si>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</si>
  <si>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</si>
  <si>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</si>
  <si>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</si>
  <si>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</si>
  <si>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</si>
  <si>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</si>
  <si>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</si>
  <si>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</si>
  <si>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</si>
  <si>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</si>
  <si>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</si>
  <si>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</si>
  <si>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</si>
  <si>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</si>
  <si>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</si>
  <si>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</si>
  <si>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</si>
  <si>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</si>
  <si>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</si>
  <si>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</si>
  <si>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</si>
  <si>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</si>
  <si>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</si>
  <si>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</si>
  <si>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</si>
  <si>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</si>
  <si>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</si>
  <si>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</si>
  <si>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</si>
  <si>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</si>
  <si>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</si>
  <si>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</si>
  <si>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</si>
  <si>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</si>
  <si>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</si>
  <si>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</si>
  <si>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</si>
  <si>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</si>
  <si>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</si>
  <si>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</si>
  <si>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</si>
  <si>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</si>
  <si>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</si>
  <si>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</si>
  <si>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</si>
  <si>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</si>
  <si>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</si>
  <si>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</si>
  <si>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</si>
  <si>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</si>
  <si>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</si>
  <si>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</si>
  <si>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</si>
  <si>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</si>
  <si>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</si>
  <si>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</si>
  <si>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</si>
  <si>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</si>
  <si>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</si>
  <si>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</si>
  <si>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</si>
  <si>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</si>
  <si>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</si>
  <si>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</si>
  <si>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</si>
  <si>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</si>
  <si>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</si>
  <si>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</si>
  <si>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</si>
  <si>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</si>
  <si>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</si>
  <si>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</si>
  <si>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</si>
  <si>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</si>
  <si>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</si>
  <si>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</si>
  <si>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</si>
  <si>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</si>
  <si>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</si>
  <si>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</si>
  <si>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</si>
  <si>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</si>
  <si>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</si>
  <si>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</si>
  <si>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</si>
  <si>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</si>
  <si>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</si>
  <si>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</si>
  <si>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</si>
  <si>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</si>
  <si>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</si>
  <si>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</si>
  <si>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</si>
  <si>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</si>
  <si>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</si>
  <si>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</si>
  <si>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</si>
  <si>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</si>
  <si>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</si>
  <si>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</si>
  <si>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</si>
  <si>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</si>
  <si>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</si>
  <si>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</si>
  <si>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</si>
  <si>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</si>
  <si>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</si>
  <si>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</si>
  <si>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</si>
  <si>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</si>
  <si>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</si>
  <si>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</si>
  <si>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</si>
  <si>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</si>
  <si>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</si>
  <si>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</si>
  <si>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</si>
  <si>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</si>
  <si>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</si>
  <si>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</si>
  <si>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</si>
  <si>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</si>
  <si>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</si>
  <si>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</si>
  <si>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</si>
  <si>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</si>
  <si>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</si>
  <si>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</si>
  <si>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</si>
  <si>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</si>
  <si>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</si>
  <si>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</si>
  <si>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</si>
  <si>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</si>
  <si>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</si>
  <si>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</si>
  <si>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</si>
  <si>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</si>
  <si>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</si>
  <si>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</si>
  <si>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</si>
  <si>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</si>
  <si>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</si>
  <si>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</si>
  <si>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</si>
  <si>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</si>
  <si>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</si>
  <si>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</si>
  <si>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</si>
  <si>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</si>
  <si>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</si>
  <si>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</si>
  <si>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</si>
  <si>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</si>
  <si>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</si>
  <si>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</si>
  <si>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</si>
  <si>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</si>
  <si>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</si>
  <si>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</si>
  <si>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</si>
  <si>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</si>
  <si>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</si>
  <si>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</si>
  <si>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</si>
  <si>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</si>
  <si>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</si>
  <si>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</si>
  <si>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</si>
  <si>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</si>
  <si>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</si>
  <si>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</si>
  <si>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</si>
  <si>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</si>
  <si>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</si>
  <si>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</si>
  <si>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</si>
  <si>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</si>
  <si>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</si>
  <si>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</si>
  <si>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</si>
  <si>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</si>
  <si>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</si>
  <si>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</si>
  <si>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</si>
  <si>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</si>
  <si>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</si>
  <si>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</si>
  <si>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</si>
  <si>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</si>
  <si>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</si>
  <si>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</si>
  <si>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</si>
  <si>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</si>
  <si>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</si>
  <si>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</si>
  <si>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</si>
  <si>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</si>
  <si>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</si>
  <si>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</si>
  <si>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</si>
  <si>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</si>
  <si>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</si>
  <si>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</si>
  <si>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</si>
  <si>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</si>
  <si>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</si>
  <si>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</si>
  <si>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</si>
  <si>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</si>
  <si>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</si>
  <si>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</si>
  <si>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</si>
  <si>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</si>
  <si>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</si>
  <si>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</si>
  <si>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</si>
  <si>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</si>
  <si>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</si>
  <si>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</si>
  <si>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</si>
  <si>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</si>
  <si>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</si>
  <si>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</si>
  <si>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</si>
  <si>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</si>
  <si>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</si>
  <si>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</si>
  <si>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</si>
  <si>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</si>
  <si>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</si>
  <si>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</si>
  <si>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</si>
  <si>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</si>
  <si>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</si>
  <si>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</si>
  <si>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</si>
  <si>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</si>
  <si>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</si>
  <si>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</si>
  <si>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</si>
  <si>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</si>
  <si>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</si>
  <si>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</si>
  <si>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</si>
  <si>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</si>
  <si>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</si>
  <si>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</si>
  <si>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</si>
  <si>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</si>
  <si>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</si>
  <si>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</si>
  <si>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</si>
  <si>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</si>
  <si>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</si>
  <si>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</si>
  <si>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</si>
  <si>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</si>
  <si>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</si>
  <si>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</si>
  <si>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</si>
  <si>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</si>
  <si>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</si>
  <si>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</si>
  <si>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</si>
  <si>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</si>
  <si>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</si>
  <si>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</si>
  <si>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</si>
  <si>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</si>
  <si>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</si>
  <si>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</si>
  <si>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</si>
  <si>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</si>
  <si>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</si>
  <si>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</si>
  <si>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</si>
  <si>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</si>
  <si>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</si>
  <si>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</si>
  <si>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</si>
  <si>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</si>
  <si>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</si>
  <si>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</si>
  <si>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</si>
  <si>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</si>
  <si>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</si>
  <si>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</si>
  <si>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</si>
  <si>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</si>
  <si>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</si>
  <si>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</si>
  <si>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</si>
  <si>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</si>
  <si>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</si>
  <si>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</si>
  <si>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</si>
  <si>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</si>
  <si>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</si>
  <si>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</si>
  <si>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</si>
  <si>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</si>
  <si>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</si>
  <si>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</si>
  <si>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</si>
  <si>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</si>
  <si>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</si>
  <si>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</si>
  <si>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</si>
  <si>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</si>
  <si>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</si>
  <si>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</si>
  <si>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</si>
  <si>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</si>
  <si>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</si>
  <si>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</si>
  <si>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</si>
  <si>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</si>
  <si>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</si>
  <si>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</si>
  <si>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</si>
  <si>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</si>
  <si>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</si>
  <si>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</si>
  <si>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</si>
  <si>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</si>
  <si>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</si>
  <si>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</si>
  <si>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</si>
  <si>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</si>
  <si>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</si>
  <si>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</si>
  <si>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</si>
  <si>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</si>
  <si>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</si>
  <si>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</si>
  <si>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</si>
  <si>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</si>
  <si>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</si>
  <si>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</si>
  <si>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</si>
  <si>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</si>
  <si>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</si>
  <si>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</si>
  <si>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</si>
  <si>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</si>
  <si>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</si>
  <si>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</si>
  <si>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</si>
  <si>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</si>
  <si>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</si>
  <si>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</si>
  <si>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</si>
  <si>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</si>
  <si>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</si>
  <si>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</si>
  <si>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</si>
  <si>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</si>
  <si>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</si>
  <si>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</si>
  <si>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</si>
  <si>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</si>
  <si>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</si>
  <si>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</si>
  <si>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</si>
  <si>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</si>
  <si>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</si>
  <si>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</si>
  <si>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</si>
  <si>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</si>
  <si>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</si>
  <si>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</si>
  <si>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</si>
  <si>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</si>
  <si>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</si>
  <si>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</si>
  <si>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</si>
  <si>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</si>
  <si>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</si>
  <si>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</si>
  <si>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</si>
  <si>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</si>
  <si>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</si>
  <si>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</si>
  <si>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</si>
  <si>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</si>
  <si>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</si>
  <si>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</si>
  <si>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</si>
  <si>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</si>
  <si>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</si>
  <si>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</si>
  <si>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</si>
  <si>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</si>
  <si>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</si>
  <si>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</si>
  <si>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</si>
  <si>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</si>
  <si>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</si>
  <si>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</si>
  <si>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</si>
  <si>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</si>
  <si>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</si>
  <si>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</si>
  <si>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</si>
  <si>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</si>
  <si>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</si>
  <si>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</si>
  <si>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</si>
  <si>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</si>
  <si>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</si>
  <si>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</si>
  <si>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</si>
  <si>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</si>
  <si>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</si>
  <si>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</si>
  <si>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</si>
  <si>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</si>
  <si>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</si>
  <si>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</si>
  <si>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</si>
  <si>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</si>
  <si>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</si>
  <si>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</si>
  <si>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</si>
  <si>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</si>
  <si>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</si>
  <si>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</si>
  <si>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</si>
  <si>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</si>
  <si>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</si>
  <si>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</si>
  <si>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</si>
  <si>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</si>
  <si>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</si>
  <si>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</si>
  <si>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</si>
  <si>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</si>
  <si>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</si>
  <si>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</si>
  <si>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</si>
  <si>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</si>
  <si>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</si>
  <si>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</si>
  <si>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</si>
  <si>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</si>
  <si>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</si>
  <si>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</si>
  <si>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</si>
  <si>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</si>
  <si>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</si>
  <si>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</si>
  <si>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</si>
  <si>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</si>
  <si>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</si>
  <si>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</si>
  <si>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</si>
  <si>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</si>
  <si>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</si>
  <si>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</si>
  <si>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</si>
  <si>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</si>
  <si>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</si>
  <si>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</si>
  <si>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</si>
  <si>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</si>
  <si>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</si>
  <si>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</si>
  <si>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</si>
  <si>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</si>
  <si>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</si>
  <si>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</si>
  <si>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</si>
  <si>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</si>
  <si>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</si>
  <si>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</si>
  <si>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</si>
  <si>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</si>
  <si>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</si>
  <si>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</si>
  <si>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</si>
  <si>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</si>
  <si>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</si>
  <si>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</si>
  <si>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</si>
  <si>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</si>
  <si>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</si>
  <si>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</si>
  <si>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</si>
  <si>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</si>
  <si>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</si>
  <si>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</si>
  <si>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</si>
  <si>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</si>
  <si>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</si>
  <si>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</si>
  <si>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</si>
  <si>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</si>
  <si>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</si>
  <si>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</si>
  <si>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</si>
  <si>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</si>
  <si>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</si>
  <si>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</si>
  <si>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</si>
  <si>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</si>
  <si>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</si>
  <si>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</si>
  <si>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</si>
  <si>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</si>
  <si>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</si>
  <si>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</si>
  <si>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</si>
  <si>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</si>
  <si>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</si>
  <si>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</si>
  <si>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</si>
  <si>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</si>
  <si>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</si>
  <si>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</si>
  <si>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</si>
  <si>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</si>
  <si>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</si>
  <si>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</si>
  <si>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</si>
  <si>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</si>
  <si>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</si>
  <si>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</si>
  <si>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</si>
  <si>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</si>
  <si>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</si>
  <si>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</si>
  <si>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</si>
  <si>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</si>
  <si>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</si>
  <si>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</si>
  <si>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</si>
  <si>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</si>
  <si>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</si>
  <si>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</si>
  <si>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</si>
  <si>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</si>
  <si>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</si>
  <si>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</si>
  <si>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</si>
  <si>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</si>
  <si>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</si>
  <si>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</si>
  <si>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</si>
  <si>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</si>
  <si>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</si>
  <si>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</si>
  <si>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</si>
  <si>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</si>
  <si>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</si>
  <si>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</si>
  <si>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</si>
  <si>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</si>
  <si>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</si>
  <si>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</si>
  <si>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</si>
  <si>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</si>
  <si>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</si>
  <si>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</si>
  <si>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</si>
  <si>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</si>
  <si>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</si>
  <si>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</si>
  <si>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</si>
  <si>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</si>
  <si>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</si>
  <si>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</si>
  <si>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</si>
  <si>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</si>
  <si>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</si>
  <si>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</si>
  <si>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</si>
  <si>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</si>
  <si>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</si>
  <si>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</si>
  <si>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</si>
  <si>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</si>
  <si>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</si>
  <si>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</si>
  <si>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</si>
  <si>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</si>
  <si>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</si>
  <si>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</si>
  <si>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</si>
  <si>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</si>
  <si>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</si>
  <si>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</si>
  <si>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</si>
  <si>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</si>
  <si>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</si>
  <si>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</si>
  <si>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</si>
  <si>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</si>
  <si>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</si>
  <si>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</si>
  <si>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</si>
  <si>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</si>
  <si>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</si>
  <si>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</si>
  <si>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</si>
  <si>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</si>
  <si>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</si>
  <si>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</si>
  <si>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</si>
  <si>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</si>
  <si>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</si>
  <si>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</si>
  <si>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</si>
  <si>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</si>
  <si>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</si>
  <si>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</si>
  <si>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</si>
  <si>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</si>
  <si>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</si>
  <si>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</si>
  <si>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</si>
  <si>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</si>
  <si>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</si>
  <si>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</si>
  <si>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</si>
  <si>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</si>
  <si>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</si>
  <si>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</si>
  <si>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</si>
  <si>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</si>
  <si>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</si>
  <si>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</si>
  <si>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</si>
  <si>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</si>
  <si>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</si>
  <si>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</si>
  <si>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</si>
  <si>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</si>
  <si>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</si>
  <si>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</si>
  <si>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</si>
  <si>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</si>
  <si>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</si>
  <si>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</si>
  <si>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</si>
  <si>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</si>
  <si>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</si>
  <si>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</si>
  <si>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</si>
  <si>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</si>
  <si>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</si>
  <si>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</si>
  <si>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</si>
  <si>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</si>
  <si>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</si>
  <si>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</si>
  <si>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</si>
  <si>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</si>
  <si>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</si>
  <si>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</si>
  <si>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</si>
  <si>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</si>
  <si>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</si>
  <si>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</si>
  <si>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</si>
  <si>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</si>
  <si>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</si>
  <si>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</si>
  <si>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</si>
  <si>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</si>
  <si>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</si>
  <si>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</si>
  <si>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</si>
  <si>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</si>
  <si>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</si>
  <si>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</si>
  <si>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</si>
  <si>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</si>
  <si>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</si>
  <si>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</si>
  <si>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</si>
  <si>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</si>
  <si>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</si>
  <si>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</si>
  <si>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</si>
  <si>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</si>
  <si>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</si>
  <si>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</si>
  <si>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</si>
  <si>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</si>
  <si>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</si>
  <si>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</si>
  <si>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</si>
  <si>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</si>
  <si>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</si>
  <si>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</si>
  <si>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</si>
  <si>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</si>
  <si>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</si>
  <si>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</si>
  <si>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</si>
  <si>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</si>
  <si>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</si>
  <si>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</si>
  <si>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</si>
  <si>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</si>
  <si>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</si>
  <si>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</si>
  <si>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</si>
  <si>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</si>
  <si>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</si>
  <si>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</si>
  <si>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</si>
  <si>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</si>
  <si>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</si>
  <si>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</si>
  <si>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</si>
  <si>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</si>
  <si>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</si>
  <si>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</si>
  <si>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</si>
  <si>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</si>
  <si>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</si>
  <si>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</si>
  <si>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</si>
  <si>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</si>
  <si>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</si>
  <si>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</si>
  <si>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</si>
  <si>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</si>
  <si>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</si>
  <si>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</si>
  <si>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</si>
  <si>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</si>
  <si>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</si>
  <si>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</si>
  <si>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</si>
  <si>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</si>
  <si>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</si>
  <si>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</si>
  <si>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</si>
  <si>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</si>
  <si>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</si>
  <si>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</si>
  <si>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</si>
  <si>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</si>
  <si>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</si>
  <si>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</si>
  <si>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</si>
  <si>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</si>
  <si>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</si>
  <si>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</si>
  <si>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</si>
  <si>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</si>
  <si>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</si>
  <si>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</si>
  <si>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</si>
  <si>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</si>
  <si>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</si>
  <si>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</si>
  <si>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</si>
  <si>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</si>
  <si>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</si>
  <si>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</si>
  <si>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</si>
  <si>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</si>
  <si>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</si>
  <si>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</si>
  <si>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</si>
  <si>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</si>
  <si>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</si>
  <si>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</si>
  <si>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</si>
  <si>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</si>
  <si>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</si>
  <si>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</si>
  <si>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</si>
  <si>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</si>
  <si>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</si>
  <si>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</si>
  <si>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</si>
  <si>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</si>
  <si>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</si>
  <si>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</si>
  <si>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</si>
  <si>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</si>
  <si>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</si>
  <si>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</si>
  <si>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</si>
  <si>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</si>
  <si>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</si>
  <si>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</si>
  <si>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</si>
  <si>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</si>
  <si>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</si>
  <si>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</si>
  <si>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</si>
  <si>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</si>
  <si>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</si>
  <si>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</si>
  <si>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</si>
  <si>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</si>
  <si>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</si>
  <si>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</si>
  <si>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</si>
  <si>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</si>
  <si>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</si>
  <si>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</si>
  <si>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</si>
  <si>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</si>
  <si>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</si>
  <si>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</si>
  <si>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</si>
  <si>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</si>
  <si>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</si>
  <si>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</si>
  <si>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</si>
  <si>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</si>
  <si>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</si>
  <si>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</si>
  <si>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</si>
  <si>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</si>
  <si>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</si>
  <si>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</si>
  <si>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</si>
  <si>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</si>
  <si>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</si>
  <si>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</si>
  <si>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</si>
  <si>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</si>
  <si>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</si>
  <si>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</si>
  <si>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</si>
  <si>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</si>
  <si>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</si>
  <si>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</si>
  <si>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</si>
  <si>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</si>
  <si>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</si>
  <si>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</si>
  <si>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</si>
  <si>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</si>
  <si>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</si>
  <si>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</si>
  <si>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</si>
  <si>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</si>
  <si>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</si>
  <si>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</si>
  <si>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</si>
  <si>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</si>
  <si>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</si>
  <si>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</si>
  <si>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</si>
  <si>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</si>
  <si>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</si>
  <si>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</si>
  <si>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</si>
  <si>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</si>
  <si>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</si>
  <si>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</si>
  <si>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</si>
  <si>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</si>
  <si>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</si>
  <si>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</si>
  <si>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</si>
  <si>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</si>
  <si>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</si>
  <si>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</si>
  <si>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</si>
  <si>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</si>
  <si>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</si>
  <si>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</si>
  <si>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</si>
  <si>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</si>
  <si>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</si>
  <si>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</si>
  <si>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</si>
  <si>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</si>
  <si>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</si>
  <si>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</si>
  <si>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</si>
  <si>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</si>
  <si>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</si>
  <si>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</si>
  <si>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</si>
  <si>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</si>
  <si>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</si>
  <si>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</si>
  <si>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</si>
  <si>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</si>
  <si>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</si>
  <si>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</si>
  <si>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</si>
  <si>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</si>
  <si>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</si>
  <si>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</si>
  <si>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</si>
  <si>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</si>
  <si>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</si>
  <si>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</si>
  <si>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</si>
  <si>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</si>
  <si>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</si>
  <si>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</si>
  <si>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</si>
  <si>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</si>
  <si>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</si>
  <si>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</si>
  <si>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</si>
  <si>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</si>
  <si>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</si>
  <si>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</si>
  <si>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</si>
  <si>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</si>
  <si>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</si>
  <si>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</si>
  <si>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</si>
  <si>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</si>
  <si>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</si>
  <si>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</si>
  <si>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</si>
  <si>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</si>
  <si>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</si>
  <si>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</si>
  <si>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</si>
  <si>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</si>
  <si>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</si>
  <si>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</si>
  <si>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</si>
  <si>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</si>
  <si>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</si>
  <si>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</si>
  <si>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</si>
  <si>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</si>
  <si>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</si>
  <si>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</si>
  <si>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</si>
  <si>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</si>
  <si>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</si>
  <si>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</si>
  <si>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</si>
  <si>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</si>
  <si>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</si>
  <si>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</si>
  <si>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</si>
  <si>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</si>
  <si>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</si>
  <si>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</si>
  <si>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</si>
  <si>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</si>
  <si>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</si>
  <si>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</si>
  <si>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</si>
  <si>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</si>
  <si>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</si>
  <si>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</si>
  <si>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</si>
  <si>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</si>
  <si>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</si>
  <si>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</si>
  <si>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</si>
  <si>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</si>
  <si>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</si>
  <si>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</si>
  <si>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</si>
  <si>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</si>
  <si>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</si>
  <si>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</si>
  <si>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</si>
  <si>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</si>
  <si>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</si>
  <si>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</si>
  <si>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</si>
  <si>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</si>
  <si>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</si>
  <si>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</si>
  <si>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</si>
  <si>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</si>
  <si>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</si>
  <si>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</si>
  <si>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</si>
  <si>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</si>
  <si>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</si>
  <si>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</si>
  <si>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</si>
  <si>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</si>
  <si>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</si>
  <si>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</si>
  <si>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</si>
  <si>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</si>
  <si>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</si>
  <si>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</si>
  <si>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</si>
  <si>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</si>
  <si>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</si>
  <si>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</si>
  <si>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</si>
  <si>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</si>
  <si>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</si>
  <si>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</si>
  <si>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</si>
  <si>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</si>
  <si>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</si>
  <si>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</si>
  <si>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</si>
  <si>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</si>
  <si>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</si>
  <si>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</si>
  <si>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</si>
  <si>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</si>
  <si>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</si>
  <si>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</si>
  <si>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</si>
  <si>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</si>
  <si>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</si>
  <si>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</si>
  <si>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</si>
  <si>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</si>
  <si>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</si>
  <si>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</si>
  <si>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</si>
  <si>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</si>
  <si>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</si>
  <si>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</si>
  <si>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</si>
  <si>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</si>
  <si>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</si>
  <si>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</si>
  <si>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</si>
  <si>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</si>
  <si>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</si>
  <si>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</si>
  <si>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</si>
  <si>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</si>
  <si>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</si>
  <si>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</si>
  <si>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</si>
  <si>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</si>
  <si>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</si>
  <si>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</si>
  <si>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</si>
  <si>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</si>
  <si>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</si>
  <si>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</si>
  <si>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</si>
  <si>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</si>
  <si>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</si>
  <si>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</si>
  <si>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</si>
  <si>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</si>
  <si>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</si>
  <si>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</si>
  <si>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</si>
  <si>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</si>
  <si>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</si>
  <si>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</si>
  <si>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</si>
  <si>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</si>
  <si>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</si>
  <si>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</si>
  <si>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</si>
  <si>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</si>
  <si>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</si>
  <si>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</si>
  <si>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</si>
  <si>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</si>
  <si>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</si>
  <si>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</si>
  <si>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</si>
  <si>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</si>
  <si>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</si>
  <si>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</si>
  <si>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</si>
  <si>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</si>
  <si>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</si>
  <si>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</si>
  <si>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</si>
  <si>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</si>
  <si>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</si>
  <si>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</si>
  <si>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</si>
  <si>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</si>
  <si>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</si>
  <si>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</si>
  <si>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</si>
  <si>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</si>
  <si>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</si>
  <si>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</si>
  <si>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</si>
  <si>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</si>
  <si>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</si>
  <si>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</si>
  <si>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</si>
  <si>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</si>
  <si>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</si>
  <si>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</si>
  <si>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</si>
  <si>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</si>
  <si>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</si>
  <si>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</si>
  <si>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</si>
  <si>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</si>
  <si>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</si>
  <si>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</si>
  <si>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</si>
  <si>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</si>
  <si>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</si>
  <si>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</si>
  <si>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</si>
  <si>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</si>
  <si>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</si>
  <si>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</si>
  <si>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</si>
  <si>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</si>
  <si>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</si>
  <si>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</si>
  <si>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</si>
  <si>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</si>
  <si>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</si>
  <si>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</si>
  <si>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</si>
  <si>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</si>
  <si>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</si>
  <si>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</si>
  <si>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</si>
  <si>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</si>
  <si>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</si>
  <si>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</si>
  <si>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</si>
  <si>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</si>
  <si>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</si>
  <si>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</si>
  <si>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</si>
  <si>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</si>
  <si>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</si>
  <si>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</si>
  <si>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</si>
  <si>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</si>
  <si>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</si>
  <si>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</si>
  <si>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</si>
  <si>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</si>
  <si>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</si>
  <si>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</si>
  <si>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</si>
  <si>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</si>
  <si>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</si>
  <si>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</si>
  <si>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</si>
  <si>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</si>
  <si>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</si>
  <si>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</si>
  <si>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</si>
  <si>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</si>
  <si>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</si>
  <si>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</si>
  <si>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</si>
  <si>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</si>
  <si>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</si>
  <si>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</si>
  <si>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</si>
  <si>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</si>
  <si>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</si>
  <si>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</si>
  <si>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</si>
  <si>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</si>
  <si>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</si>
  <si>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</si>
  <si>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</si>
  <si>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</si>
  <si>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</si>
  <si>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</si>
  <si>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</si>
  <si>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</si>
  <si>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</si>
  <si>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</si>
  <si>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</si>
  <si>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</si>
  <si>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</si>
  <si>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</si>
  <si>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</si>
  <si>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</si>
  <si>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</si>
  <si>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</si>
  <si>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</si>
  <si>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</si>
  <si>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</si>
  <si>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</si>
  <si>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</si>
  <si>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</si>
  <si>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</si>
  <si>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</si>
  <si>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</si>
  <si>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</si>
  <si>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</si>
  <si>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</si>
  <si>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</si>
  <si>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</si>
  <si>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</si>
  <si>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</si>
  <si>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</si>
  <si>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</si>
  <si>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</si>
  <si>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</si>
  <si>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</si>
  <si>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</si>
  <si>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</si>
  <si>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</si>
  <si>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</si>
  <si>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</si>
  <si>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</si>
  <si>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</si>
  <si>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</si>
  <si>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</si>
  <si>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</si>
  <si>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</si>
  <si>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</si>
  <si>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</si>
  <si>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</si>
  <si>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</si>
  <si>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</si>
  <si>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</si>
  <si>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</si>
  <si>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</si>
  <si>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</si>
  <si>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</si>
  <si>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</si>
  <si>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</si>
  <si>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</si>
  <si>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</si>
  <si>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</si>
  <si>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</si>
  <si>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</si>
  <si>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</si>
  <si>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</si>
  <si>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</si>
  <si>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</si>
  <si>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</si>
  <si>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</si>
  <si>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</si>
  <si>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</si>
  <si>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</si>
  <si>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</si>
  <si>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</si>
  <si>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</si>
  <si>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</si>
  <si>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</si>
  <si>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</si>
  <si>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</si>
  <si>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</si>
  <si>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</si>
  <si>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</si>
  <si>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</si>
  <si>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</si>
  <si>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</si>
  <si>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</si>
  <si>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</si>
  <si>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</si>
  <si>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</si>
  <si>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</si>
  <si>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</si>
  <si>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</si>
  <si>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</si>
  <si>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</si>
  <si>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</si>
  <si>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</si>
  <si>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</si>
  <si>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</si>
  <si>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</si>
  <si>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</si>
  <si>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</si>
  <si>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</si>
  <si>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</si>
  <si>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</si>
  <si>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</si>
  <si>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</si>
  <si>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</si>
  <si>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</si>
  <si>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</si>
  <si>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</si>
  <si>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</si>
  <si>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</si>
  <si>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</si>
  <si>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</si>
  <si>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</si>
  <si>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</si>
  <si>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</si>
  <si>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</si>
  <si>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</si>
  <si>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</si>
  <si>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</si>
  <si>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</si>
  <si>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</si>
  <si>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</si>
  <si>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</si>
  <si>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</si>
  <si>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</si>
  <si>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</si>
  <si>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</si>
  <si>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</si>
  <si>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</si>
  <si>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</si>
  <si>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</si>
  <si>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</si>
  <si>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</si>
  <si>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</si>
  <si>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</si>
  <si>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</si>
  <si>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</si>
  <si>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</si>
  <si>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</si>
  <si>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</si>
  <si>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</si>
  <si>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</si>
  <si>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</si>
  <si>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</si>
  <si>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</si>
  <si>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</si>
  <si>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</si>
  <si>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</si>
  <si>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</si>
  <si>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</si>
  <si>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</si>
  <si>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</si>
  <si>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</si>
  <si>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</si>
  <si>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</si>
  <si>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</si>
  <si>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</si>
  <si>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</si>
  <si>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</si>
  <si>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</si>
  <si>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</si>
  <si>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</si>
  <si>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</si>
  <si>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</si>
  <si>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</si>
  <si>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</si>
  <si>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</si>
  <si>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</si>
  <si>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</si>
  <si>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</si>
  <si>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</si>
  <si>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</si>
  <si>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</si>
  <si>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</si>
  <si>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</si>
  <si>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</si>
  <si>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</si>
  <si>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</si>
  <si>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</si>
  <si>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</si>
  <si>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</si>
  <si>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</si>
  <si>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</si>
  <si>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</si>
  <si>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</si>
  <si>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</si>
  <si>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</si>
  <si>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</si>
  <si>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</si>
  <si>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</si>
  <si>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</si>
  <si>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</si>
  <si>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</si>
  <si>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</si>
  <si>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</si>
  <si>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</si>
  <si>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</si>
  <si>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</si>
  <si>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</si>
  <si>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</si>
  <si>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</si>
  <si>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</si>
  <si>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</si>
  <si>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</si>
  <si>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</si>
  <si>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</si>
  <si>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</si>
  <si>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</si>
  <si>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</si>
  <si>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</si>
  <si>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</si>
  <si>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</si>
  <si>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</si>
  <si>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</si>
  <si>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</si>
  <si>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</si>
  <si>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</si>
  <si>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</si>
  <si>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</si>
  <si>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</si>
  <si>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</si>
  <si>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</si>
  <si>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</si>
  <si>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</si>
  <si>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</si>
  <si>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</si>
  <si>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</si>
  <si>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</si>
  <si>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</si>
  <si>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</si>
  <si>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</si>
  <si>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</si>
  <si>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</si>
  <si>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</si>
  <si>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</si>
  <si>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</si>
  <si>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</si>
  <si>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</si>
  <si>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</si>
  <si>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</si>
  <si>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</si>
  <si>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</si>
  <si>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</si>
  <si>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</si>
  <si>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</si>
  <si>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</si>
  <si>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</si>
  <si>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</si>
  <si>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</si>
  <si>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</si>
  <si>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</si>
  <si>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</si>
  <si>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</si>
  <si>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</si>
  <si>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</si>
  <si>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</si>
  <si>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</si>
  <si>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</si>
  <si>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</si>
  <si>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</si>
  <si>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</si>
  <si>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</si>
  <si>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</si>
  <si>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</si>
  <si>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</si>
  <si>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</si>
  <si>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</si>
  <si>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</si>
  <si>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</si>
  <si>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</si>
  <si>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</si>
  <si>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</si>
  <si>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</si>
  <si>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</si>
  <si>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</si>
  <si>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</si>
  <si>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</si>
  <si>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</si>
  <si>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</si>
  <si>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</si>
  <si>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</si>
  <si>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</si>
  <si>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</si>
  <si>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</si>
  <si>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</si>
  <si>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</si>
  <si>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</si>
  <si>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</si>
  <si>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</si>
  <si>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</si>
  <si>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</si>
  <si>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</si>
  <si>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</si>
  <si>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</si>
  <si>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</si>
  <si>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</si>
  <si>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</si>
  <si>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</si>
  <si>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</si>
  <si>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</si>
  <si>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</si>
  <si>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</si>
  <si>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</si>
  <si>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</si>
  <si>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</si>
  <si>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</si>
  <si>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</si>
  <si>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</si>
  <si>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</si>
  <si>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</si>
  <si>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</si>
  <si>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</si>
  <si>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</si>
  <si>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</si>
  <si>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</si>
  <si>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</si>
  <si>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</si>
  <si>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</si>
  <si>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</si>
  <si>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</si>
  <si>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</si>
  <si>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</si>
  <si>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</si>
  <si>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</si>
  <si>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</si>
  <si>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</si>
  <si>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</si>
  <si>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</si>
  <si>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</si>
  <si>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</si>
  <si>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</si>
  <si>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</si>
  <si>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</si>
  <si>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</si>
  <si>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</si>
  <si>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</si>
  <si>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</si>
  <si>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</si>
  <si>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</si>
  <si>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</si>
  <si>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</si>
  <si>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</si>
  <si>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</si>
  <si>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</si>
  <si>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</si>
  <si>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</si>
  <si>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</si>
  <si>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</si>
  <si>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</si>
  <si>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</si>
  <si>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</si>
  <si>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</si>
  <si>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</si>
  <si>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</si>
  <si>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</si>
  <si>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</si>
  <si>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</si>
  <si>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</si>
  <si>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</si>
  <si>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</si>
  <si>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</si>
  <si>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</si>
  <si>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</si>
  <si>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</si>
  <si>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</si>
  <si>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</si>
  <si>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</si>
  <si>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</si>
  <si>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</si>
  <si>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</si>
  <si>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</si>
  <si>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</si>
  <si>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</si>
  <si>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</si>
  <si>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</si>
  <si>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</si>
  <si>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</si>
  <si>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</si>
  <si>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</si>
  <si>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</si>
  <si>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</si>
  <si>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</si>
  <si>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</si>
  <si>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</si>
  <si>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</si>
  <si>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</si>
  <si>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</si>
  <si>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</si>
  <si>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</si>
  <si>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</si>
  <si>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</si>
  <si>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Meister, Hilton, Chitwood &amp; Associates, Inc.</t>
  </si>
  <si>
    <t>Ron Hilton</t>
  </si>
  <si>
    <t>809 W. Detweiller Drive, Suite 806</t>
  </si>
  <si>
    <t>Peoria</t>
  </si>
  <si>
    <t>IL</t>
  </si>
  <si>
    <t>(309) 683-0441</t>
  </si>
  <si>
    <t>(309) 692-0492</t>
  </si>
  <si>
    <t>066-004769</t>
  </si>
  <si>
    <t>ron.hilton1@comcast.net</t>
  </si>
  <si>
    <t>x</t>
  </si>
  <si>
    <t>3717 West Malone Street</t>
  </si>
  <si>
    <t>lweaver@phill69.com</t>
  </si>
  <si>
    <t>Lisa Weaver</t>
  </si>
  <si>
    <t>309-637-6829</t>
  </si>
  <si>
    <t>309-637-8612</t>
  </si>
  <si>
    <t>23. The District has prepared these financial statements using the regulatory accounting practices prescribed by the Illinois State Board of Education, which differs from accounting principles generally accepted in the United States of America.</t>
  </si>
  <si>
    <t>G.O. School Bonds, Series 2019A</t>
  </si>
  <si>
    <t>G.O. School Bonds, Series 2019B</t>
  </si>
  <si>
    <t>Note payable to bank</t>
  </si>
  <si>
    <t>Line of credit</t>
  </si>
  <si>
    <t>Oak Grove, Limestone Walters</t>
  </si>
  <si>
    <t>B</t>
  </si>
  <si>
    <t>A</t>
  </si>
  <si>
    <t>Special Education Association of Peoria County (SEAPCO)</t>
  </si>
  <si>
    <t>A. Oak Grove, Monroe, SEAPCO, Brimfield, Norwood, Bartonville, Hollis, Dunlap, Elmwood, Limestone Walters, Robein, Delavan, ROE 48, Area 111 Tech Center</t>
  </si>
  <si>
    <t>B. Oak Grove, Monroe, Norwood, Bartonville Grade, Hollis, Limestone Walters, Pleasant Valley, Limestone High School</t>
  </si>
  <si>
    <t>Page 10, Line 1999 - Other Local Revenues:  Local Grants - United Way, Supporting Student Success $12,300,</t>
  </si>
  <si>
    <t>Page 12, Line 3999 - Other Restricted Revenue from State Sources: Healthy Schools grant $7,715 (2020 grant), return of unused</t>
  </si>
  <si>
    <t xml:space="preserve">      e-rate reimbursement $386, other miscellaneous $258.</t>
  </si>
  <si>
    <t xml:space="preserve">      grant funds $1,566 (2019 grant).</t>
  </si>
  <si>
    <t>Page 18, Line 5400 - Debt Servicee - Other: Bond agent fees $500.</t>
  </si>
  <si>
    <t>Effective internal controls should be implemented to ensure that an adequate segregation of duties over the accounting function exists.  Responsibilities for authorizing, approving, executing and recording transactions in the general ledger should be segregated between two or more individuals.</t>
  </si>
  <si>
    <t>The District has one employee that is involved in the accounting function.  The District does not have an adequate segregation of duties over accounting transactions as the employee is responsible for initiating and recording transactions in the general ledger as well as performing reconciliations.</t>
  </si>
  <si>
    <t>One employee is responsible for all aspects of the cash receipts, cash disbursements  and payroll functions and also responsible for recording these transactions in the general ledger.</t>
  </si>
  <si>
    <t>This condition increases the possibility that errors or fraud may occur and not be detected on a timely basis.</t>
  </si>
  <si>
    <t>Due to the small size of the District, duties have been assigned based on the experience, abilities and schedules of office personnel.</t>
  </si>
  <si>
    <t>When this condition exists, the Superintendent’s and Board of Education's close oversight and review of accounting information on a regular basis is the best means of preventing or detecting errors or fraud.</t>
  </si>
  <si>
    <t xml:space="preserve">Due to the small size of the District, it is not practical to hire additional personnel solely for the purpose of achieving an ideal segregation of duties over the accounting function.  </t>
  </si>
  <si>
    <t>Performing bank reconciliations is an integral part of the segregation of duties and detective controls of the system of internal controls to ensure the integrity of the recorded cash balances.   When bank reconciliations are performed, any unrecorded transactions are identified, investigated for propriety, and appropriate adjustments and corrections are made.</t>
  </si>
  <si>
    <t>Bank reconciliations are prepared by the District bookkeeper on a monthly basis.   However, due to the current workload of the bookkeeper, the reconciliations were not fully and accurately completed.  Unidentified reconciling items existed that were not identified and corrected on a timely basis.   In addition, the reconciliations were not reviewed and approved by someone other than the individual that prepared the reconciliations.</t>
  </si>
  <si>
    <t>The bank reconciliations did not identify and correct errors in the cash accounts in the general ledger on a timely basis.  As a result, unlocated differences existed in the District cash account.</t>
  </si>
  <si>
    <t>This condition increases the possibility that errors or fraud in the cash accounts may occur and not be detected and corrected on a timely basis.</t>
  </si>
  <si>
    <t>Due to the small size of the District, the bookkeeper has assumed additional responsibilities and does not have the available time and resources to dedicate to all responsibilities assigned.  In addition, the reconciliations were not review by someone other than the person preparing them.</t>
  </si>
  <si>
    <t>We recommend that the bank reconciliations be prepared completly and accurately on a monthly basis and all reconciling items be identified and corrected timely in the general ledger.  In addition, the reconciliations should be reviewed and approved by someone other than the person that prepared them.</t>
  </si>
  <si>
    <t>The District will make additional resources available to assist the bookkeeper in performing the bank reconciliations fully and accurately on a monthly basis.  The reconciliations will be review be someone other than the bookkeeper to ensure that they are being prepared accurately and that all reconciling items are identified and corrected on a timely basis.</t>
  </si>
  <si>
    <t>In an ideal control setting, the District would have personnel possessing a thorough understanding of applicable generally accepted accounting principles and staying abreast of recent accounting developments.  Such personnel would perform a comprehensive review procedure to ensure that in the preparation of its annual financial statements that such statements, including disclosures, are complete and accurate.</t>
  </si>
  <si>
    <t>The Board of Education and management share the ultimate responsibility for the District's internal control system.  While it is acceptable to outsource various accounting functions, the responsibility for internal control cannot be outsourced to the external auditors and still be considered part of the on-going internal control of the organization.  The District engages the external auditors to assist in preparing its financial statements and accompanying disclosures.  However, as independent auditors, external auditors cannot be considered part of the District's internal control system.</t>
  </si>
  <si>
    <t>The District prepares accurate non-full disclosure financial reports (i.e. without note disclosure) on a monthly basis.  Changes in accounting standards may not be identified and implemented by the Board of Education and management.</t>
  </si>
  <si>
    <t>It is possible that a misstatement of the District's financial statements could occur and not be prevented or detected by the District's internal control over financial reporting.</t>
  </si>
  <si>
    <t>Due to the small size of the District, the District has not made it a practice to send District officials or other personnel to training classes to update them on the on-going changes and complexities of generally accepted accounting principles.</t>
  </si>
  <si>
    <t>We make no recommendation as to whether management should or should not invest in additional personnel or additional training for existing personnel to acquire the capacity to maintain the level of expertise necessary to prepare financial statements in accordance with generally accepted accounting principles including all disclosures.</t>
  </si>
  <si>
    <t>The District does not currently have qualified personnel to perform a complete review of the District's drafted financial statements.  In addition, it is not economically practical to hire an outside consultant to conduct this review.  The District believes that management's review of the balances and amounts are adequate in the circumstances and no additional procedures are considered necessary.</t>
  </si>
  <si>
    <t>2019-001</t>
  </si>
  <si>
    <t>There is not an adequate segregation of duties</t>
  </si>
  <si>
    <t>Corrective action was not taken - repeated</t>
  </si>
  <si>
    <t>over the accounting function.</t>
  </si>
  <si>
    <t>as finding No. 2020-001</t>
  </si>
  <si>
    <t>2019-002</t>
  </si>
  <si>
    <t>2019-003</t>
  </si>
  <si>
    <t>District personnel  can not prepare the regulatory</t>
  </si>
  <si>
    <t>basis financial financial statements including the</t>
  </si>
  <si>
    <t>as finding No. 2020-002</t>
  </si>
  <si>
    <t>related note disclosures.</t>
  </si>
  <si>
    <t>Bank reconciliations did not identify and correct</t>
  </si>
  <si>
    <t>errors in the cash account in the general ledger</t>
  </si>
  <si>
    <t>on a timely basis.</t>
  </si>
  <si>
    <t>as finding No. 2020-003</t>
  </si>
  <si>
    <t>ED-Support Services-Pupils -Purchased Services</t>
  </si>
  <si>
    <t>Family Core</t>
  </si>
  <si>
    <t>Transportation-Pupil Transportation Services -Purchased Services</t>
  </si>
  <si>
    <t>First Student</t>
  </si>
  <si>
    <t xml:space="preserve">  Pleasant Hill SD 69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</si>
</sst>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8" fillId="0" borderId="0"/>
    <xf numFmtId="0" fontId="7" fillId="0" borderId="0"/>
    <xf numFmtId="0" fontId="4" fillId="0" borderId="0"/>
  </cellStyleXfs>
  <cellXfs count="2623">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6" fillId="0" borderId="0" xfId="12" quotePrefix="1" applyNumberFormat="1" applyFont="1" applyBorder="1" applyAlignment="1" applyProtection="1">
      <alignment horizontal="lef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3" xfId="12" applyNumberFormat="1" applyFont="1" applyBorder="1" applyAlignment="1" applyProtection="1">
      <alignment horizontal="right" vertical="center"/>
    </xf>
    <xf numFmtId="0" fontId="16" fillId="0" borderId="126" xfId="12" applyFont="1" applyBorder="1" applyAlignment="1" applyProtection="1">
      <alignment vertical="center"/>
    </xf>
    <xf numFmtId="0" fontId="16" fillId="0" borderId="124" xfId="12" applyFont="1" applyBorder="1" applyAlignment="1" applyProtection="1">
      <alignment vertical="center"/>
    </xf>
    <xf numFmtId="1" fontId="12" fillId="0" borderId="0" xfId="0" applyNumberFormat="1" applyFont="1" applyAlignment="1">
      <alignment horizontal="center" vertical="center"/>
    </xf>
    <xf numFmtId="0" fontId="13" fillId="0" borderId="133"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19" xfId="0" applyFont="1" applyFill="1" applyBorder="1" applyAlignment="1" applyProtection="1">
      <alignment horizontal="left" vertical="center"/>
    </xf>
    <xf numFmtId="164" fontId="56" fillId="17" borderId="119" xfId="0" applyNumberFormat="1" applyFont="1" applyFill="1" applyBorder="1" applyAlignment="1" applyProtection="1">
      <alignment horizontal="center" vertical="center"/>
    </xf>
    <xf numFmtId="164" fontId="66" fillId="17" borderId="119" xfId="0" applyNumberFormat="1" applyFont="1" applyFill="1" applyBorder="1" applyAlignment="1" applyProtection="1">
      <alignment vertical="center"/>
    </xf>
    <xf numFmtId="0" fontId="79" fillId="10" borderId="120"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79" fillId="10" borderId="104" xfId="0" applyFont="1" applyFill="1" applyBorder="1" applyAlignment="1">
      <alignment horizontal="left" vertical="center"/>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3" fontId="64" fillId="0" borderId="0" xfId="0" applyNumberFormat="1" applyFont="1" applyBorder="1" applyProtection="1"/>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1" fontId="64" fillId="0" borderId="0" xfId="0" applyNumberFormat="1" applyFont="1" applyBorder="1" applyProtection="1"/>
    <xf numFmtId="39" fontId="64" fillId="0" borderId="0" xfId="0" applyNumberFormat="1" applyFont="1" applyBorder="1" applyProtection="1"/>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49" fontId="64" fillId="0" borderId="0" xfId="0" applyNumberFormat="1" applyFont="1" applyBorder="1" applyProtection="1"/>
    <xf numFmtId="0" fontId="64" fillId="0" borderId="0" xfId="0" applyFont="1" applyBorder="1" applyAlignment="1" applyProtection="1">
      <alignment horizontal="center"/>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0" fontId="64" fillId="0" borderId="2" xfId="0" applyFont="1" applyBorder="1" applyAlignment="1" applyProtection="1">
      <alignment horizontal="center" vertical="center"/>
    </xf>
    <xf numFmtId="0" fontId="64" fillId="0" borderId="14" xfId="0" applyFont="1" applyBorder="1" applyAlignment="1" applyProtection="1">
      <alignment horizontal="left" vertical="center" indent="1"/>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0" fontId="59" fillId="0" borderId="0" xfId="0" applyFont="1" applyFill="1" applyAlignment="1" applyProtection="1">
      <alignment vertical="center"/>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0" fontId="64" fillId="0" borderId="2" xfId="0" applyFont="1" applyFill="1" applyBorder="1" applyAlignment="1" applyProtection="1">
      <alignment horizontal="left" vertical="center" indent="1"/>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0" fontId="56" fillId="0" borderId="0" xfId="0" applyFont="1" applyAlignment="1" applyProtection="1">
      <alignment vertical="center"/>
    </xf>
    <xf numFmtId="0" fontId="67" fillId="0" borderId="0" xfId="0" applyFont="1" applyAlignment="1" applyProtection="1">
      <alignment vertical="center"/>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0" fontId="64" fillId="0" borderId="2" xfId="0" applyFont="1" applyFill="1" applyBorder="1" applyAlignment="1" applyProtection="1">
      <alignment horizontal="center" vertical="top"/>
    </xf>
    <xf numFmtId="0" fontId="57" fillId="0" borderId="0" xfId="0" applyFont="1" applyFill="1" applyBorder="1" applyAlignment="1" applyProtection="1">
      <alignment vertical="center"/>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1" fontId="64" fillId="0" borderId="4" xfId="0" applyNumberFormat="1" applyFont="1" applyBorder="1" applyAlignment="1" applyProtection="1">
      <alignment horizontal="center" vertical="center"/>
    </xf>
    <xf numFmtId="1" fontId="64" fillId="0" borderId="125" xfId="0" applyNumberFormat="1" applyFont="1" applyBorder="1" applyAlignment="1" applyProtection="1">
      <alignment horizontal="center" vertical="center"/>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0" fontId="64" fillId="0" borderId="2" xfId="0" applyFont="1" applyBorder="1" applyAlignment="1" applyProtection="1">
      <alignment horizontal="center" vertical="top" wrapText="1"/>
    </xf>
    <xf numFmtId="0" fontId="64" fillId="0" borderId="26" xfId="0" applyFont="1" applyBorder="1" applyAlignment="1" applyProtection="1">
      <alignment horizontal="center" vertical="center"/>
    </xf>
    <xf numFmtId="0" fontId="64" fillId="0" borderId="128"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0" fontId="64" fillId="0" borderId="0" xfId="0" applyFont="1" applyBorder="1" applyAlignment="1"/>
    <xf numFmtId="49" fontId="64" fillId="0" borderId="2" xfId="0" applyNumberFormat="1" applyFont="1" applyBorder="1" applyAlignment="1">
      <alignment horizontal="center" vertical="center"/>
    </xf>
    <xf numFmtId="49" fontId="66" fillId="2" borderId="27" xfId="0" applyNumberFormat="1" applyFont="1" applyFill="1" applyBorder="1" applyAlignment="1">
      <alignment horizontal="center" vertical="center"/>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164" fontId="66" fillId="3" borderId="123"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0" fontId="64" fillId="0" borderId="4" xfId="0" applyFont="1" applyFill="1" applyBorder="1" applyAlignment="1">
      <alignment horizontal="center" vertical="center"/>
    </xf>
    <xf numFmtId="0" fontId="64" fillId="0" borderId="2" xfId="0" applyFont="1" applyFill="1" applyBorder="1" applyAlignment="1">
      <alignment horizontal="center" vertical="center"/>
    </xf>
    <xf numFmtId="0" fontId="64" fillId="0" borderId="125" xfId="0" applyFont="1" applyFill="1" applyBorder="1" applyAlignment="1">
      <alignment horizontal="center" vertical="center"/>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3"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4" xfId="0" applyNumberFormat="1" applyFont="1" applyFill="1" applyBorder="1" applyAlignment="1">
      <alignment horizontal="center" vertical="center"/>
    </xf>
    <xf numFmtId="49" fontId="64" fillId="0" borderId="125"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3"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0" fontId="59" fillId="0" borderId="0" xfId="9" applyFont="1" applyFill="1" applyAlignment="1"/>
    <xf numFmtId="0" fontId="64" fillId="0" borderId="0" xfId="9" applyFont="1" applyFill="1" applyAlignment="1"/>
    <xf numFmtId="0" fontId="83" fillId="0" borderId="0" xfId="9" applyFont="1" applyFill="1" applyAlignment="1">
      <alignment vertical="top"/>
    </xf>
    <xf numFmtId="0" fontId="64" fillId="0" borderId="0" xfId="9" applyFont="1" applyFill="1" applyBorder="1" applyAlignment="1"/>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49" fontId="64" fillId="0" borderId="6" xfId="0" applyNumberFormat="1" applyFont="1" applyBorder="1" applyAlignment="1" applyProtection="1">
      <alignment horizontal="center" vertical="center"/>
    </xf>
    <xf numFmtId="49" fontId="64" fillId="6" borderId="59" xfId="0" applyNumberFormat="1" applyFont="1" applyFill="1" applyBorder="1" applyAlignment="1" applyProtection="1">
      <alignment horizontal="center"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8"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0" fontId="64" fillId="0" borderId="46" xfId="0" applyFont="1" applyBorder="1" applyAlignment="1" applyProtection="1">
      <alignment horizontal="left" vertical="center" wrapText="1" indent="1"/>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59" fillId="0" borderId="0" xfId="3" applyNumberFormat="1" applyFont="1" applyBorder="1" applyAlignment="1">
      <alignment vertical="center"/>
    </xf>
    <xf numFmtId="0" fontId="59" fillId="0" borderId="17"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4" xfId="3" applyNumberFormat="1" applyFont="1" applyBorder="1" applyAlignment="1">
      <alignment horizontal="left" vertical="center"/>
    </xf>
    <xf numFmtId="171" fontId="59" fillId="0" borderId="0" xfId="3" applyNumberFormat="1" applyFont="1" applyBorder="1" applyAlignment="1" applyProtection="1">
      <alignment horizontal="center"/>
    </xf>
    <xf numFmtId="0" fontId="59" fillId="0" borderId="131" xfId="3" applyNumberFormat="1" applyFont="1" applyBorder="1" applyAlignment="1">
      <alignment vertical="center"/>
    </xf>
    <xf numFmtId="0" fontId="59" fillId="0" borderId="0" xfId="3" applyNumberFormat="1" applyFont="1" applyBorder="1" applyAlignment="1">
      <alignment wrapText="1"/>
    </xf>
    <xf numFmtId="0" fontId="67" fillId="0" borderId="22" xfId="3" applyNumberFormat="1" applyFont="1" applyBorder="1" applyAlignment="1" applyProtection="1">
      <alignment horizontal="center" vertical="center"/>
      <protection locked="0"/>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0" xfId="0" applyFont="1" applyBorder="1"/>
    <xf numFmtId="0" fontId="57" fillId="0" borderId="13" xfId="0" applyFont="1" applyBorder="1"/>
    <xf numFmtId="0" fontId="57" fillId="0" borderId="123" xfId="0" applyFont="1" applyBorder="1" applyAlignment="1">
      <alignment horizontal="left" vertical="top"/>
    </xf>
    <xf numFmtId="164" fontId="115" fillId="0" borderId="126" xfId="0" applyNumberFormat="1" applyFont="1" applyBorder="1" applyAlignment="1">
      <alignment horizontal="right" vertical="top"/>
    </xf>
    <xf numFmtId="0" fontId="57" fillId="0" borderId="126" xfId="0" applyNumberFormat="1" applyFont="1" applyBorder="1" applyAlignment="1">
      <alignment horizontal="left" vertical="center" wrapText="1" indent="1"/>
    </xf>
    <xf numFmtId="0" fontId="87" fillId="0" borderId="125" xfId="0" applyFont="1" applyBorder="1" applyAlignment="1">
      <alignment horizontal="left" vertical="center" wrapText="1"/>
    </xf>
    <xf numFmtId="0" fontId="57" fillId="0" borderId="126" xfId="0" applyFont="1" applyBorder="1" applyAlignment="1">
      <alignment horizontal="left" vertical="top"/>
    </xf>
    <xf numFmtId="0" fontId="57" fillId="0" borderId="0" xfId="0" applyFont="1" applyBorder="1" applyAlignment="1">
      <alignment vertical="top"/>
    </xf>
    <xf numFmtId="0" fontId="117" fillId="0" borderId="126" xfId="0" applyNumberFormat="1" applyFont="1" applyBorder="1" applyAlignment="1">
      <alignment horizontal="left" vertical="center"/>
    </xf>
    <xf numFmtId="0" fontId="115" fillId="0" borderId="126" xfId="0" applyFont="1" applyBorder="1" applyAlignment="1">
      <alignment vertical="top"/>
    </xf>
    <xf numFmtId="0" fontId="115" fillId="0" borderId="126" xfId="0" applyFont="1" applyBorder="1" applyAlignment="1">
      <alignment horizontal="left" vertical="top"/>
    </xf>
    <xf numFmtId="0" fontId="57" fillId="0" borderId="123" xfId="0" applyFont="1" applyBorder="1" applyAlignment="1"/>
    <xf numFmtId="164" fontId="115" fillId="0" borderId="126" xfId="0" applyNumberFormat="1" applyFont="1" applyBorder="1" applyAlignment="1"/>
    <xf numFmtId="0" fontId="57" fillId="0" borderId="126" xfId="0" applyFont="1" applyBorder="1" applyAlignment="1"/>
    <xf numFmtId="0" fontId="64" fillId="0" borderId="124"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2"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3" xfId="0" applyFont="1" applyFill="1" applyBorder="1" applyAlignment="1"/>
    <xf numFmtId="0" fontId="56" fillId="0" borderId="126" xfId="0" applyFont="1" applyFill="1" applyBorder="1" applyAlignment="1">
      <alignment horizontal="left" vertical="top"/>
    </xf>
    <xf numFmtId="0" fontId="56" fillId="0" borderId="124"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4"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1" xfId="3" quotePrefix="1" applyNumberFormat="1" applyFont="1" applyBorder="1" applyAlignment="1" applyProtection="1">
      <alignment horizontal="left"/>
    </xf>
    <xf numFmtId="0" fontId="64" fillId="0" borderId="142" xfId="3" applyNumberFormat="1" applyFont="1" applyBorder="1" applyAlignment="1" applyProtection="1">
      <alignment horizontal="center"/>
    </xf>
    <xf numFmtId="0" fontId="64" fillId="0" borderId="142" xfId="3" applyNumberFormat="1" applyFont="1" applyBorder="1" applyProtection="1"/>
    <xf numFmtId="0" fontId="57" fillId="0" borderId="141" xfId="3" applyNumberFormat="1" applyFont="1" applyBorder="1" applyAlignment="1" applyProtection="1"/>
    <xf numFmtId="0" fontId="64" fillId="0" borderId="143" xfId="3" applyNumberFormat="1" applyFont="1" applyBorder="1" applyAlignment="1" applyProtection="1">
      <alignment horizontal="centerContinuous"/>
    </xf>
    <xf numFmtId="0" fontId="57" fillId="0" borderId="141" xfId="3" applyNumberFormat="1" applyFont="1" applyBorder="1" applyAlignment="1" applyProtection="1">
      <alignment horizontal="left"/>
    </xf>
    <xf numFmtId="0" fontId="64" fillId="0" borderId="143" xfId="3" applyNumberFormat="1" applyFont="1" applyBorder="1" applyProtection="1"/>
    <xf numFmtId="0" fontId="64" fillId="0" borderId="142"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1"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5"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2"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6"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4" xfId="3" applyFont="1" applyBorder="1" applyProtection="1"/>
    <xf numFmtId="0" fontId="57" fillId="0" borderId="145" xfId="3" applyFont="1" applyBorder="1" applyProtection="1">
      <protection locked="0"/>
    </xf>
    <xf numFmtId="0" fontId="57" fillId="0" borderId="144"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3" xfId="3" applyNumberFormat="1" applyFont="1" applyBorder="1" applyAlignment="1" applyProtection="1">
      <alignment horizontal="center"/>
    </xf>
    <xf numFmtId="0" fontId="66" fillId="0" borderId="142" xfId="3" applyFont="1" applyBorder="1" applyAlignment="1" applyProtection="1">
      <alignment horizontal="centerContinuous"/>
    </xf>
    <xf numFmtId="0" fontId="66" fillId="0" borderId="143"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3"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20" borderId="72" xfId="3" applyFont="1" applyFill="1" applyBorder="1" applyAlignment="1" applyProtection="1">
      <alignment horizontal="center"/>
    </xf>
    <xf numFmtId="0" fontId="66" fillId="21" borderId="72" xfId="3" applyFont="1" applyFill="1" applyBorder="1" applyAlignment="1" applyProtection="1">
      <alignment horizontal="center"/>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20" borderId="70" xfId="3" applyFont="1" applyFill="1" applyBorder="1" applyAlignment="1" applyProtection="1">
      <alignment horizontal="center"/>
    </xf>
    <xf numFmtId="0" fontId="66" fillId="5" borderId="70" xfId="3" applyFont="1" applyFill="1" applyBorder="1" applyAlignment="1" applyProtection="1">
      <alignment horizontal="center"/>
    </xf>
    <xf numFmtId="0" fontId="66" fillId="21"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0" fontId="56" fillId="20" borderId="0" xfId="3" applyFont="1" applyFill="1" applyProtection="1"/>
    <xf numFmtId="169" fontId="59" fillId="20" borderId="0" xfId="3" applyNumberFormat="1" applyFont="1" applyFill="1" applyProtection="1"/>
    <xf numFmtId="1" fontId="59" fillId="20" borderId="0" xfId="3" applyNumberFormat="1" applyFont="1" applyFill="1" applyProtection="1"/>
    <xf numFmtId="0" fontId="59" fillId="20" borderId="0" xfId="3" applyFont="1" applyFill="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2" xfId="3" applyFont="1" applyBorder="1" applyProtection="1"/>
    <xf numFmtId="0" fontId="59" fillId="0" borderId="142" xfId="3" applyFont="1" applyBorder="1" applyProtection="1"/>
    <xf numFmtId="0" fontId="59" fillId="0" borderId="142"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2" xfId="3" quotePrefix="1" applyFont="1" applyBorder="1" applyAlignment="1" applyProtection="1">
      <alignment horizontal="left"/>
    </xf>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2" xfId="3" applyFont="1" applyBorder="1" applyProtection="1"/>
    <xf numFmtId="0" fontId="59" fillId="0" borderId="0" xfId="3" applyFont="1" applyBorder="1" applyAlignment="1" applyProtection="1">
      <alignment horizontal="left"/>
    </xf>
    <xf numFmtId="0" fontId="66" fillId="0" borderId="142"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2"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7"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9" xfId="3" applyFont="1" applyBorder="1" applyAlignment="1" applyProtection="1">
      <alignment horizontal="left"/>
    </xf>
    <xf numFmtId="0" fontId="59" fillId="0" borderId="149" xfId="3" applyFont="1" applyBorder="1" applyProtection="1"/>
    <xf numFmtId="0" fontId="59" fillId="0" borderId="149"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6"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7"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5" xfId="0" applyNumberFormat="1" applyFont="1" applyBorder="1" applyAlignment="1">
      <alignment horizontal="left" vertical="center" wrapText="1" indent="1"/>
    </xf>
    <xf numFmtId="3" fontId="64" fillId="0" borderId="123"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6" fillId="6" borderId="153" xfId="0" applyNumberFormat="1" applyFont="1" applyFill="1" applyBorder="1" applyAlignment="1">
      <alignment horizontal="center" vertical="center" wrapText="1"/>
    </xf>
    <xf numFmtId="38" fontId="56" fillId="6" borderId="153" xfId="0" applyNumberFormat="1" applyFont="1" applyFill="1" applyBorder="1" applyAlignment="1">
      <alignment horizontal="center" vertical="top" wrapText="1"/>
    </xf>
    <xf numFmtId="38" fontId="66" fillId="6" borderId="153"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3" fontId="57" fillId="22" borderId="129" xfId="0" applyNumberFormat="1" applyFont="1" applyFill="1" applyBorder="1" applyAlignment="1">
      <alignment horizontal="center"/>
    </xf>
    <xf numFmtId="3" fontId="57" fillId="22" borderId="129" xfId="0" applyNumberFormat="1" applyFont="1" applyFill="1" applyBorder="1" applyAlignment="1">
      <alignment horizontal="right"/>
    </xf>
    <xf numFmtId="3" fontId="57" fillId="22" borderId="130" xfId="0" applyNumberFormat="1" applyFont="1" applyFill="1" applyBorder="1" applyAlignment="1">
      <alignment horizontal="center"/>
    </xf>
    <xf numFmtId="3" fontId="67" fillId="22" borderId="123"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5"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3" xfId="0" applyNumberFormat="1" applyFont="1" applyFill="1" applyBorder="1" applyAlignment="1">
      <alignment horizontal="left" vertical="center" wrapText="1"/>
    </xf>
    <xf numFmtId="49" fontId="66" fillId="17" borderId="125"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3"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5" xfId="0" applyFont="1" applyFill="1" applyBorder="1" applyAlignment="1">
      <alignment horizontal="left" vertical="center" wrapText="1"/>
    </xf>
    <xf numFmtId="3" fontId="66" fillId="17" borderId="125" xfId="0" applyNumberFormat="1" applyFont="1" applyFill="1" applyBorder="1" applyAlignment="1">
      <alignment horizontal="left" vertical="center" wrapText="1"/>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7" xfId="0" applyFont="1" applyBorder="1" applyAlignment="1">
      <alignment horizontal="centerContinuous" vertical="center"/>
    </xf>
    <xf numFmtId="0" fontId="57" fillId="0" borderId="158" xfId="0" applyFont="1" applyBorder="1" applyAlignment="1">
      <alignment horizontal="centerContinuous" vertical="center"/>
    </xf>
    <xf numFmtId="0" fontId="59" fillId="0" borderId="158"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66" fillId="0" borderId="5" xfId="3" applyFont="1" applyFill="1" applyBorder="1" applyAlignment="1" applyProtection="1"/>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49" fontId="66" fillId="16" borderId="36" xfId="0" applyNumberFormat="1" applyFont="1" applyFill="1" applyBorder="1" applyAlignment="1">
      <alignment horizontal="center" vertical="center"/>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0" fontId="66" fillId="16" borderId="27" xfId="0" applyFont="1" applyFill="1" applyBorder="1" applyAlignment="1">
      <alignment horizontal="center" vertical="center"/>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0" fontId="66" fillId="16" borderId="30" xfId="0" applyFont="1" applyFill="1" applyBorder="1" applyAlignment="1" applyProtection="1">
      <alignment horizontal="center" vertical="center"/>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0" fontId="66" fillId="16" borderId="27" xfId="0" applyFont="1" applyFill="1" applyBorder="1" applyAlignment="1">
      <alignment horizontal="left" vertical="center" wrapText="1" indent="1"/>
    </xf>
    <xf numFmtId="49" fontId="64" fillId="16" borderId="41" xfId="0" applyNumberFormat="1" applyFont="1" applyFill="1" applyBorder="1" applyAlignment="1" applyProtection="1">
      <alignment horizontal="center"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0" fontId="64" fillId="16" borderId="0" xfId="10" quotePrefix="1" applyFont="1" applyFill="1" applyAlignment="1">
      <alignment horizontal="left" vertical="center"/>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0" fontId="64" fillId="16" borderId="0" xfId="11" applyFont="1" applyFill="1" applyAlignment="1">
      <alignment vertical="center"/>
    </xf>
    <xf numFmtId="0" fontId="64" fillId="16" borderId="0" xfId="0" applyFont="1" applyFill="1" applyBorder="1" applyAlignment="1">
      <alignment horizontal="right"/>
    </xf>
    <xf numFmtId="0" fontId="57" fillId="16" borderId="13" xfId="0" applyFont="1" applyFill="1" applyBorder="1" applyAlignment="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 fontId="64" fillId="0" borderId="12" xfId="0" applyNumberFormat="1" applyFont="1" applyBorder="1" applyAlignment="1">
      <alignment horizontal="left" vertical="top" wrapText="1" indent="1"/>
    </xf>
    <xf numFmtId="49" fontId="35" fillId="0" borderId="0" xfId="2" applyNumberFormat="1" applyBorder="1" applyAlignment="1" applyProtection="1">
      <alignment horizontal="center"/>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9" xfId="3" applyFont="1" applyBorder="1" applyProtection="1"/>
    <xf numFmtId="49" fontId="64" fillId="0" borderId="14" xfId="0" applyNumberFormat="1" applyFont="1" applyFill="1" applyBorder="1" applyAlignment="1" applyProtection="1">
      <alignment horizontal="center" vertical="center"/>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5"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8" fillId="0" borderId="0" xfId="18" applyFont="1" applyAlignment="1">
      <alignment wrapText="1"/>
    </xf>
    <xf numFmtId="0" fontId="132" fillId="0" borderId="160"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2"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7" xfId="18" applyFont="1" applyBorder="1" applyAlignment="1">
      <alignment horizontal="left" vertical="center" wrapText="1"/>
    </xf>
    <xf numFmtId="0" fontId="106" fillId="0" borderId="158"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0"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8" fillId="0" borderId="0" xfId="18" applyFont="1"/>
    <xf numFmtId="0" fontId="50" fillId="0" borderId="138" xfId="18" applyFont="1" applyBorder="1" applyAlignment="1">
      <alignment vertical="top"/>
    </xf>
    <xf numFmtId="0" fontId="50" fillId="0" borderId="139" xfId="18" applyFont="1" applyBorder="1" applyAlignment="1">
      <alignment vertical="top"/>
    </xf>
    <xf numFmtId="0" fontId="51" fillId="15" borderId="76" xfId="18" applyFont="1" applyFill="1" applyBorder="1" applyAlignment="1">
      <alignment vertical="top"/>
    </xf>
    <xf numFmtId="0" fontId="50" fillId="0" borderId="138" xfId="18" applyFont="1" applyBorder="1" applyAlignment="1">
      <alignment vertical="top" wrapText="1"/>
    </xf>
    <xf numFmtId="0" fontId="50" fillId="0" borderId="139"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4"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0" fontId="102" fillId="22" borderId="0" xfId="18" applyFont="1" applyFill="1" applyAlignment="1">
      <alignment horizontal="centerContinuous" vertical="center"/>
    </xf>
    <xf numFmtId="0" fontId="106" fillId="22" borderId="136" xfId="18" applyFont="1" applyFill="1" applyBorder="1" applyAlignment="1">
      <alignment horizontal="center" vertical="center" wrapText="1"/>
    </xf>
    <xf numFmtId="0" fontId="106" fillId="22" borderId="161" xfId="18" applyFont="1" applyFill="1" applyBorder="1" applyAlignment="1">
      <alignment horizontal="center" vertical="center" wrapText="1"/>
    </xf>
    <xf numFmtId="0" fontId="106" fillId="17" borderId="137"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7" xfId="18" applyFont="1" applyFill="1" applyBorder="1" applyAlignment="1" applyProtection="1">
      <alignment horizontal="right"/>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0" fontId="59" fillId="0" borderId="77" xfId="3" applyNumberFormat="1" applyFont="1" applyBorder="1" applyAlignment="1" applyProtection="1">
      <alignment horizontal="center"/>
      <protection locked="0"/>
    </xf>
    <xf numFmtId="0" fontId="139" fillId="20" borderId="0" xfId="0" applyFont="1" applyFill="1" applyAlignment="1">
      <alignment horizontal="center"/>
    </xf>
    <xf numFmtId="0" fontId="140" fillId="0" borderId="0" xfId="0" applyFont="1" applyAlignment="1">
      <alignment horizontal="center"/>
    </xf>
    <xf numFmtId="41" fontId="51" fillId="11" borderId="103" xfId="0" applyNumberFormat="1" applyFont="1" applyFill="1" applyBorder="1" applyAlignment="1" applyProtection="1">
      <alignment horizontal="right" shrinkToFit="1"/>
      <protection locked="0"/>
    </xf>
    <xf numFmtId="41" fontId="51" fillId="10" borderId="104" xfId="0" applyNumberFormat="1" applyFont="1" applyFill="1" applyBorder="1" applyAlignment="1">
      <alignment horizontal="right" shrinkToFit="1"/>
    </xf>
    <xf numFmtId="38" fontId="59" fillId="16" borderId="2" xfId="0" applyNumberFormat="1" applyFont="1" applyFill="1" applyBorder="1" applyAlignment="1" applyProtection="1">
      <alignment horizontal="right" vertical="center" shrinkToFit="1"/>
    </xf>
    <xf numFmtId="0" fontId="57" fillId="0" borderId="0" xfId="0" applyFont="1" applyBorder="1" applyAlignment="1" applyProtection="1">
      <alignment horizontal="center" vertical="center" shrinkToFit="1"/>
    </xf>
    <xf numFmtId="0" fontId="57" fillId="0" borderId="0" xfId="0" applyFont="1" applyBorder="1" applyAlignment="1" applyProtection="1">
      <alignment vertical="center" shrinkToFit="1"/>
    </xf>
    <xf numFmtId="38" fontId="59" fillId="16" borderId="2" xfId="0" applyNumberFormat="1" applyFont="1" applyFill="1" applyBorder="1" applyAlignment="1" applyProtection="1">
      <alignment vertical="center" shrinkToFit="1"/>
    </xf>
    <xf numFmtId="41" fontId="59" fillId="0" borderId="2" xfId="0" applyNumberFormat="1" applyFont="1" applyBorder="1" applyAlignment="1" applyProtection="1">
      <alignment vertical="center" shrinkToFit="1"/>
      <protection locked="0"/>
    </xf>
    <xf numFmtId="40" fontId="64" fillId="0" borderId="0" xfId="0" applyNumberFormat="1" applyFont="1" applyBorder="1" applyAlignment="1" applyProtection="1">
      <alignment horizontal="right" shrinkToFit="1"/>
    </xf>
    <xf numFmtId="0" fontId="57" fillId="0" borderId="0" xfId="0" applyFont="1" applyBorder="1" applyAlignment="1" applyProtection="1">
      <alignment horizontal="right" shrinkToFit="1"/>
    </xf>
    <xf numFmtId="0" fontId="56" fillId="0" borderId="0" xfId="0" applyFont="1" applyBorder="1" applyAlignment="1" applyProtection="1">
      <alignment horizontal="center" shrinkToFit="1"/>
    </xf>
    <xf numFmtId="37" fontId="64" fillId="0" borderId="0" xfId="0" applyNumberFormat="1" applyFont="1" applyBorder="1" applyAlignment="1" applyProtection="1">
      <alignment horizontal="right" shrinkToFit="1"/>
    </xf>
    <xf numFmtId="40" fontId="64" fillId="0" borderId="0" xfId="0" applyNumberFormat="1" applyFont="1" applyFill="1" applyBorder="1" applyAlignment="1" applyProtection="1">
      <alignment horizontal="right" shrinkToFit="1"/>
    </xf>
    <xf numFmtId="40" fontId="64" fillId="0" borderId="0" xfId="0" applyNumberFormat="1" applyFont="1" applyBorder="1" applyAlignment="1" applyProtection="1">
      <alignment horizontal="right" vertical="center" shrinkToFit="1"/>
    </xf>
    <xf numFmtId="40" fontId="64" fillId="0" borderId="0" xfId="0" applyNumberFormat="1" applyFont="1" applyFill="1" applyBorder="1" applyAlignment="1" applyProtection="1">
      <alignment horizontal="right" vertical="center" shrinkToFit="1"/>
    </xf>
    <xf numFmtId="0" fontId="64" fillId="0" borderId="0" xfId="0" applyFont="1" applyBorder="1" applyAlignment="1" applyProtection="1">
      <alignment horizontal="right" shrinkToFit="1"/>
    </xf>
    <xf numFmtId="175" fontId="64" fillId="0" borderId="0" xfId="0" applyNumberFormat="1" applyFont="1" applyFill="1" applyBorder="1" applyAlignment="1" applyProtection="1">
      <alignment horizontal="right" shrinkToFit="1"/>
    </xf>
    <xf numFmtId="0" fontId="56" fillId="0" borderId="0" xfId="0" applyFont="1" applyBorder="1" applyAlignment="1" applyProtection="1">
      <alignment horizontal="right" shrinkToFit="1"/>
    </xf>
    <xf numFmtId="0" fontId="59" fillId="0" borderId="0" xfId="5" applyNumberFormat="1" applyFont="1" applyBorder="1" applyAlignment="1" applyProtection="1">
      <alignment horizontal="right" shrinkToFit="1"/>
    </xf>
    <xf numFmtId="0" fontId="64"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shrinkToFit="1"/>
    </xf>
    <xf numFmtId="0" fontId="57" fillId="0" borderId="0" xfId="0" applyFont="1" applyBorder="1" applyAlignment="1" applyProtection="1">
      <alignment shrinkToFit="1"/>
    </xf>
    <xf numFmtId="0" fontId="64" fillId="0" borderId="0" xfId="5" quotePrefix="1" applyNumberFormat="1" applyFont="1" applyBorder="1" applyAlignment="1" applyProtection="1">
      <alignment horizontal="right" shrinkToFit="1"/>
    </xf>
    <xf numFmtId="1" fontId="59"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vertical="center" shrinkToFit="1"/>
    </xf>
    <xf numFmtId="172" fontId="64" fillId="0" borderId="0" xfId="0" applyNumberFormat="1" applyFont="1" applyBorder="1" applyAlignment="1" applyProtection="1">
      <alignment horizontal="right" shrinkToFit="1"/>
    </xf>
    <xf numFmtId="2" fontId="67" fillId="0" borderId="0" xfId="0" applyNumberFormat="1" applyFont="1" applyFill="1" applyBorder="1" applyAlignment="1" applyProtection="1">
      <alignment horizontal="right" shrinkToFit="1"/>
    </xf>
    <xf numFmtId="0" fontId="57" fillId="0" borderId="0" xfId="0" applyFont="1" applyFill="1" applyBorder="1" applyAlignment="1" applyProtection="1">
      <alignment shrinkToFit="1"/>
    </xf>
    <xf numFmtId="0" fontId="68" fillId="0" borderId="0" xfId="5" applyNumberFormat="1" applyFont="1" applyFill="1" applyBorder="1" applyAlignment="1" applyProtection="1">
      <alignment horizontal="right" shrinkToFit="1"/>
    </xf>
    <xf numFmtId="38" fontId="57" fillId="0" borderId="14" xfId="0" applyNumberFormat="1" applyFont="1" applyBorder="1" applyAlignment="1" applyProtection="1">
      <alignment horizontal="right" shrinkToFit="1"/>
      <protection locked="0"/>
    </xf>
    <xf numFmtId="38" fontId="57" fillId="0" borderId="2" xfId="0" applyNumberFormat="1" applyFont="1" applyBorder="1" applyAlignment="1" applyProtection="1">
      <alignment horizontal="right" shrinkToFit="1"/>
      <protection locked="0"/>
    </xf>
    <xf numFmtId="38" fontId="57" fillId="0" borderId="2" xfId="0" applyNumberFormat="1" applyFont="1" applyFill="1" applyBorder="1" applyAlignment="1" applyProtection="1">
      <alignment horizontal="right" shrinkToFit="1"/>
      <protection locked="0"/>
    </xf>
    <xf numFmtId="38" fontId="57" fillId="3" borderId="26" xfId="0" applyNumberFormat="1" applyFont="1" applyFill="1" applyBorder="1" applyAlignment="1" applyProtection="1">
      <alignment horizontal="right" shrinkToFit="1"/>
    </xf>
    <xf numFmtId="38" fontId="57" fillId="3" borderId="18" xfId="0" applyNumberFormat="1" applyFont="1" applyFill="1" applyBorder="1" applyAlignment="1" applyProtection="1">
      <alignment horizontal="right" shrinkToFit="1"/>
    </xf>
    <xf numFmtId="38" fontId="57" fillId="0" borderId="3" xfId="0" applyNumberFormat="1" applyFont="1" applyBorder="1" applyAlignment="1" applyProtection="1">
      <alignment horizontal="right" shrinkToFit="1"/>
      <protection locked="0"/>
    </xf>
    <xf numFmtId="38" fontId="57" fillId="0" borderId="0" xfId="0" applyNumberFormat="1" applyFont="1" applyBorder="1" applyAlignment="1" applyProtection="1">
      <alignment horizontal="right" shrinkToFit="1"/>
      <protection locked="0"/>
    </xf>
    <xf numFmtId="38" fontId="57" fillId="0" borderId="3" xfId="0" applyNumberFormat="1" applyFont="1" applyFill="1" applyBorder="1" applyAlignment="1" applyProtection="1">
      <alignment horizontal="right" shrinkToFit="1"/>
      <protection locked="0"/>
    </xf>
    <xf numFmtId="38" fontId="57" fillId="6" borderId="3" xfId="0" applyNumberFormat="1" applyFont="1" applyFill="1" applyBorder="1" applyAlignment="1" applyProtection="1">
      <alignment horizontal="right" shrinkToFit="1"/>
    </xf>
    <xf numFmtId="38" fontId="57" fillId="0" borderId="14" xfId="0" applyNumberFormat="1" applyFont="1" applyFill="1" applyBorder="1" applyAlignment="1" applyProtection="1">
      <alignment horizontal="right" shrinkToFit="1"/>
      <protection locked="0"/>
    </xf>
    <xf numFmtId="38" fontId="57" fillId="6" borderId="26" xfId="0" applyNumberFormat="1" applyFont="1" applyFill="1" applyBorder="1" applyAlignment="1" applyProtection="1">
      <alignment horizontal="right" shrinkToFit="1"/>
    </xf>
    <xf numFmtId="38" fontId="57" fillId="0" borderId="4" xfId="0" applyNumberFormat="1" applyFont="1" applyFill="1" applyBorder="1" applyAlignment="1" applyProtection="1">
      <alignment horizontal="right" shrinkToFit="1"/>
      <protection locked="0"/>
    </xf>
    <xf numFmtId="38" fontId="57" fillId="0" borderId="26" xfId="0" applyNumberFormat="1" applyFont="1" applyFill="1" applyBorder="1" applyAlignment="1" applyProtection="1">
      <alignment horizontal="right" shrinkToFit="1"/>
      <protection locked="0"/>
    </xf>
    <xf numFmtId="38" fontId="57" fillId="6" borderId="4" xfId="0" applyNumberFormat="1" applyFont="1" applyFill="1" applyBorder="1" applyAlignment="1" applyProtection="1">
      <alignment horizontal="right" shrinkToFit="1"/>
    </xf>
    <xf numFmtId="38" fontId="57" fillId="0" borderId="4" xfId="0" applyNumberFormat="1" applyFont="1" applyBorder="1" applyAlignment="1" applyProtection="1">
      <alignment horizontal="right" shrinkToFit="1"/>
      <protection locked="0"/>
    </xf>
    <xf numFmtId="38" fontId="57" fillId="16" borderId="30" xfId="0" applyNumberFormat="1" applyFont="1" applyFill="1" applyBorder="1" applyAlignment="1" applyProtection="1">
      <alignment horizontal="right" shrinkToFit="1"/>
    </xf>
    <xf numFmtId="38" fontId="57" fillId="22" borderId="19" xfId="0" applyNumberFormat="1" applyFont="1" applyFill="1" applyBorder="1" applyAlignment="1" applyProtection="1">
      <alignment horizontal="right" shrinkToFit="1"/>
    </xf>
    <xf numFmtId="38" fontId="57" fillId="22" borderId="20" xfId="0" applyNumberFormat="1" applyFont="1" applyFill="1" applyBorder="1" applyAlignment="1" applyProtection="1">
      <alignment horizontal="right" shrinkToFit="1"/>
    </xf>
    <xf numFmtId="38" fontId="57" fillId="22" borderId="21" xfId="0" applyNumberFormat="1" applyFont="1" applyFill="1" applyBorder="1" applyAlignment="1" applyProtection="1">
      <alignment horizontal="right" shrinkToFit="1"/>
    </xf>
    <xf numFmtId="38" fontId="57" fillId="22" borderId="14" xfId="0" applyNumberFormat="1" applyFont="1" applyFill="1" applyBorder="1" applyAlignment="1" applyProtection="1">
      <alignment horizontal="right" shrinkToFit="1"/>
    </xf>
    <xf numFmtId="38" fontId="57" fillId="6" borderId="18" xfId="0" applyNumberFormat="1" applyFont="1" applyFill="1" applyBorder="1" applyAlignment="1" applyProtection="1">
      <alignment horizontal="right" shrinkToFit="1"/>
    </xf>
    <xf numFmtId="38" fontId="57" fillId="6" borderId="0" xfId="0" applyNumberFormat="1" applyFont="1" applyFill="1" applyBorder="1" applyAlignment="1" applyProtection="1">
      <alignment horizontal="right" shrinkToFit="1"/>
    </xf>
    <xf numFmtId="38" fontId="57" fillId="16" borderId="27" xfId="0" applyNumberFormat="1" applyFont="1" applyFill="1" applyBorder="1" applyAlignment="1" applyProtection="1">
      <alignment horizontal="right" shrinkToFit="1"/>
    </xf>
    <xf numFmtId="38" fontId="57" fillId="22" borderId="13" xfId="0" applyNumberFormat="1" applyFont="1" applyFill="1" applyBorder="1" applyAlignment="1" applyProtection="1">
      <alignment horizontal="right" shrinkToFit="1"/>
    </xf>
    <xf numFmtId="38" fontId="57" fillId="22" borderId="11" xfId="0" applyNumberFormat="1" applyFont="1" applyFill="1" applyBorder="1" applyAlignment="1" applyProtection="1">
      <alignment horizontal="right" shrinkToFit="1"/>
    </xf>
    <xf numFmtId="38" fontId="57" fillId="0" borderId="12" xfId="0" applyNumberFormat="1" applyFont="1" applyFill="1" applyBorder="1" applyAlignment="1" applyProtection="1">
      <alignment horizontal="right" shrinkToFit="1"/>
      <protection locked="0"/>
    </xf>
    <xf numFmtId="38" fontId="57" fillId="0" borderId="13" xfId="0" applyNumberFormat="1" applyFont="1" applyFill="1" applyBorder="1" applyAlignment="1" applyProtection="1">
      <alignment horizontal="right" shrinkToFit="1"/>
      <protection locked="0"/>
    </xf>
    <xf numFmtId="38" fontId="57" fillId="0" borderId="26" xfId="0" applyNumberFormat="1" applyFont="1" applyBorder="1" applyAlignment="1" applyProtection="1">
      <alignment horizontal="right" shrinkToFit="1"/>
      <protection locked="0"/>
    </xf>
    <xf numFmtId="38" fontId="57" fillId="16" borderId="26" xfId="0" applyNumberFormat="1" applyFont="1" applyFill="1" applyBorder="1" applyAlignment="1" applyProtection="1">
      <alignment horizontal="right" shrinkToFit="1"/>
    </xf>
    <xf numFmtId="38" fontId="57" fillId="16" borderId="3" xfId="0" applyNumberFormat="1" applyFont="1" applyFill="1" applyBorder="1" applyAlignment="1" applyProtection="1">
      <alignment horizontal="right" shrinkToFit="1"/>
    </xf>
    <xf numFmtId="38" fontId="57" fillId="22" borderId="49" xfId="0" applyNumberFormat="1" applyFont="1" applyFill="1" applyBorder="1" applyAlignment="1" applyProtection="1">
      <alignment horizontal="right" shrinkToFit="1"/>
    </xf>
    <xf numFmtId="38" fontId="57" fillId="22" borderId="34" xfId="0" applyNumberFormat="1" applyFont="1" applyFill="1" applyBorder="1" applyAlignment="1" applyProtection="1">
      <alignment horizontal="right" shrinkToFit="1"/>
    </xf>
    <xf numFmtId="38" fontId="59" fillId="6" borderId="26" xfId="0" applyNumberFormat="1" applyFont="1" applyFill="1" applyBorder="1" applyAlignment="1">
      <alignment horizontal="right" shrinkToFit="1"/>
    </xf>
    <xf numFmtId="38" fontId="57" fillId="6" borderId="3" xfId="0" applyNumberFormat="1" applyFont="1" applyFill="1" applyBorder="1" applyAlignment="1">
      <alignment horizontal="right" shrinkToFit="1"/>
    </xf>
    <xf numFmtId="38" fontId="57" fillId="16" borderId="4" xfId="0" applyNumberFormat="1" applyFont="1" applyFill="1" applyBorder="1" applyAlignment="1" applyProtection="1">
      <alignment horizontal="right" shrinkToFit="1"/>
    </xf>
    <xf numFmtId="38" fontId="57" fillId="16" borderId="2" xfId="0" applyNumberFormat="1" applyFont="1" applyFill="1" applyBorder="1" applyAlignment="1" applyProtection="1">
      <alignment horizontal="right" shrinkToFit="1"/>
    </xf>
    <xf numFmtId="38" fontId="57" fillId="3" borderId="21" xfId="0" applyNumberFormat="1" applyFont="1" applyFill="1" applyBorder="1" applyAlignment="1" applyProtection="1">
      <alignment horizontal="right" shrinkToFit="1"/>
    </xf>
    <xf numFmtId="38" fontId="57" fillId="3" borderId="0" xfId="0" applyNumberFormat="1" applyFont="1" applyFill="1" applyBorder="1" applyAlignment="1" applyProtection="1">
      <alignment horizontal="right" shrinkToFit="1"/>
    </xf>
    <xf numFmtId="38" fontId="57" fillId="3" borderId="3" xfId="0" applyNumberFormat="1" applyFont="1" applyFill="1" applyBorder="1" applyAlignment="1" applyProtection="1">
      <alignment horizontal="right" shrinkToFit="1"/>
    </xf>
    <xf numFmtId="38" fontId="57" fillId="3" borderId="13" xfId="0" applyNumberFormat="1" applyFont="1" applyFill="1" applyBorder="1" applyAlignment="1" applyProtection="1">
      <alignment horizontal="right" shrinkToFit="1"/>
    </xf>
    <xf numFmtId="38" fontId="57" fillId="3" borderId="2" xfId="0" applyNumberFormat="1" applyFont="1" applyFill="1" applyBorder="1" applyAlignment="1" applyProtection="1">
      <alignment horizontal="right" shrinkToFit="1"/>
    </xf>
    <xf numFmtId="38" fontId="57" fillId="0" borderId="19" xfId="0" applyNumberFormat="1" applyFont="1" applyBorder="1" applyAlignment="1" applyProtection="1">
      <alignment horizontal="right" shrinkToFit="1"/>
      <protection locked="0"/>
    </xf>
    <xf numFmtId="38" fontId="57" fillId="0" borderId="11" xfId="0" applyNumberFormat="1" applyFont="1" applyBorder="1" applyAlignment="1" applyProtection="1">
      <alignment horizontal="right" shrinkToFit="1"/>
      <protection locked="0"/>
    </xf>
    <xf numFmtId="38" fontId="57" fillId="22" borderId="31" xfId="0" applyNumberFormat="1" applyFont="1" applyFill="1" applyBorder="1" applyAlignment="1" applyProtection="1">
      <alignment horizontal="right" shrinkToFit="1"/>
    </xf>
    <xf numFmtId="38" fontId="57" fillId="3" borderId="11" xfId="0" applyNumberFormat="1" applyFont="1" applyFill="1" applyBorder="1" applyAlignment="1" applyProtection="1">
      <alignment horizontal="right" shrinkToFit="1"/>
    </xf>
    <xf numFmtId="38" fontId="57" fillId="3" borderId="4" xfId="0" applyNumberFormat="1" applyFont="1" applyFill="1" applyBorder="1" applyAlignment="1" applyProtection="1">
      <alignment horizontal="right" shrinkToFit="1"/>
    </xf>
    <xf numFmtId="38" fontId="57" fillId="16" borderId="18" xfId="0" applyNumberFormat="1" applyFont="1" applyFill="1" applyBorder="1" applyAlignment="1" applyProtection="1">
      <alignment horizontal="right" shrinkToFit="1"/>
    </xf>
    <xf numFmtId="38" fontId="57" fillId="16" borderId="19" xfId="0" applyNumberFormat="1" applyFont="1" applyFill="1" applyBorder="1" applyAlignment="1" applyProtection="1">
      <alignment horizontal="right" shrinkToFit="1"/>
    </xf>
    <xf numFmtId="38" fontId="57" fillId="3" borderId="14" xfId="0" applyNumberFormat="1" applyFont="1" applyFill="1" applyBorder="1" applyAlignment="1" applyProtection="1">
      <alignment horizontal="right" shrinkToFit="1"/>
    </xf>
    <xf numFmtId="38" fontId="57" fillId="16" borderId="0" xfId="0" applyNumberFormat="1" applyFont="1" applyFill="1" applyAlignment="1" applyProtection="1">
      <alignment horizontal="right" shrinkToFit="1"/>
    </xf>
    <xf numFmtId="38" fontId="57" fillId="16" borderId="28" xfId="0" applyNumberFormat="1" applyFont="1" applyFill="1" applyBorder="1" applyAlignment="1" applyProtection="1">
      <alignment horizontal="right" shrinkToFit="1"/>
    </xf>
    <xf numFmtId="38" fontId="57" fillId="6" borderId="2" xfId="0" applyNumberFormat="1" applyFont="1" applyFill="1" applyBorder="1" applyAlignment="1" applyProtection="1">
      <alignment horizontal="right" shrinkToFit="1"/>
    </xf>
    <xf numFmtId="38" fontId="57" fillId="16" borderId="32" xfId="0" applyNumberFormat="1" applyFont="1" applyFill="1" applyBorder="1" applyAlignment="1" applyProtection="1">
      <alignment horizontal="right" shrinkToFit="1"/>
    </xf>
    <xf numFmtId="38" fontId="57" fillId="6" borderId="28"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shrinkToFit="1"/>
      <protection locked="0"/>
    </xf>
    <xf numFmtId="38" fontId="57" fillId="0" borderId="33" xfId="0" applyNumberFormat="1" applyFont="1" applyFill="1" applyBorder="1" applyAlignment="1" applyProtection="1">
      <alignment horizontal="right" shrinkToFit="1"/>
      <protection locked="0"/>
    </xf>
    <xf numFmtId="38" fontId="57" fillId="0" borderId="32" xfId="0" applyNumberFormat="1" applyFont="1" applyFill="1" applyBorder="1" applyAlignment="1" applyProtection="1">
      <alignment horizontal="right" shrinkToFit="1"/>
      <protection locked="0"/>
    </xf>
    <xf numFmtId="38" fontId="57" fillId="16" borderId="33" xfId="0" applyNumberFormat="1" applyFont="1" applyFill="1" applyBorder="1" applyAlignment="1" applyProtection="1">
      <alignment horizontal="right" shrinkToFit="1"/>
    </xf>
    <xf numFmtId="38" fontId="57" fillId="0" borderId="29" xfId="0" applyNumberFormat="1" applyFont="1" applyFill="1" applyBorder="1" applyAlignment="1" applyProtection="1">
      <alignment horizontal="right" shrinkToFit="1"/>
      <protection locked="0"/>
    </xf>
    <xf numFmtId="38" fontId="57" fillId="0" borderId="0" xfId="0" applyNumberFormat="1" applyFont="1" applyAlignment="1" applyProtection="1">
      <alignment horizontal="right" shrinkToFit="1"/>
      <protection locked="0"/>
    </xf>
    <xf numFmtId="38" fontId="57" fillId="0" borderId="13" xfId="0" applyNumberFormat="1" applyFont="1" applyBorder="1" applyAlignment="1" applyProtection="1">
      <alignment horizontal="right" shrinkToFit="1"/>
      <protection locked="0"/>
    </xf>
    <xf numFmtId="38" fontId="57" fillId="16" borderId="36" xfId="0" applyNumberFormat="1" applyFont="1" applyFill="1" applyBorder="1" applyAlignment="1" applyProtection="1">
      <alignment horizontal="right" shrinkToFit="1"/>
    </xf>
    <xf numFmtId="38" fontId="57" fillId="3" borderId="17" xfId="0" applyNumberFormat="1" applyFont="1" applyFill="1" applyBorder="1" applyAlignment="1" applyProtection="1">
      <alignment horizontal="right" shrinkToFit="1"/>
    </xf>
    <xf numFmtId="37" fontId="57" fillId="16" borderId="36" xfId="0" applyNumberFormat="1" applyFont="1" applyFill="1" applyBorder="1" applyAlignment="1" applyProtection="1">
      <alignment horizontal="right" shrinkToFit="1"/>
    </xf>
    <xf numFmtId="37" fontId="57" fillId="16" borderId="27" xfId="0" applyNumberFormat="1" applyFont="1" applyFill="1" applyBorder="1" applyAlignment="1" applyProtection="1">
      <alignment horizontal="right" shrinkToFit="1"/>
    </xf>
    <xf numFmtId="37" fontId="57" fillId="3" borderId="17" xfId="0" applyNumberFormat="1" applyFont="1" applyFill="1" applyBorder="1" applyAlignment="1" applyProtection="1">
      <alignment horizontal="right" shrinkToFit="1"/>
    </xf>
    <xf numFmtId="37" fontId="57" fillId="3" borderId="26" xfId="0" applyNumberFormat="1" applyFont="1" applyFill="1" applyBorder="1" applyAlignment="1" applyProtection="1">
      <alignment horizontal="right" shrinkToFit="1"/>
    </xf>
    <xf numFmtId="38" fontId="57" fillId="0" borderId="19" xfId="0" applyNumberFormat="1" applyFont="1" applyFill="1" applyBorder="1" applyAlignment="1" applyProtection="1">
      <alignment horizontal="right" shrinkToFit="1"/>
      <protection locked="0"/>
    </xf>
    <xf numFmtId="38" fontId="57" fillId="3" borderId="0" xfId="0" applyNumberFormat="1" applyFont="1" applyFill="1" applyAlignment="1" applyProtection="1">
      <alignment horizontal="right" shrinkToFit="1"/>
    </xf>
    <xf numFmtId="38" fontId="57" fillId="16" borderId="37" xfId="0" applyNumberFormat="1" applyFont="1" applyFill="1" applyBorder="1" applyAlignment="1" applyProtection="1">
      <alignment horizontal="right" shrinkToFit="1"/>
    </xf>
    <xf numFmtId="38" fontId="57" fillId="16" borderId="12" xfId="0" applyNumberFormat="1" applyFont="1" applyFill="1" applyBorder="1" applyAlignment="1" applyProtection="1">
      <alignment horizontal="right" shrinkToFit="1"/>
    </xf>
    <xf numFmtId="38" fontId="57" fillId="3" borderId="19" xfId="0" applyNumberFormat="1" applyFont="1" applyFill="1" applyBorder="1" applyAlignment="1" applyProtection="1">
      <alignment horizontal="right" shrinkToFit="1"/>
    </xf>
    <xf numFmtId="38" fontId="57" fillId="3" borderId="38" xfId="0" applyNumberFormat="1" applyFont="1" applyFill="1" applyBorder="1" applyAlignment="1" applyProtection="1">
      <alignment horizontal="right" shrinkToFit="1"/>
    </xf>
    <xf numFmtId="38" fontId="57" fillId="3" borderId="28" xfId="0" applyNumberFormat="1" applyFont="1" applyFill="1" applyBorder="1" applyAlignment="1" applyProtection="1">
      <alignment horizontal="right" shrinkToFit="1"/>
    </xf>
    <xf numFmtId="38" fontId="57" fillId="0" borderId="125" xfId="0" applyNumberFormat="1" applyFont="1" applyBorder="1" applyAlignment="1" applyProtection="1">
      <alignment horizontal="right" shrinkToFit="1"/>
      <protection locked="0"/>
    </xf>
    <xf numFmtId="38" fontId="57" fillId="3" borderId="125" xfId="0" applyNumberFormat="1" applyFont="1" applyFill="1" applyBorder="1" applyAlignment="1" applyProtection="1">
      <alignment horizontal="right" shrinkToFit="1"/>
    </xf>
    <xf numFmtId="38" fontId="57" fillId="3" borderId="29" xfId="0" applyNumberFormat="1" applyFont="1" applyFill="1" applyBorder="1" applyAlignment="1" applyProtection="1">
      <alignment horizontal="right" shrinkToFit="1"/>
    </xf>
    <xf numFmtId="38" fontId="57" fillId="0" borderId="32" xfId="0" applyNumberFormat="1" applyFont="1" applyBorder="1" applyAlignment="1" applyProtection="1">
      <alignment horizontal="right" shrinkToFit="1"/>
      <protection locked="0"/>
    </xf>
    <xf numFmtId="38" fontId="57" fillId="0" borderId="37" xfId="0" applyNumberFormat="1" applyFont="1" applyBorder="1" applyAlignment="1" applyProtection="1">
      <alignment horizontal="right" shrinkToFit="1"/>
      <protection locked="0"/>
    </xf>
    <xf numFmtId="38" fontId="57" fillId="0" borderId="33" xfId="0" applyNumberFormat="1" applyFont="1" applyBorder="1" applyAlignment="1" applyProtection="1">
      <alignment horizontal="right" shrinkToFit="1"/>
      <protection locked="0"/>
    </xf>
    <xf numFmtId="38" fontId="57" fillId="0" borderId="36" xfId="0" applyNumberFormat="1" applyFont="1" applyFill="1" applyBorder="1" applyAlignment="1" applyProtection="1">
      <alignment horizontal="right" shrinkToFit="1"/>
      <protection locked="0"/>
    </xf>
    <xf numFmtId="38" fontId="57" fillId="0" borderId="27" xfId="0" applyNumberFormat="1" applyFont="1" applyBorder="1" applyAlignment="1" applyProtection="1">
      <alignment horizontal="right" shrinkToFit="1"/>
      <protection locked="0"/>
    </xf>
    <xf numFmtId="38" fontId="57" fillId="0" borderId="55" xfId="0" applyNumberFormat="1" applyFont="1" applyBorder="1" applyAlignment="1" applyProtection="1">
      <alignment horizontal="right" vertical="center" shrinkToFit="1"/>
      <protection locked="0"/>
    </xf>
    <xf numFmtId="38" fontId="57" fillId="0" borderId="32" xfId="0" applyNumberFormat="1" applyFont="1" applyBorder="1" applyAlignment="1" applyProtection="1">
      <alignment horizontal="right" vertical="center" shrinkToFit="1"/>
      <protection locked="0"/>
    </xf>
    <xf numFmtId="38" fontId="57" fillId="0" borderId="27" xfId="0" applyNumberFormat="1" applyFont="1" applyFill="1" applyBorder="1" applyAlignment="1" applyProtection="1">
      <alignment horizontal="right" vertical="center" shrinkToFit="1"/>
      <protection locked="0"/>
    </xf>
    <xf numFmtId="38" fontId="57" fillId="0" borderId="32" xfId="0" applyNumberFormat="1" applyFont="1" applyFill="1" applyBorder="1" applyAlignment="1" applyProtection="1">
      <alignment horizontal="right" vertical="center" shrinkToFit="1"/>
      <protection locked="0"/>
    </xf>
    <xf numFmtId="38" fontId="57" fillId="16" borderId="55" xfId="0" applyNumberFormat="1" applyFont="1" applyFill="1" applyBorder="1" applyAlignment="1" applyProtection="1">
      <alignment horizontal="right" shrinkToFit="1"/>
    </xf>
    <xf numFmtId="38" fontId="57" fillId="3" borderId="31" xfId="0" applyNumberFormat="1" applyFont="1" applyFill="1" applyBorder="1" applyAlignment="1" applyProtection="1">
      <alignment horizontal="right" vertical="center" shrinkToFit="1"/>
    </xf>
    <xf numFmtId="38" fontId="57" fillId="3" borderId="28" xfId="0" applyNumberFormat="1" applyFont="1" applyFill="1" applyBorder="1" applyAlignment="1" applyProtection="1">
      <alignment horizontal="right" vertical="center" shrinkToFit="1"/>
    </xf>
    <xf numFmtId="38" fontId="57" fillId="3" borderId="0" xfId="0" applyNumberFormat="1" applyFont="1" applyFill="1" applyAlignment="1" applyProtection="1">
      <alignment horizontal="right" vertical="center" shrinkToFit="1"/>
    </xf>
    <xf numFmtId="38" fontId="57" fillId="3" borderId="26" xfId="0" applyNumberFormat="1" applyFont="1" applyFill="1" applyBorder="1" applyAlignment="1" applyProtection="1">
      <alignment horizontal="right" vertical="center" shrinkToFit="1"/>
    </xf>
    <xf numFmtId="38" fontId="57" fillId="3" borderId="39" xfId="0" applyNumberFormat="1" applyFont="1" applyFill="1" applyBorder="1" applyAlignment="1" applyProtection="1">
      <alignment horizontal="right" shrinkToFit="1"/>
    </xf>
    <xf numFmtId="38" fontId="57" fillId="0" borderId="2" xfId="0" applyNumberFormat="1" applyFont="1" applyFill="1" applyBorder="1" applyAlignment="1" applyProtection="1">
      <alignment horizontal="right" vertical="center" shrinkToFit="1"/>
      <protection locked="0"/>
    </xf>
    <xf numFmtId="38" fontId="57" fillId="6" borderId="2" xfId="0" applyNumberFormat="1" applyFont="1" applyFill="1" applyBorder="1" applyAlignment="1" applyProtection="1">
      <alignment horizontal="right" vertical="center" shrinkToFit="1"/>
    </xf>
    <xf numFmtId="38" fontId="57" fillId="0" borderId="122" xfId="0" applyNumberFormat="1" applyFont="1" applyFill="1" applyBorder="1" applyAlignment="1" applyProtection="1">
      <alignment horizontal="right" shrinkToFit="1"/>
      <protection locked="0"/>
    </xf>
    <xf numFmtId="38" fontId="57" fillId="0" borderId="121" xfId="0" applyNumberFormat="1" applyFont="1" applyFill="1" applyBorder="1" applyAlignment="1" applyProtection="1">
      <alignment horizontal="right" shrinkToFit="1"/>
      <protection locked="0"/>
    </xf>
    <xf numFmtId="38" fontId="57" fillId="0" borderId="111" xfId="0" applyNumberFormat="1" applyFont="1" applyFill="1" applyBorder="1" applyAlignment="1" applyProtection="1">
      <alignment horizontal="right" shrinkToFit="1"/>
      <protection locked="0"/>
    </xf>
    <xf numFmtId="3" fontId="57" fillId="3" borderId="125" xfId="0" applyNumberFormat="1" applyFont="1" applyFill="1" applyBorder="1" applyAlignment="1">
      <alignment horizontal="center" shrinkToFit="1"/>
    </xf>
    <xf numFmtId="3" fontId="57" fillId="3" borderId="26" xfId="0" applyNumberFormat="1" applyFont="1" applyFill="1" applyBorder="1" applyAlignment="1">
      <alignment horizontal="center" shrinkToFit="1"/>
    </xf>
    <xf numFmtId="3" fontId="57" fillId="3" borderId="125" xfId="0" applyNumberFormat="1" applyFont="1" applyFill="1" applyBorder="1" applyAlignment="1">
      <alignment horizontal="right" shrinkToFit="1"/>
    </xf>
    <xf numFmtId="38" fontId="57" fillId="16" borderId="2" xfId="0" applyNumberFormat="1" applyFont="1" applyFill="1" applyBorder="1" applyAlignment="1">
      <alignment horizontal="right" shrinkToFit="1"/>
    </xf>
    <xf numFmtId="38" fontId="57" fillId="3" borderId="26" xfId="0" applyNumberFormat="1" applyFont="1" applyFill="1" applyBorder="1" applyAlignment="1">
      <alignment horizontal="right" shrinkToFit="1"/>
    </xf>
    <xf numFmtId="38" fontId="57" fillId="16" borderId="27" xfId="0" applyNumberFormat="1" applyFont="1" applyFill="1" applyBorder="1" applyAlignment="1">
      <alignment horizontal="right" shrinkToFit="1"/>
    </xf>
    <xf numFmtId="38" fontId="57" fillId="3" borderId="28" xfId="0" applyNumberFormat="1" applyFont="1" applyFill="1" applyBorder="1" applyAlignment="1">
      <alignment horizontal="right" shrinkToFit="1"/>
    </xf>
    <xf numFmtId="38" fontId="57" fillId="3" borderId="4" xfId="0" applyNumberFormat="1" applyFont="1" applyFill="1" applyBorder="1" applyAlignment="1">
      <alignment horizontal="right" shrinkToFit="1"/>
    </xf>
    <xf numFmtId="38" fontId="57" fillId="3" borderId="29" xfId="0" applyNumberFormat="1" applyFont="1" applyFill="1" applyBorder="1" applyAlignment="1">
      <alignment horizontal="right" shrinkToFit="1"/>
    </xf>
    <xf numFmtId="38" fontId="57" fillId="16" borderId="4" xfId="0" applyNumberFormat="1" applyFont="1" applyFill="1" applyBorder="1" applyAlignment="1">
      <alignment horizontal="right" shrinkToFit="1"/>
    </xf>
    <xf numFmtId="38" fontId="57" fillId="16" borderId="30" xfId="0" applyNumberFormat="1" applyFont="1" applyFill="1" applyBorder="1" applyAlignment="1">
      <alignment horizontal="right" shrinkToFit="1"/>
    </xf>
    <xf numFmtId="38" fontId="57" fillId="3" borderId="31" xfId="0" applyNumberFormat="1" applyFont="1" applyFill="1" applyBorder="1" applyAlignment="1">
      <alignment horizontal="right" shrinkToFit="1"/>
    </xf>
    <xf numFmtId="38" fontId="57" fillId="16" borderId="32" xfId="0" applyNumberFormat="1" applyFont="1" applyFill="1" applyBorder="1" applyAlignment="1">
      <alignment horizontal="right" shrinkToFit="1"/>
    </xf>
    <xf numFmtId="38" fontId="57" fillId="5" borderId="4" xfId="0" applyNumberFormat="1" applyFont="1" applyFill="1" applyBorder="1" applyAlignment="1" applyProtection="1">
      <alignment horizontal="right" shrinkToFit="1"/>
      <protection locked="0"/>
    </xf>
    <xf numFmtId="38" fontId="57" fillId="6" borderId="28" xfId="0" applyNumberFormat="1" applyFont="1" applyFill="1" applyBorder="1" applyAlignment="1">
      <alignment horizontal="right" shrinkToFit="1"/>
    </xf>
    <xf numFmtId="38" fontId="57" fillId="6" borderId="26" xfId="0" applyNumberFormat="1" applyFont="1" applyFill="1" applyBorder="1" applyAlignment="1">
      <alignment horizontal="right" shrinkToFit="1"/>
    </xf>
    <xf numFmtId="38" fontId="57" fillId="0" borderId="125" xfId="0" applyNumberFormat="1" applyFont="1" applyFill="1" applyBorder="1" applyAlignment="1" applyProtection="1">
      <alignment horizontal="right" shrinkToFit="1"/>
      <protection locked="0"/>
    </xf>
    <xf numFmtId="38" fontId="57" fillId="6" borderId="4" xfId="0" applyNumberFormat="1" applyFont="1" applyFill="1" applyBorder="1" applyAlignment="1">
      <alignment horizontal="right" shrinkToFit="1"/>
    </xf>
    <xf numFmtId="38" fontId="57" fillId="16" borderId="33" xfId="0" applyNumberFormat="1" applyFont="1" applyFill="1" applyBorder="1" applyAlignment="1">
      <alignment horizontal="right" shrinkToFit="1"/>
    </xf>
    <xf numFmtId="38" fontId="57" fillId="16" borderId="26" xfId="0" applyNumberFormat="1" applyFont="1" applyFill="1" applyBorder="1" applyAlignment="1">
      <alignment horizontal="right" shrinkToFit="1"/>
    </xf>
    <xf numFmtId="38" fontId="57" fillId="16" borderId="28" xfId="0" applyNumberFormat="1" applyFont="1" applyFill="1" applyBorder="1" applyAlignment="1">
      <alignment horizontal="right" shrinkToFit="1"/>
    </xf>
    <xf numFmtId="38" fontId="57" fillId="0" borderId="21" xfId="0" applyNumberFormat="1" applyFont="1" applyFill="1" applyBorder="1" applyAlignment="1">
      <alignment horizontal="right" shrinkToFit="1"/>
    </xf>
    <xf numFmtId="38" fontId="57" fillId="23" borderId="19" xfId="0" applyNumberFormat="1" applyFont="1" applyFill="1" applyBorder="1" applyAlignment="1">
      <alignment horizontal="right" shrinkToFit="1"/>
    </xf>
    <xf numFmtId="38" fontId="57" fillId="23" borderId="20" xfId="0" applyNumberFormat="1" applyFont="1" applyFill="1" applyBorder="1" applyAlignment="1">
      <alignment horizontal="right" shrinkToFit="1"/>
    </xf>
    <xf numFmtId="38" fontId="57" fillId="23" borderId="11" xfId="0" applyNumberFormat="1" applyFont="1" applyFill="1" applyBorder="1" applyAlignment="1">
      <alignment horizontal="right" shrinkToFit="1"/>
    </xf>
    <xf numFmtId="38" fontId="57" fillId="3" borderId="2" xfId="0" applyNumberFormat="1" applyFont="1" applyFill="1" applyBorder="1" applyAlignment="1">
      <alignment horizontal="right" shrinkToFit="1"/>
    </xf>
    <xf numFmtId="38" fontId="57" fillId="0" borderId="29" xfId="0" applyNumberFormat="1" applyFont="1" applyBorder="1" applyAlignment="1" applyProtection="1">
      <alignment horizontal="right" shrinkToFit="1"/>
      <protection locked="0"/>
    </xf>
    <xf numFmtId="38" fontId="57" fillId="16" borderId="29" xfId="0" applyNumberFormat="1" applyFont="1" applyFill="1" applyBorder="1" applyAlignment="1">
      <alignment horizontal="right" shrinkToFit="1"/>
    </xf>
    <xf numFmtId="38" fontId="57" fillId="16" borderId="125" xfId="0" applyNumberFormat="1" applyFont="1" applyFill="1" applyBorder="1" applyAlignment="1" applyProtection="1">
      <alignment horizontal="right" shrinkToFit="1"/>
    </xf>
    <xf numFmtId="38" fontId="57" fillId="6" borderId="29" xfId="0" applyNumberFormat="1" applyFont="1" applyFill="1" applyBorder="1" applyAlignment="1">
      <alignment horizontal="right" shrinkToFit="1"/>
    </xf>
    <xf numFmtId="38" fontId="57" fillId="15" borderId="3" xfId="0" applyNumberFormat="1" applyFont="1" applyFill="1" applyBorder="1" applyAlignment="1" applyProtection="1">
      <alignment horizontal="right" shrinkToFit="1"/>
    </xf>
    <xf numFmtId="38" fontId="57" fillId="15" borderId="3" xfId="0" applyNumberFormat="1" applyFont="1" applyFill="1" applyBorder="1" applyAlignment="1">
      <alignment horizontal="right" shrinkToFit="1"/>
    </xf>
    <xf numFmtId="38" fontId="57" fillId="15" borderId="26" xfId="0" applyNumberFormat="1" applyFont="1" applyFill="1" applyBorder="1" applyAlignment="1" applyProtection="1">
      <alignment horizontal="right" shrinkToFit="1"/>
    </xf>
    <xf numFmtId="38" fontId="57" fillId="15" borderId="26" xfId="0" applyNumberFormat="1" applyFont="1" applyFill="1" applyBorder="1" applyAlignment="1">
      <alignment horizontal="right" shrinkToFit="1"/>
    </xf>
    <xf numFmtId="38" fontId="57" fillId="22" borderId="19" xfId="0" applyNumberFormat="1" applyFont="1" applyFill="1" applyBorder="1" applyAlignment="1">
      <alignment horizontal="right" shrinkToFit="1"/>
    </xf>
    <xf numFmtId="38" fontId="57" fillId="22" borderId="20" xfId="0" applyNumberFormat="1" applyFont="1" applyFill="1" applyBorder="1" applyAlignment="1">
      <alignment horizontal="right" shrinkToFit="1"/>
    </xf>
    <xf numFmtId="38" fontId="57" fillId="22" borderId="11" xfId="0" applyNumberFormat="1" applyFont="1" applyFill="1" applyBorder="1" applyAlignment="1">
      <alignment horizontal="right" shrinkToFit="1"/>
    </xf>
    <xf numFmtId="38" fontId="57" fillId="3" borderId="125" xfId="0" applyNumberFormat="1" applyFont="1" applyFill="1" applyBorder="1" applyAlignment="1">
      <alignment horizontal="right" shrinkToFit="1"/>
    </xf>
    <xf numFmtId="38" fontId="57" fillId="3" borderId="3" xfId="0" applyNumberFormat="1" applyFont="1" applyFill="1" applyBorder="1" applyAlignment="1">
      <alignment horizontal="right" shrinkToFit="1"/>
    </xf>
    <xf numFmtId="38" fontId="57" fillId="0" borderId="20" xfId="0" applyNumberFormat="1" applyFont="1" applyFill="1" applyBorder="1" applyAlignment="1">
      <alignment horizontal="right" shrinkToFit="1"/>
    </xf>
    <xf numFmtId="38" fontId="57" fillId="22" borderId="13" xfId="0" applyNumberFormat="1" applyFont="1" applyFill="1" applyBorder="1" applyAlignment="1">
      <alignment horizontal="right" shrinkToFit="1"/>
    </xf>
    <xf numFmtId="38" fontId="57" fillId="22" borderId="21" xfId="0" applyNumberFormat="1" applyFont="1" applyFill="1" applyBorder="1" applyAlignment="1">
      <alignment horizontal="right" shrinkToFit="1"/>
    </xf>
    <xf numFmtId="38" fontId="57" fillId="22" borderId="14" xfId="0" applyNumberFormat="1" applyFont="1" applyFill="1" applyBorder="1" applyAlignment="1">
      <alignment horizontal="right" shrinkToFit="1"/>
    </xf>
    <xf numFmtId="38" fontId="57" fillId="0" borderId="0" xfId="0" applyNumberFormat="1" applyFont="1" applyFill="1" applyBorder="1" applyAlignment="1">
      <alignment horizontal="right" shrinkToFit="1"/>
    </xf>
    <xf numFmtId="38" fontId="57" fillId="16" borderId="3" xfId="0" applyNumberFormat="1" applyFont="1" applyFill="1" applyBorder="1" applyAlignment="1">
      <alignment horizontal="right" shrinkToFit="1"/>
    </xf>
    <xf numFmtId="38" fontId="57" fillId="25" borderId="26" xfId="0" applyNumberFormat="1" applyFont="1" applyFill="1" applyBorder="1" applyAlignment="1">
      <alignment horizontal="right" shrinkToFit="1"/>
    </xf>
    <xf numFmtId="38" fontId="57" fillId="2" borderId="2" xfId="0" applyNumberFormat="1" applyFont="1" applyFill="1" applyBorder="1" applyAlignment="1">
      <alignment horizontal="right" shrinkToFit="1"/>
    </xf>
    <xf numFmtId="0" fontId="59" fillId="6" borderId="0" xfId="0" applyFont="1" applyFill="1" applyAlignment="1">
      <alignment vertical="center" shrinkToFit="1"/>
    </xf>
    <xf numFmtId="38" fontId="57" fillId="6" borderId="0" xfId="8" applyNumberFormat="1" applyFont="1" applyFill="1" applyBorder="1" applyAlignment="1" applyProtection="1">
      <alignment horizontal="right" shrinkToFit="1"/>
    </xf>
    <xf numFmtId="38" fontId="57" fillId="6" borderId="26" xfId="8" applyNumberFormat="1" applyFont="1" applyFill="1" applyBorder="1" applyAlignment="1" applyProtection="1">
      <alignment horizontal="right" shrinkToFit="1"/>
    </xf>
    <xf numFmtId="38" fontId="57" fillId="0" borderId="2" xfId="8" applyNumberFormat="1" applyFont="1" applyFill="1" applyBorder="1" applyAlignment="1" applyProtection="1">
      <alignment horizontal="right" shrinkToFit="1"/>
      <protection locked="0"/>
    </xf>
    <xf numFmtId="38" fontId="57" fillId="0" borderId="2" xfId="6" applyNumberFormat="1" applyFont="1" applyBorder="1" applyAlignment="1" applyProtection="1">
      <alignment shrinkToFit="1"/>
      <protection locked="0"/>
    </xf>
    <xf numFmtId="38" fontId="57" fillId="16" borderId="125" xfId="0" applyNumberFormat="1" applyFont="1" applyFill="1" applyBorder="1" applyAlignment="1" applyProtection="1">
      <alignment horizontal="right" vertical="center" shrinkToFit="1"/>
      <protection locked="0"/>
    </xf>
    <xf numFmtId="38" fontId="57" fillId="0" borderId="125" xfId="0" applyNumberFormat="1" applyFont="1" applyFill="1" applyBorder="1" applyAlignment="1" applyProtection="1">
      <alignment horizontal="right" vertical="center" shrinkToFit="1"/>
      <protection locked="0"/>
    </xf>
    <xf numFmtId="38" fontId="57" fillId="16" borderId="125" xfId="0" applyNumberFormat="1" applyFont="1" applyFill="1" applyBorder="1" applyAlignment="1" applyProtection="1">
      <alignment horizontal="right" vertical="center" shrinkToFit="1"/>
    </xf>
    <xf numFmtId="38" fontId="57" fillId="16" borderId="2" xfId="0" applyNumberFormat="1" applyFont="1" applyFill="1" applyBorder="1" applyAlignment="1" applyProtection="1">
      <alignment horizontal="right" vertical="center" shrinkToFit="1"/>
      <protection locked="0"/>
    </xf>
    <xf numFmtId="38" fontId="57" fillId="16" borderId="2" xfId="0" applyNumberFormat="1" applyFont="1" applyFill="1" applyBorder="1" applyAlignment="1" applyProtection="1">
      <alignment horizontal="right" vertical="center" shrinkToFit="1"/>
    </xf>
    <xf numFmtId="38" fontId="57" fillId="16" borderId="27" xfId="0" applyNumberFormat="1" applyFont="1" applyFill="1" applyBorder="1" applyAlignment="1" applyProtection="1">
      <alignment horizontal="right" vertical="center" shrinkToFit="1"/>
      <protection locked="0"/>
    </xf>
    <xf numFmtId="42" fontId="51" fillId="11" borderId="110" xfId="0" applyNumberFormat="1" applyFont="1" applyFill="1" applyBorder="1" applyAlignment="1" applyProtection="1">
      <alignment horizontal="right" shrinkToFit="1"/>
      <protection locked="0"/>
    </xf>
    <xf numFmtId="42" fontId="51" fillId="10" borderId="110" xfId="0" applyNumberFormat="1" applyFont="1" applyFill="1" applyBorder="1" applyAlignment="1">
      <alignment horizontal="right"/>
    </xf>
    <xf numFmtId="42" fontId="51" fillId="10" borderId="0" xfId="0" applyNumberFormat="1" applyFont="1" applyFill="1" applyBorder="1" applyAlignment="1" applyProtection="1">
      <alignment horizontal="right" shrinkToFit="1"/>
      <protection locked="0"/>
    </xf>
    <xf numFmtId="38" fontId="66" fillId="6" borderId="10" xfId="0" applyNumberFormat="1" applyFont="1" applyFill="1" applyBorder="1" applyAlignment="1" applyProtection="1">
      <alignment horizontal="center" vertical="center" wrapText="1"/>
      <protection hidden="1"/>
    </xf>
    <xf numFmtId="38" fontId="66" fillId="6" borderId="3" xfId="0" applyNumberFormat="1" applyFont="1" applyFill="1" applyBorder="1" applyAlignment="1" applyProtection="1">
      <alignment horizontal="center" vertical="center" wrapText="1"/>
      <protection hidden="1"/>
    </xf>
    <xf numFmtId="38" fontId="57" fillId="16" borderId="27" xfId="0" applyNumberFormat="1" applyFont="1" applyFill="1" applyBorder="1" applyAlignment="1" applyProtection="1">
      <alignment horizontal="right" vertical="center" shrinkToFit="1"/>
    </xf>
    <xf numFmtId="38" fontId="57" fillId="0" borderId="2" xfId="0" applyNumberFormat="1" applyFont="1" applyBorder="1" applyAlignment="1" applyProtection="1">
      <alignment horizontal="right" vertical="center" shrinkToFit="1"/>
      <protection locked="0"/>
    </xf>
    <xf numFmtId="38" fontId="57" fillId="0" borderId="2" xfId="9" applyNumberFormat="1" applyFont="1" applyFill="1" applyBorder="1" applyAlignment="1" applyProtection="1">
      <alignment horizontal="right" shrinkToFit="1"/>
      <protection locked="0"/>
    </xf>
    <xf numFmtId="3" fontId="57" fillId="0" borderId="2" xfId="9" applyNumberFormat="1" applyFont="1" applyFill="1" applyBorder="1" applyAlignment="1" applyProtection="1">
      <alignment horizontal="right" vertical="center" shrinkToFit="1"/>
      <protection locked="0"/>
    </xf>
    <xf numFmtId="38" fontId="57" fillId="16" borderId="2" xfId="9" applyNumberFormat="1" applyFont="1" applyFill="1" applyBorder="1" applyAlignment="1" applyProtection="1">
      <alignment horizontal="right" shrinkToFit="1"/>
    </xf>
    <xf numFmtId="38" fontId="57" fillId="0" borderId="2" xfId="9" applyNumberFormat="1" applyFont="1" applyFill="1" applyBorder="1" applyAlignment="1" applyProtection="1">
      <alignment horizontal="right" vertical="center" shrinkToFit="1"/>
      <protection locked="0"/>
    </xf>
    <xf numFmtId="0" fontId="57" fillId="0" borderId="2" xfId="0" applyFont="1" applyFill="1" applyBorder="1" applyAlignment="1" applyProtection="1">
      <alignment horizontal="right" shrinkToFit="1"/>
      <protection locked="0"/>
    </xf>
    <xf numFmtId="0" fontId="57" fillId="0" borderId="2" xfId="9" applyFont="1" applyFill="1" applyBorder="1" applyAlignment="1" applyProtection="1">
      <alignment horizontal="right" vertical="top" shrinkToFit="1"/>
      <protection locked="0"/>
    </xf>
    <xf numFmtId="38" fontId="57" fillId="0" borderId="2" xfId="9" applyNumberFormat="1" applyFont="1" applyFill="1" applyBorder="1" applyAlignment="1" applyProtection="1">
      <alignment horizontal="right" vertical="top" shrinkToFit="1"/>
      <protection locked="0"/>
    </xf>
    <xf numFmtId="38" fontId="57" fillId="0" borderId="2" xfId="9" quotePrefix="1" applyNumberFormat="1" applyFont="1" applyFill="1" applyBorder="1" applyAlignment="1" applyProtection="1">
      <alignment horizontal="right" shrinkToFit="1"/>
      <protection locked="0"/>
    </xf>
    <xf numFmtId="38" fontId="57" fillId="6" borderId="2" xfId="9" applyNumberFormat="1" applyFont="1" applyFill="1" applyBorder="1" applyAlignment="1" applyProtection="1">
      <alignment horizontal="right" shrinkToFit="1"/>
    </xf>
    <xf numFmtId="49" fontId="66" fillId="5" borderId="2" xfId="9" applyNumberFormat="1" applyFont="1" applyFill="1" applyBorder="1" applyAlignment="1" applyProtection="1">
      <alignment horizontal="center" vertical="center" wrapText="1"/>
    </xf>
    <xf numFmtId="38" fontId="57" fillId="0" borderId="22" xfId="0" applyNumberFormat="1" applyFont="1" applyBorder="1" applyAlignment="1" applyProtection="1">
      <alignment vertical="center" shrinkToFit="1"/>
      <protection locked="0"/>
    </xf>
    <xf numFmtId="38" fontId="57" fillId="0" borderId="22" xfId="0" applyNumberFormat="1" applyFont="1" applyFill="1" applyBorder="1" applyAlignment="1" applyProtection="1">
      <alignment horizontal="right" vertical="center" shrinkToFit="1"/>
      <protection locked="0"/>
    </xf>
    <xf numFmtId="38" fontId="57" fillId="6" borderId="45" xfId="0" applyNumberFormat="1" applyFont="1" applyFill="1" applyBorder="1" applyAlignment="1" applyProtection="1">
      <alignment vertical="center" shrinkToFit="1"/>
    </xf>
    <xf numFmtId="38" fontId="57" fillId="6" borderId="22" xfId="0" applyNumberFormat="1" applyFont="1" applyFill="1" applyBorder="1" applyAlignment="1" applyProtection="1">
      <alignment vertical="center" shrinkToFit="1"/>
    </xf>
    <xf numFmtId="38" fontId="57" fillId="6" borderId="45" xfId="0" applyNumberFormat="1" applyFont="1" applyFill="1" applyBorder="1" applyAlignment="1" applyProtection="1">
      <alignment horizontal="right" vertical="center" shrinkToFit="1"/>
    </xf>
    <xf numFmtId="38" fontId="57" fillId="6" borderId="8" xfId="0" applyNumberFormat="1" applyFont="1" applyFill="1" applyBorder="1" applyAlignment="1" applyProtection="1">
      <alignment vertical="center" shrinkToFit="1"/>
    </xf>
    <xf numFmtId="38" fontId="57" fillId="0" borderId="22" xfId="0" applyNumberFormat="1" applyFont="1" applyFill="1" applyBorder="1" applyAlignment="1" applyProtection="1">
      <alignment vertical="center" shrinkToFit="1"/>
      <protection locked="0"/>
    </xf>
    <xf numFmtId="38" fontId="57" fillId="6" borderId="8" xfId="0" applyNumberFormat="1" applyFont="1" applyFill="1" applyBorder="1" applyAlignment="1" applyProtection="1">
      <alignment horizontal="right" vertical="center" shrinkToFit="1"/>
    </xf>
    <xf numFmtId="38" fontId="57" fillId="6" borderId="22"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vertical="center" shrinkToFit="1"/>
    </xf>
    <xf numFmtId="38" fontId="57" fillId="0" borderId="7" xfId="0" applyNumberFormat="1" applyFont="1" applyBorder="1" applyAlignment="1" applyProtection="1">
      <alignment vertical="center" shrinkToFit="1"/>
      <protection locked="0"/>
    </xf>
    <xf numFmtId="38" fontId="57" fillId="16" borderId="41" xfId="0" applyNumberFormat="1" applyFont="1" applyFill="1" applyBorder="1" applyAlignment="1" applyProtection="1">
      <alignment vertical="center" shrinkToFit="1"/>
    </xf>
    <xf numFmtId="0" fontId="57" fillId="6" borderId="42" xfId="0" applyFont="1" applyFill="1" applyBorder="1" applyAlignment="1" applyProtection="1">
      <alignment horizontal="right" vertical="center" shrinkToFit="1"/>
    </xf>
    <xf numFmtId="0" fontId="57" fillId="6" borderId="43" xfId="0" applyFont="1" applyFill="1" applyBorder="1" applyAlignment="1" applyProtection="1">
      <alignment horizontal="right" vertical="center" shrinkToFit="1"/>
    </xf>
    <xf numFmtId="0" fontId="57" fillId="6" borderId="40" xfId="0" applyFont="1" applyFill="1" applyBorder="1" applyAlignment="1" applyProtection="1">
      <alignment horizontal="right" vertical="center" shrinkToFit="1"/>
    </xf>
    <xf numFmtId="38" fontId="57" fillId="3" borderId="45" xfId="0" applyNumberFormat="1" applyFont="1" applyFill="1" applyBorder="1" applyAlignment="1" applyProtection="1">
      <alignment vertical="center" shrinkToFit="1"/>
    </xf>
    <xf numFmtId="38" fontId="57" fillId="3" borderId="44" xfId="0" applyNumberFormat="1" applyFont="1" applyFill="1" applyBorder="1" applyAlignment="1" applyProtection="1">
      <alignment vertical="center" shrinkToFit="1"/>
    </xf>
    <xf numFmtId="38" fontId="57" fillId="3" borderId="8" xfId="0" applyNumberFormat="1" applyFont="1" applyFill="1" applyBorder="1" applyAlignment="1" applyProtection="1">
      <alignment horizontal="right" vertical="center" shrinkToFit="1"/>
    </xf>
    <xf numFmtId="38" fontId="57" fillId="3" borderId="44"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horizontal="right" vertical="center" shrinkToFit="1"/>
    </xf>
    <xf numFmtId="38" fontId="57" fillId="3" borderId="8" xfId="0" applyNumberFormat="1" applyFont="1" applyFill="1" applyBorder="1" applyAlignment="1" applyProtection="1">
      <alignment vertical="center" shrinkToFit="1"/>
    </xf>
    <xf numFmtId="38" fontId="57" fillId="16" borderId="41" xfId="0" applyNumberFormat="1" applyFont="1" applyFill="1" applyBorder="1" applyAlignment="1" applyProtection="1">
      <alignment horizontal="right" vertical="center" shrinkToFit="1"/>
    </xf>
    <xf numFmtId="38" fontId="57" fillId="0" borderId="8" xfId="0" applyNumberFormat="1" applyFont="1" applyFill="1" applyBorder="1" applyAlignment="1" applyProtection="1">
      <alignment horizontal="right" vertical="center" shrinkToFit="1"/>
      <protection locked="0"/>
    </xf>
    <xf numFmtId="38" fontId="57" fillId="16" borderId="60" xfId="0" applyNumberFormat="1" applyFont="1" applyFill="1" applyBorder="1" applyAlignment="1" applyProtection="1">
      <alignment shrinkToFit="1"/>
    </xf>
    <xf numFmtId="38" fontId="57" fillId="0" borderId="8" xfId="0" applyNumberFormat="1" applyFont="1" applyFill="1" applyBorder="1" applyAlignment="1" applyProtection="1">
      <alignment vertical="center" shrinkToFit="1"/>
      <protection locked="0"/>
    </xf>
    <xf numFmtId="38" fontId="57" fillId="0" borderId="44" xfId="0" applyNumberFormat="1" applyFont="1" applyFill="1" applyBorder="1" applyAlignment="1" applyProtection="1">
      <alignment horizontal="right" vertical="center" shrinkToFit="1"/>
      <protection locked="0"/>
    </xf>
    <xf numFmtId="38" fontId="57" fillId="0" borderId="8"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shrinkToFit="1"/>
      <protection locked="0"/>
    </xf>
    <xf numFmtId="38" fontId="57" fillId="16" borderId="41" xfId="0" applyNumberFormat="1" applyFont="1" applyFill="1" applyBorder="1" applyAlignment="1" applyProtection="1">
      <alignment horizontal="right" shrinkToFit="1"/>
    </xf>
    <xf numFmtId="3" fontId="64" fillId="16" borderId="9" xfId="10" applyNumberFormat="1" applyFont="1" applyFill="1" applyBorder="1" applyAlignment="1" applyProtection="1">
      <alignment vertical="center" shrinkToFit="1"/>
    </xf>
    <xf numFmtId="3" fontId="64" fillId="16" borderId="6" xfId="10" applyNumberFormat="1" applyFont="1" applyFill="1" applyBorder="1" applyAlignment="1" applyProtection="1">
      <alignment vertical="center" shrinkToFit="1"/>
    </xf>
    <xf numFmtId="3" fontId="66" fillId="16" borderId="57" xfId="10" applyNumberFormat="1" applyFont="1" applyFill="1" applyBorder="1" applyAlignment="1" applyProtection="1">
      <alignment vertical="center" shrinkToFit="1"/>
    </xf>
    <xf numFmtId="0" fontId="64" fillId="0" borderId="0" xfId="10" applyFont="1" applyFill="1" applyAlignment="1">
      <alignment vertical="center" shrinkToFit="1"/>
    </xf>
    <xf numFmtId="0" fontId="64" fillId="0" borderId="0" xfId="10" applyFont="1" applyFill="1" applyBorder="1" applyAlignment="1">
      <alignment vertical="center" shrinkToFit="1"/>
    </xf>
    <xf numFmtId="38" fontId="64" fillId="16" borderId="9" xfId="10" applyNumberFormat="1" applyFont="1" applyFill="1" applyBorder="1" applyAlignment="1" applyProtection="1">
      <alignment horizontal="right" vertical="center" shrinkToFit="1"/>
    </xf>
    <xf numFmtId="38" fontId="64" fillId="16" borderId="0" xfId="10" applyNumberFormat="1" applyFont="1" applyFill="1" applyAlignment="1">
      <alignment vertical="top" shrinkToFit="1"/>
    </xf>
    <xf numFmtId="38" fontId="64" fillId="16" borderId="6" xfId="10" applyNumberFormat="1" applyFont="1" applyFill="1" applyBorder="1" applyAlignment="1" applyProtection="1">
      <alignment horizontal="right" vertical="center" shrinkToFit="1"/>
    </xf>
    <xf numFmtId="38" fontId="64" fillId="16" borderId="6" xfId="10" applyNumberFormat="1" applyFont="1" applyFill="1" applyBorder="1" applyAlignment="1" applyProtection="1">
      <alignment horizontal="right" shrinkToFit="1"/>
    </xf>
    <xf numFmtId="38" fontId="64" fillId="16" borderId="0" xfId="10" applyNumberFormat="1" applyFont="1" applyFill="1" applyAlignment="1">
      <alignment horizontal="right" shrinkToFit="1"/>
    </xf>
    <xf numFmtId="38" fontId="64" fillId="16" borderId="9" xfId="10" applyNumberFormat="1" applyFont="1" applyFill="1" applyBorder="1" applyAlignment="1" applyProtection="1">
      <alignment horizontal="right" shrinkToFit="1"/>
    </xf>
    <xf numFmtId="38" fontId="64" fillId="16" borderId="6" xfId="10" applyNumberFormat="1" applyFont="1" applyFill="1" applyBorder="1" applyAlignment="1">
      <alignment horizontal="right" shrinkToFit="1"/>
    </xf>
    <xf numFmtId="38" fontId="64" fillId="16" borderId="145" xfId="10" applyNumberFormat="1" applyFont="1" applyFill="1" applyBorder="1" applyAlignment="1" applyProtection="1">
      <alignment horizontal="right" shrinkToFit="1"/>
    </xf>
    <xf numFmtId="38" fontId="66" fillId="16" borderId="47" xfId="10" applyNumberFormat="1" applyFont="1" applyFill="1" applyBorder="1" applyAlignment="1">
      <alignment horizontal="right" shrinkToFit="1"/>
    </xf>
    <xf numFmtId="38" fontId="64" fillId="16" borderId="58" xfId="10" applyNumberFormat="1" applyFont="1" applyFill="1" applyBorder="1" applyAlignment="1" applyProtection="1">
      <alignment horizontal="right" shrinkToFit="1"/>
    </xf>
    <xf numFmtId="40" fontId="64" fillId="0" borderId="9" xfId="10" applyNumberFormat="1" applyFont="1" applyFill="1" applyBorder="1" applyAlignment="1" applyProtection="1">
      <alignment horizontal="right" shrinkToFit="1"/>
      <protection locked="0"/>
    </xf>
    <xf numFmtId="40" fontId="66" fillId="16" borderId="47" xfId="10" applyNumberFormat="1" applyFont="1" applyFill="1" applyBorder="1" applyAlignment="1" applyProtection="1">
      <alignment horizontal="right" shrinkToFit="1"/>
    </xf>
    <xf numFmtId="4" fontId="66" fillId="0" borderId="0" xfId="10" applyNumberFormat="1" applyFont="1" applyFill="1" applyBorder="1" applyAlignment="1" applyProtection="1">
      <alignment vertical="center" shrinkToFit="1"/>
    </xf>
    <xf numFmtId="38" fontId="64" fillId="16" borderId="9" xfId="11" applyNumberFormat="1" applyFont="1" applyFill="1" applyBorder="1" applyAlignment="1" applyProtection="1">
      <alignment horizontal="right" shrinkToFit="1"/>
    </xf>
    <xf numFmtId="38" fontId="64" fillId="16" borderId="6" xfId="11" applyNumberFormat="1" applyFont="1" applyFill="1" applyBorder="1" applyAlignment="1" applyProtection="1">
      <alignment horizontal="right" shrinkToFit="1"/>
    </xf>
    <xf numFmtId="38" fontId="64" fillId="0" borderId="145" xfId="11" applyNumberFormat="1" applyFont="1" applyFill="1" applyBorder="1" applyAlignment="1" applyProtection="1">
      <alignment horizontal="right" shrinkToFit="1"/>
      <protection locked="0"/>
    </xf>
    <xf numFmtId="38" fontId="64" fillId="0" borderId="0" xfId="11" applyNumberFormat="1" applyFont="1" applyFill="1" applyAlignment="1">
      <alignment horizontal="right" shrinkToFit="1"/>
    </xf>
    <xf numFmtId="38" fontId="66" fillId="16" borderId="9" xfId="11" applyNumberFormat="1" applyFont="1" applyFill="1" applyBorder="1" applyAlignment="1" applyProtection="1">
      <alignment horizontal="right" shrinkToFit="1"/>
    </xf>
    <xf numFmtId="40" fontId="64" fillId="16" borderId="9" xfId="11" applyNumberFormat="1" applyFont="1" applyFill="1" applyBorder="1" applyAlignment="1" applyProtection="1">
      <alignment horizontal="right" shrinkToFit="1"/>
    </xf>
    <xf numFmtId="40" fontId="66" fillId="16" borderId="57" xfId="11" applyNumberFormat="1" applyFont="1" applyFill="1" applyBorder="1" applyAlignment="1" applyProtection="1">
      <alignment horizontal="right" shrinkToFit="1"/>
    </xf>
    <xf numFmtId="0" fontId="66" fillId="16" borderId="0" xfId="10" applyFont="1" applyFill="1" applyAlignment="1" applyProtection="1">
      <alignment horizontal="right" vertical="center"/>
      <protection hidden="1"/>
    </xf>
    <xf numFmtId="38" fontId="57" fillId="0" borderId="13" xfId="0" applyNumberFormat="1" applyFont="1" applyBorder="1" applyAlignment="1" applyProtection="1">
      <alignment vertical="center" shrinkToFit="1"/>
      <protection locked="0"/>
    </xf>
    <xf numFmtId="38" fontId="57" fillId="19" borderId="13" xfId="0" applyNumberFormat="1" applyFont="1" applyFill="1" applyBorder="1" applyAlignment="1" applyProtection="1">
      <alignment shrinkToFit="1"/>
      <protection locked="0"/>
    </xf>
    <xf numFmtId="0" fontId="57" fillId="16" borderId="124" xfId="0" applyFont="1" applyFill="1" applyBorder="1" applyAlignment="1">
      <alignment shrinkToFit="1"/>
    </xf>
    <xf numFmtId="37" fontId="57" fillId="16" borderId="124" xfId="0" applyNumberFormat="1" applyFont="1" applyFill="1" applyBorder="1" applyAlignment="1">
      <alignment shrinkToFit="1"/>
    </xf>
    <xf numFmtId="37" fontId="57" fillId="16" borderId="126" xfId="0" applyNumberFormat="1" applyFont="1" applyFill="1" applyBorder="1" applyAlignment="1">
      <alignment shrinkToFit="1"/>
    </xf>
    <xf numFmtId="0" fontId="57" fillId="16" borderId="14" xfId="0" applyFont="1" applyFill="1" applyBorder="1" applyAlignment="1">
      <alignment shrinkToFit="1"/>
    </xf>
    <xf numFmtId="0" fontId="57" fillId="16" borderId="21" xfId="0" applyFont="1" applyFill="1" applyBorder="1" applyAlignment="1">
      <alignment shrinkToFit="1"/>
    </xf>
    <xf numFmtId="37" fontId="57" fillId="16" borderId="14" xfId="0" applyNumberFormat="1" applyFont="1" applyFill="1" applyBorder="1" applyAlignment="1">
      <alignment shrinkToFit="1"/>
    </xf>
    <xf numFmtId="37" fontId="57" fillId="16" borderId="21" xfId="0" applyNumberFormat="1" applyFont="1" applyFill="1" applyBorder="1" applyAlignment="1">
      <alignment shrinkToFit="1"/>
    </xf>
    <xf numFmtId="38" fontId="57" fillId="16" borderId="14" xfId="0" applyNumberFormat="1" applyFont="1" applyFill="1" applyBorder="1" applyAlignment="1">
      <alignment shrinkToFit="1"/>
    </xf>
    <xf numFmtId="38" fontId="57" fillId="16" borderId="18" xfId="0" applyNumberFormat="1" applyFont="1" applyFill="1" applyBorder="1" applyAlignment="1">
      <alignment shrinkToFit="1"/>
    </xf>
    <xf numFmtId="10" fontId="56" fillId="16" borderId="14" xfId="0" applyNumberFormat="1" applyFont="1" applyFill="1" applyBorder="1" applyAlignment="1">
      <alignment horizontal="left" shrinkToFit="1"/>
    </xf>
    <xf numFmtId="0" fontId="102" fillId="22" borderId="0" xfId="18" applyFont="1" applyFill="1" applyAlignment="1" applyProtection="1">
      <alignment horizontal="centerContinuous" vertical="center"/>
      <protection hidden="1"/>
    </xf>
    <xf numFmtId="38" fontId="57" fillId="16" borderId="22" xfId="3" applyNumberFormat="1" applyFont="1" applyFill="1" applyBorder="1" applyAlignment="1">
      <alignment horizontal="right" vertical="center" shrinkToFit="1"/>
    </xf>
    <xf numFmtId="38" fontId="57" fillId="16" borderId="41" xfId="3" applyNumberFormat="1" applyFont="1" applyFill="1" applyBorder="1" applyAlignment="1">
      <alignment horizontal="right" vertical="center" shrinkToFit="1"/>
    </xf>
    <xf numFmtId="38" fontId="57" fillId="16" borderId="75"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7" fillId="16" borderId="60"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0" fontId="66" fillId="20" borderId="44" xfId="3" applyFont="1" applyFill="1" applyBorder="1" applyAlignment="1" applyProtection="1">
      <alignment horizontal="center"/>
      <protection hidden="1"/>
    </xf>
    <xf numFmtId="0" fontId="66" fillId="21" borderId="44" xfId="3" applyFont="1" applyFill="1" applyBorder="1" applyAlignment="1" applyProtection="1">
      <alignment horizontal="center"/>
      <protection hidden="1"/>
    </xf>
    <xf numFmtId="169" fontId="64" fillId="0" borderId="8" xfId="3" applyNumberFormat="1" applyFont="1" applyBorder="1" applyAlignment="1" applyProtection="1">
      <alignment horizontal="center" shrinkToFit="1"/>
      <protection locked="0"/>
    </xf>
    <xf numFmtId="1" fontId="64" fillId="0" borderId="8" xfId="3" applyNumberFormat="1" applyFont="1" applyBorder="1" applyAlignment="1" applyProtection="1">
      <alignment horizontal="center" shrinkToFit="1"/>
      <protection locked="0"/>
    </xf>
    <xf numFmtId="3" fontId="64" fillId="0" borderId="8" xfId="3" applyNumberFormat="1" applyFont="1" applyBorder="1" applyAlignment="1" applyProtection="1">
      <alignment horizontal="center" shrinkToFit="1"/>
      <protection locked="0"/>
    </xf>
    <xf numFmtId="169" fontId="64" fillId="0" borderId="22" xfId="3" applyNumberFormat="1" applyFont="1" applyBorder="1" applyAlignment="1" applyProtection="1">
      <alignment horizontal="center" shrinkToFit="1"/>
      <protection locked="0"/>
    </xf>
    <xf numFmtId="1" fontId="64" fillId="0" borderId="22" xfId="3" applyNumberFormat="1" applyFont="1" applyBorder="1" applyAlignment="1" applyProtection="1">
      <alignment horizontal="center" shrinkToFit="1"/>
      <protection locked="0"/>
    </xf>
    <xf numFmtId="3" fontId="64" fillId="0" borderId="22" xfId="3" applyNumberFormat="1" applyFont="1" applyBorder="1" applyAlignment="1" applyProtection="1">
      <alignment horizontal="center" shrinkToFit="1"/>
      <protection locked="0"/>
    </xf>
    <xf numFmtId="181" fontId="16" fillId="0" borderId="0" xfId="12" applyNumberFormat="1" applyFont="1" applyBorder="1" applyAlignment="1" applyProtection="1">
      <alignment vertical="center"/>
    </xf>
    <xf numFmtId="181" fontId="17" fillId="20" borderId="0" xfId="0" applyNumberFormat="1" applyFont="1" applyFill="1" applyAlignment="1">
      <alignment shrinkToFit="1"/>
    </xf>
    <xf numFmtId="181" fontId="0" fillId="20" borderId="0" xfId="0" applyNumberFormat="1" applyFill="1" applyAlignment="1">
      <alignment shrinkToFit="1"/>
    </xf>
    <xf numFmtId="0" fontId="36" fillId="0" borderId="0" xfId="0" applyFont="1" applyFill="1"/>
    <xf numFmtId="0" fontId="13" fillId="0" borderId="17" xfId="12" applyFont="1" applyBorder="1" applyAlignment="1" applyProtection="1">
      <alignment horizontal="left" vertical="center"/>
    </xf>
    <xf numFmtId="41" fontId="12" fillId="0" borderId="0" xfId="0" applyNumberFormat="1" applyFont="1" applyAlignment="1">
      <alignment horizontal="right"/>
    </xf>
    <xf numFmtId="41" fontId="12" fillId="0" borderId="0" xfId="0" applyNumberFormat="1" applyFont="1" applyFill="1" applyAlignment="1">
      <alignment horizontal="right"/>
    </xf>
    <xf numFmtId="0" fontId="13" fillId="0" borderId="123" xfId="12" applyFont="1" applyFill="1" applyBorder="1" applyAlignment="1" applyProtection="1">
      <alignment vertical="center"/>
      <protection hidden="1"/>
    </xf>
    <xf numFmtId="0" fontId="14" fillId="0" borderId="0" xfId="12" applyFont="1" applyFill="1" applyBorder="1" applyAlignment="1" applyProtection="1">
      <alignment horizontal="left" vertical="center"/>
      <protection hidden="1"/>
    </xf>
    <xf numFmtId="0" fontId="13" fillId="0" borderId="0" xfId="12" applyFont="1" applyFill="1" applyBorder="1" applyAlignment="1" applyProtection="1">
      <alignment vertical="center"/>
    </xf>
    <xf numFmtId="0" fontId="64" fillId="0" borderId="0" xfId="0" applyFont="1" applyFill="1" applyAlignment="1" applyProtection="1">
      <alignment horizontal="left" vertical="center"/>
      <protection hidden="1"/>
    </xf>
    <xf numFmtId="0" fontId="59" fillId="0" borderId="0" xfId="0" applyFont="1" applyFill="1" applyBorder="1" applyAlignment="1" applyProtection="1">
      <alignment vertical="center"/>
    </xf>
    <xf numFmtId="0" fontId="57" fillId="0" borderId="0" xfId="0" applyFont="1" applyFill="1" applyBorder="1" applyAlignment="1" applyProtection="1">
      <alignment horizontal="left" vertical="top"/>
    </xf>
    <xf numFmtId="0" fontId="59" fillId="0" borderId="0" xfId="0" applyFont="1" applyFill="1" applyBorder="1" applyAlignment="1">
      <alignment horizontal="left" vertical="top"/>
    </xf>
    <xf numFmtId="0" fontId="62" fillId="0" borderId="0" xfId="0" applyFont="1" applyFill="1" applyBorder="1" applyAlignment="1" applyProtection="1">
      <alignment vertical="center"/>
    </xf>
    <xf numFmtId="0" fontId="67" fillId="0" borderId="0" xfId="0" applyFont="1" applyFill="1" applyBorder="1" applyAlignment="1" applyProtection="1">
      <alignment horizontal="right"/>
      <protection hidden="1"/>
    </xf>
    <xf numFmtId="0" fontId="64" fillId="0" borderId="0" xfId="0" applyFont="1" applyFill="1" applyAlignment="1" applyProtection="1">
      <alignment vertical="center"/>
    </xf>
    <xf numFmtId="0" fontId="66" fillId="0" borderId="20" xfId="0" applyFont="1" applyFill="1" applyBorder="1" applyAlignment="1" applyProtection="1">
      <alignment horizontal="left" vertical="center" indent="2"/>
    </xf>
    <xf numFmtId="0" fontId="66" fillId="0" borderId="2" xfId="0" applyNumberFormat="1" applyFont="1" applyFill="1" applyBorder="1" applyAlignment="1" applyProtection="1">
      <alignment horizontal="center" vertical="center" wrapText="1"/>
      <protection hidden="1"/>
    </xf>
    <xf numFmtId="0" fontId="59" fillId="0" borderId="0" xfId="0" applyFont="1" applyFill="1" applyProtection="1"/>
    <xf numFmtId="0" fontId="56" fillId="0" borderId="8" xfId="0" applyFont="1" applyFill="1" applyBorder="1" applyAlignment="1" applyProtection="1">
      <alignment horizontal="center" vertical="center" wrapText="1"/>
      <protection hidden="1"/>
    </xf>
    <xf numFmtId="0" fontId="66" fillId="0" borderId="0" xfId="10" applyFont="1" applyFill="1" applyAlignment="1" applyProtection="1">
      <alignment vertical="center"/>
      <protection hidden="1"/>
    </xf>
    <xf numFmtId="0" fontId="66" fillId="0" borderId="0" xfId="11" applyFont="1" applyFill="1" applyAlignment="1">
      <alignment vertical="center"/>
    </xf>
    <xf numFmtId="0" fontId="66" fillId="0" borderId="0" xfId="11" applyFont="1" applyFill="1" applyAlignment="1">
      <alignment horizontal="right" vertical="center"/>
    </xf>
    <xf numFmtId="0" fontId="66" fillId="0" borderId="0" xfId="0" applyFont="1" applyFill="1" applyBorder="1" applyAlignment="1" applyProtection="1">
      <alignment horizontal="left" vertical="center"/>
      <protection hidden="1"/>
    </xf>
    <xf numFmtId="0" fontId="66" fillId="0" borderId="0" xfId="10" applyFont="1" applyFill="1" applyAlignment="1">
      <alignment vertical="center"/>
    </xf>
    <xf numFmtId="0" fontId="57" fillId="0" borderId="0" xfId="0" applyFont="1" applyFill="1"/>
    <xf numFmtId="0" fontId="105" fillId="0" borderId="0" xfId="18" applyFont="1" applyFill="1"/>
    <xf numFmtId="0" fontId="141" fillId="0" borderId="0" xfId="18" applyFont="1"/>
    <xf numFmtId="0" fontId="105" fillId="0" borderId="0" xfId="18" applyFont="1" applyProtection="1"/>
    <xf numFmtId="0" fontId="59" fillId="0" borderId="16" xfId="3" applyNumberFormat="1" applyFont="1" applyFill="1" applyBorder="1" applyAlignment="1" applyProtection="1">
      <alignment horizontal="centerContinuous" vertical="center"/>
      <protection hidden="1"/>
    </xf>
    <xf numFmtId="0" fontId="59" fillId="0" borderId="10" xfId="3" applyNumberFormat="1" applyFont="1" applyFill="1" applyBorder="1" applyAlignment="1" applyProtection="1">
      <alignment horizontal="centerContinuous" vertical="center"/>
      <protection hidden="1"/>
    </xf>
    <xf numFmtId="0" fontId="7" fillId="0" borderId="0" xfId="19" applyFont="1" applyAlignment="1">
      <alignment vertical="center"/>
    </xf>
    <xf numFmtId="182" fontId="7" fillId="0" borderId="0" xfId="19" applyNumberFormat="1" applyAlignment="1">
      <alignment vertical="center"/>
    </xf>
    <xf numFmtId="0" fontId="7" fillId="0" borderId="0" xfId="19" applyAlignment="1">
      <alignment vertical="center"/>
    </xf>
    <xf numFmtId="0" fontId="7" fillId="0" borderId="0" xfId="19"/>
    <xf numFmtId="0" fontId="7" fillId="0" borderId="0" xfId="19" applyAlignment="1">
      <alignment horizontal="center" vertical="center" wrapText="1"/>
    </xf>
    <xf numFmtId="182" fontId="7" fillId="0" borderId="0" xfId="19" applyNumberFormat="1" applyAlignment="1">
      <alignment horizontal="center" vertical="center" wrapText="1"/>
    </xf>
    <xf numFmtId="0" fontId="7" fillId="0" borderId="0" xfId="19" applyAlignment="1">
      <alignment horizontal="center" vertical="top" wrapText="1"/>
    </xf>
    <xf numFmtId="182" fontId="7" fillId="0" borderId="0" xfId="19" applyNumberFormat="1" applyAlignment="1">
      <alignment horizontal="center" vertical="top" wrapText="1"/>
    </xf>
    <xf numFmtId="0" fontId="101" fillId="0" borderId="138" xfId="19" applyFont="1" applyBorder="1" applyAlignment="1">
      <alignment horizontal="left" vertical="top"/>
    </xf>
    <xf numFmtId="182" fontId="128" fillId="0" borderId="139" xfId="19" applyNumberFormat="1" applyFont="1" applyBorder="1" applyAlignment="1">
      <alignment horizontal="center" vertical="top"/>
    </xf>
    <xf numFmtId="0" fontId="128" fillId="0" borderId="139" xfId="19" applyFont="1" applyBorder="1" applyAlignment="1">
      <alignment horizontal="center" vertical="top"/>
    </xf>
    <xf numFmtId="0" fontId="128" fillId="0" borderId="140" xfId="19" applyFont="1" applyBorder="1" applyAlignment="1">
      <alignment horizontal="center" vertical="top"/>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182" fontId="129" fillId="0" borderId="0" xfId="19" applyNumberFormat="1"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127" fillId="22" borderId="154" xfId="19" applyFont="1" applyFill="1" applyBorder="1" applyAlignment="1">
      <alignment horizontal="center" vertical="center" wrapText="1"/>
    </xf>
    <xf numFmtId="182" fontId="127" fillId="22" borderId="154" xfId="19" applyNumberFormat="1" applyFont="1" applyFill="1" applyBorder="1" applyAlignment="1">
      <alignment horizontal="center" vertical="center" wrapText="1"/>
    </xf>
    <xf numFmtId="38" fontId="127" fillId="22" borderId="154" xfId="19" applyNumberFormat="1" applyFont="1" applyFill="1" applyBorder="1" applyAlignment="1">
      <alignment horizontal="center" vertical="center" wrapText="1"/>
    </xf>
    <xf numFmtId="0" fontId="129" fillId="20" borderId="155" xfId="19" applyFont="1" applyFill="1" applyBorder="1" applyAlignment="1" applyProtection="1">
      <alignment horizontal="left" vertical="top" wrapText="1"/>
    </xf>
    <xf numFmtId="0" fontId="129" fillId="20" borderId="155" xfId="19" applyFont="1" applyFill="1" applyBorder="1" applyAlignment="1" applyProtection="1">
      <alignment vertical="top"/>
    </xf>
    <xf numFmtId="38" fontId="129" fillId="20" borderId="155" xfId="19" applyNumberFormat="1" applyFont="1" applyFill="1" applyBorder="1" applyAlignment="1" applyProtection="1">
      <alignment horizontal="right" vertical="top"/>
    </xf>
    <xf numFmtId="38" fontId="129" fillId="20" borderId="155" xfId="19" applyNumberFormat="1" applyFont="1" applyFill="1" applyBorder="1" applyAlignment="1" applyProtection="1">
      <alignment vertical="top"/>
    </xf>
    <xf numFmtId="0" fontId="7" fillId="0" borderId="155" xfId="19" applyFont="1" applyBorder="1" applyAlignment="1" applyProtection="1">
      <alignment horizontal="left" vertical="top" wrapText="1"/>
      <protection locked="0"/>
    </xf>
    <xf numFmtId="0" fontId="7" fillId="0" borderId="155" xfId="19" applyFont="1" applyBorder="1" applyAlignment="1" applyProtection="1">
      <alignment vertical="top"/>
      <protection locked="0"/>
    </xf>
    <xf numFmtId="38" fontId="7" fillId="0" borderId="155" xfId="19" applyNumberFormat="1" applyBorder="1" applyAlignment="1" applyProtection="1">
      <alignment horizontal="right" vertical="top"/>
      <protection locked="0"/>
    </xf>
    <xf numFmtId="0" fontId="7" fillId="0" borderId="0" xfId="19" quotePrefix="1" applyNumberFormat="1" applyFont="1"/>
    <xf numFmtId="0" fontId="7" fillId="0" borderId="155" xfId="19" applyBorder="1" applyAlignment="1" applyProtection="1">
      <alignment horizontal="left" vertical="top" wrapText="1"/>
      <protection locked="0"/>
    </xf>
    <xf numFmtId="0" fontId="7" fillId="0" borderId="155" xfId="19" applyBorder="1" applyAlignment="1" applyProtection="1">
      <alignment vertical="top"/>
      <protection locked="0"/>
    </xf>
    <xf numFmtId="0" fontId="7" fillId="16" borderId="156" xfId="19" applyFill="1" applyBorder="1" applyAlignment="1" applyProtection="1">
      <alignment horizontal="left" vertical="top" wrapText="1"/>
    </xf>
    <xf numFmtId="0" fontId="7" fillId="16" borderId="156" xfId="19" applyFill="1" applyBorder="1" applyAlignment="1" applyProtection="1">
      <alignment vertical="top"/>
    </xf>
    <xf numFmtId="38" fontId="7" fillId="16" borderId="156" xfId="19" applyNumberFormat="1" applyFill="1" applyBorder="1" applyAlignment="1" applyProtection="1">
      <alignment horizontal="right" vertical="top"/>
    </xf>
    <xf numFmtId="38" fontId="7" fillId="16" borderId="156" xfId="19" applyNumberFormat="1" applyFont="1" applyFill="1" applyBorder="1" applyAlignment="1" applyProtection="1">
      <alignment horizontal="right" vertical="top"/>
    </xf>
    <xf numFmtId="38" fontId="7" fillId="16" borderId="156" xfId="19" applyNumberFormat="1" applyFill="1" applyBorder="1" applyAlignment="1" applyProtection="1">
      <alignment vertical="top"/>
    </xf>
    <xf numFmtId="0" fontId="7" fillId="0" borderId="0" xfId="19" applyAlignment="1">
      <alignment horizontal="left" vertical="top" wrapText="1"/>
    </xf>
    <xf numFmtId="182" fontId="7" fillId="0" borderId="0" xfId="19" applyNumberFormat="1" applyAlignment="1">
      <alignment vertical="top"/>
    </xf>
    <xf numFmtId="0" fontId="7" fillId="0" borderId="0" xfId="19" applyAlignment="1">
      <alignment vertical="top"/>
    </xf>
    <xf numFmtId="38" fontId="7" fillId="0" borderId="0" xfId="19" applyNumberFormat="1" applyAlignment="1">
      <alignment horizontal="right" vertical="top"/>
    </xf>
    <xf numFmtId="183" fontId="7" fillId="0" borderId="0" xfId="19" applyNumberFormat="1"/>
    <xf numFmtId="0" fontId="140" fillId="0" borderId="0" xfId="0" applyFont="1"/>
    <xf numFmtId="0" fontId="87" fillId="0" borderId="2" xfId="0" applyFont="1" applyBorder="1" applyAlignment="1">
      <alignment horizontal="left" wrapText="1"/>
    </xf>
    <xf numFmtId="0" fontId="142" fillId="0" borderId="96" xfId="19" applyFont="1" applyBorder="1" applyAlignment="1">
      <alignment vertical="top"/>
    </xf>
    <xf numFmtId="0" fontId="142" fillId="0" borderId="0" xfId="19" applyFont="1" applyBorder="1" applyAlignment="1">
      <alignment vertical="top"/>
    </xf>
    <xf numFmtId="41" fontId="51" fillId="11" borderId="110" xfId="0" applyNumberFormat="1" applyFont="1" applyFill="1" applyBorder="1" applyAlignment="1" applyProtection="1">
      <alignment horizontal="right" shrinkToFit="1"/>
      <protection locked="0"/>
    </xf>
    <xf numFmtId="41" fontId="51" fillId="10" borderId="0" xfId="0" applyNumberFormat="1" applyFont="1" applyFill="1" applyBorder="1" applyAlignment="1">
      <alignment horizontal="right" shrinkToFit="1"/>
    </xf>
    <xf numFmtId="38" fontId="7" fillId="16" borderId="155" xfId="19" applyNumberFormat="1" applyFill="1" applyBorder="1" applyAlignment="1" applyProtection="1">
      <alignment horizontal="right" vertical="top"/>
    </xf>
    <xf numFmtId="184" fontId="129" fillId="20" borderId="155" xfId="19" applyNumberFormat="1" applyFont="1" applyFill="1" applyBorder="1" applyAlignment="1" applyProtection="1">
      <alignment horizontal="center" vertical="top"/>
    </xf>
    <xf numFmtId="184" fontId="7" fillId="0" borderId="155" xfId="19" applyNumberFormat="1" applyFont="1" applyBorder="1" applyAlignment="1" applyProtection="1">
      <alignment horizontal="center" vertical="top"/>
      <protection locked="0"/>
    </xf>
    <xf numFmtId="184" fontId="7" fillId="0" borderId="155" xfId="19" applyNumberFormat="1" applyFont="1" applyBorder="1" applyAlignment="1" applyProtection="1">
      <alignment horizontal="center" vertical="center"/>
      <protection locked="0"/>
    </xf>
    <xf numFmtId="184" fontId="7" fillId="0" borderId="155" xfId="19" applyNumberFormat="1" applyBorder="1" applyAlignment="1" applyProtection="1">
      <alignment horizontal="center" vertical="center"/>
      <protection locked="0"/>
    </xf>
    <xf numFmtId="184" fontId="7" fillId="16" borderId="156" xfId="19" applyNumberFormat="1" applyFill="1" applyBorder="1" applyAlignment="1" applyProtection="1">
      <alignment vertical="top"/>
    </xf>
    <xf numFmtId="0" fontId="59" fillId="0" borderId="126" xfId="3" applyNumberFormat="1" applyFont="1" applyBorder="1" applyAlignment="1">
      <alignment vertical="center"/>
    </xf>
    <xf numFmtId="0" fontId="6" fillId="0" borderId="0" xfId="19" applyFont="1" applyAlignment="1">
      <alignment horizontal="left" vertical="center"/>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0" fontId="66" fillId="0" borderId="44" xfId="3" applyFont="1" applyFill="1" applyBorder="1" applyAlignment="1" applyProtection="1">
      <alignment horizontal="center"/>
      <protection hidden="1"/>
    </xf>
    <xf numFmtId="0" fontId="59" fillId="0" borderId="0" xfId="3" applyFont="1" applyFill="1" applyAlignment="1" applyProtection="1">
      <alignment horizontal="center"/>
    </xf>
    <xf numFmtId="0" fontId="66" fillId="0" borderId="142" xfId="3" applyFont="1" applyFill="1" applyBorder="1" applyAlignment="1" applyProtection="1">
      <alignment horizontal="centerContinuous"/>
    </xf>
    <xf numFmtId="169" fontId="66" fillId="0" borderId="0" xfId="3" applyNumberFormat="1" applyFont="1" applyFill="1" applyProtection="1">
      <protection hidden="1"/>
    </xf>
    <xf numFmtId="0" fontId="59" fillId="0" borderId="0" xfId="3" applyFont="1" applyFill="1" applyProtection="1">
      <protection hidden="1"/>
    </xf>
    <xf numFmtId="0" fontId="67" fillId="0" borderId="0" xfId="3" applyFont="1" applyFill="1" applyBorder="1" applyAlignment="1" applyProtection="1">
      <alignment horizontal="right"/>
      <protection hidden="1"/>
    </xf>
    <xf numFmtId="0" fontId="67" fillId="0" borderId="0" xfId="3" applyNumberFormat="1" applyFont="1" applyBorder="1" applyAlignment="1">
      <alignment horizontal="left" vertical="center"/>
    </xf>
    <xf numFmtId="0" fontId="102" fillId="0" borderId="0" xfId="20" applyFont="1"/>
    <xf numFmtId="0" fontId="59" fillId="0" borderId="17" xfId="3" applyNumberFormat="1" applyFont="1" applyBorder="1" applyAlignment="1">
      <alignment horizontal="center" vertical="center"/>
    </xf>
    <xf numFmtId="0" fontId="59" fillId="0" borderId="0"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9" fillId="22" borderId="126" xfId="3" applyNumberFormat="1" applyFont="1" applyFill="1" applyBorder="1" applyAlignment="1">
      <alignment vertical="center"/>
    </xf>
    <xf numFmtId="0" fontId="59" fillId="22" borderId="124" xfId="3" applyNumberFormat="1" applyFont="1" applyFill="1" applyBorder="1" applyAlignment="1">
      <alignment vertical="center"/>
    </xf>
    <xf numFmtId="0" fontId="59" fillId="0" borderId="123" xfId="3" applyNumberFormat="1" applyFont="1" applyBorder="1" applyAlignment="1">
      <alignment vertical="center"/>
    </xf>
    <xf numFmtId="0" fontId="67" fillId="0" borderId="12" xfId="3" applyNumberFormat="1" applyFont="1" applyFill="1" applyBorder="1" applyAlignment="1" applyProtection="1">
      <alignment horizontal="centerContinuous" vertical="center"/>
      <protection hidden="1"/>
    </xf>
    <xf numFmtId="0" fontId="67" fillId="0" borderId="3" xfId="3" applyNumberFormat="1" applyFont="1" applyFill="1" applyBorder="1" applyAlignment="1" applyProtection="1">
      <alignment horizontal="centerContinuous" vertical="center"/>
      <protection hidden="1"/>
    </xf>
    <xf numFmtId="0" fontId="59" fillId="0" borderId="0" xfId="3" applyNumberFormat="1" applyFont="1" applyFill="1" applyBorder="1" applyAlignment="1">
      <alignment vertical="center"/>
    </xf>
    <xf numFmtId="0" fontId="59" fillId="0" borderId="0" xfId="3" applyNumberFormat="1" applyFont="1" applyFill="1" applyBorder="1" applyAlignment="1">
      <alignment horizontal="center" vertical="center"/>
    </xf>
    <xf numFmtId="0" fontId="59" fillId="0" borderId="26" xfId="3" applyNumberFormat="1" applyFont="1" applyFill="1" applyBorder="1" applyAlignment="1">
      <alignment vertical="center"/>
    </xf>
    <xf numFmtId="0" fontId="67" fillId="0" borderId="10" xfId="3" applyNumberFormat="1" applyFont="1" applyBorder="1" applyAlignment="1">
      <alignment horizontal="center" vertical="center"/>
    </xf>
    <xf numFmtId="0" fontId="67" fillId="0" borderId="3" xfId="3" applyNumberFormat="1" applyFont="1" applyBorder="1" applyAlignment="1">
      <alignment horizontal="center" vertical="center"/>
    </xf>
    <xf numFmtId="0" fontId="67" fillId="0" borderId="3" xfId="20" quotePrefix="1" applyNumberFormat="1" applyFont="1" applyBorder="1" applyAlignment="1">
      <alignment horizontal="center" vertical="center"/>
    </xf>
    <xf numFmtId="0" fontId="59" fillId="0" borderId="3" xfId="3" applyNumberFormat="1" applyFont="1" applyBorder="1" applyAlignment="1">
      <alignment horizontal="center" vertical="center"/>
    </xf>
    <xf numFmtId="0" fontId="67" fillId="0" borderId="125" xfId="3" applyNumberFormat="1" applyFont="1" applyBorder="1" applyAlignment="1">
      <alignment horizontal="center" vertical="center" wrapText="1"/>
    </xf>
    <xf numFmtId="0" fontId="67" fillId="0" borderId="125" xfId="20" applyNumberFormat="1" applyFont="1" applyBorder="1" applyAlignment="1">
      <alignment horizontal="center" vertical="center" wrapText="1"/>
    </xf>
    <xf numFmtId="0" fontId="67" fillId="0" borderId="125" xfId="3" applyNumberFormat="1" applyFont="1" applyBorder="1" applyAlignment="1">
      <alignment horizontal="center" vertical="center"/>
    </xf>
    <xf numFmtId="0" fontId="59" fillId="0" borderId="21"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9" fillId="15" borderId="2" xfId="3" applyNumberFormat="1" applyFont="1" applyFill="1" applyBorder="1" applyAlignment="1">
      <alignment vertical="center" shrinkToFit="1"/>
    </xf>
    <xf numFmtId="38" fontId="59" fillId="0" borderId="2" xfId="3" applyNumberFormat="1" applyFont="1" applyBorder="1" applyAlignment="1" applyProtection="1">
      <alignment vertical="center" shrinkToFit="1"/>
      <protection locked="0"/>
    </xf>
    <xf numFmtId="38" fontId="59" fillId="16" borderId="2" xfId="3" applyNumberFormat="1" applyFont="1" applyFill="1" applyBorder="1" applyAlignment="1">
      <alignment vertical="center" shrinkToFit="1"/>
    </xf>
    <xf numFmtId="0" fontId="59" fillId="0" borderId="2" xfId="3" applyNumberFormat="1" applyFont="1" applyBorder="1" applyAlignment="1">
      <alignment horizontal="left" vertical="top" indent="1"/>
    </xf>
    <xf numFmtId="38" fontId="59" fillId="0" borderId="2" xfId="3" applyNumberFormat="1" applyFont="1" applyFill="1" applyBorder="1" applyAlignment="1" applyProtection="1">
      <alignment vertical="center" shrinkToFit="1"/>
      <protection locked="0"/>
    </xf>
    <xf numFmtId="38" fontId="59" fillId="16" borderId="2" xfId="3" applyNumberFormat="1" applyFont="1" applyFill="1" applyBorder="1" applyAlignment="1" applyProtection="1">
      <alignment vertical="center" shrinkToFit="1"/>
    </xf>
    <xf numFmtId="0" fontId="67"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38" fontId="59" fillId="16" borderId="27" xfId="3" applyNumberFormat="1" applyFont="1" applyFill="1" applyBorder="1" applyAlignment="1">
      <alignment vertical="center" shrinkToFit="1"/>
    </xf>
    <xf numFmtId="0" fontId="59" fillId="15" borderId="125" xfId="3" applyNumberFormat="1" applyFont="1" applyFill="1" applyBorder="1" applyAlignment="1">
      <alignment vertical="center" shrinkToFit="1"/>
    </xf>
    <xf numFmtId="9" fontId="59" fillId="16" borderId="125" xfId="3" applyNumberFormat="1" applyFont="1" applyFill="1" applyBorder="1" applyAlignment="1">
      <alignment horizontal="center" vertical="center" shrinkToFit="1"/>
    </xf>
    <xf numFmtId="0" fontId="59" fillId="0" borderId="0" xfId="3" applyNumberFormat="1" applyFont="1" applyBorder="1" applyAlignment="1">
      <alignment horizontal="center" wrapText="1"/>
    </xf>
    <xf numFmtId="0" fontId="82" fillId="0" borderId="0" xfId="3" applyFont="1" applyBorder="1" applyAlignment="1">
      <alignment horizontal="center" vertical="center" wrapText="1"/>
    </xf>
    <xf numFmtId="0" fontId="59" fillId="0" borderId="0" xfId="3" applyNumberFormat="1" applyFont="1" applyFill="1" applyBorder="1" applyAlignment="1">
      <alignment vertical="center" shrinkToFit="1"/>
    </xf>
    <xf numFmtId="9" fontId="59" fillId="0" borderId="0" xfId="3" applyNumberFormat="1" applyFont="1" applyFill="1" applyBorder="1" applyAlignment="1">
      <alignment horizontal="center" vertical="center" shrinkToFit="1"/>
    </xf>
    <xf numFmtId="0" fontId="82" fillId="0" borderId="131" xfId="3" applyNumberFormat="1" applyFont="1" applyBorder="1" applyAlignment="1">
      <alignment horizontal="center" vertical="center"/>
    </xf>
    <xf numFmtId="0" fontId="82" fillId="0" borderId="0" xfId="3" applyNumberFormat="1" applyFont="1" applyBorder="1" applyAlignment="1">
      <alignment vertical="center" wrapText="1"/>
    </xf>
    <xf numFmtId="0" fontId="82" fillId="0" borderId="0" xfId="3" applyNumberFormat="1" applyFont="1" applyBorder="1" applyAlignment="1"/>
    <xf numFmtId="0" fontId="82" fillId="0" borderId="131" xfId="3" applyNumberFormat="1" applyFont="1" applyBorder="1" applyAlignment="1">
      <alignment horizontal="center"/>
    </xf>
    <xf numFmtId="0" fontId="82" fillId="0" borderId="0" xfId="3" applyNumberFormat="1" applyFont="1" applyBorder="1" applyAlignment="1">
      <alignment horizontal="centerContinuous" vertical="center"/>
    </xf>
    <xf numFmtId="0" fontId="91" fillId="0" borderId="0" xfId="2" applyNumberFormat="1" applyFont="1" applyBorder="1" applyAlignment="1" applyProtection="1">
      <alignment horizontal="centerContinuous" vertical="center"/>
    </xf>
    <xf numFmtId="0" fontId="59" fillId="0" borderId="0" xfId="3" quotePrefix="1" applyNumberFormat="1" applyFont="1" applyFill="1" applyBorder="1" applyAlignment="1" applyProtection="1">
      <alignment horizontal="left" vertical="top" wrapText="1" indent="2"/>
      <protection hidden="1"/>
    </xf>
    <xf numFmtId="0" fontId="103" fillId="0" borderId="77" xfId="20" applyFont="1" applyBorder="1" applyAlignment="1">
      <alignment horizontal="center" wrapText="1"/>
    </xf>
    <xf numFmtId="0" fontId="103" fillId="0" borderId="167" xfId="20" applyFont="1" applyBorder="1" applyAlignment="1">
      <alignment horizontal="center" wrapText="1"/>
    </xf>
    <xf numFmtId="0" fontId="59" fillId="0" borderId="169" xfId="20" applyFont="1" applyBorder="1" applyAlignment="1">
      <alignment horizontal="center"/>
    </xf>
    <xf numFmtId="0" fontId="59" fillId="0" borderId="174" xfId="20" applyFont="1" applyBorder="1" applyAlignment="1">
      <alignment horizontal="center"/>
    </xf>
    <xf numFmtId="38" fontId="59" fillId="16" borderId="2" xfId="3" applyNumberFormat="1" applyFont="1" applyFill="1" applyBorder="1" applyAlignment="1" applyProtection="1">
      <alignment vertical="center" shrinkToFit="1"/>
      <protection locked="0"/>
    </xf>
    <xf numFmtId="0" fontId="59" fillId="0" borderId="178" xfId="20" applyFont="1" applyBorder="1" applyAlignment="1">
      <alignment horizontal="center"/>
    </xf>
    <xf numFmtId="0" fontId="59" fillId="26" borderId="77" xfId="20" applyFont="1" applyFill="1" applyBorder="1"/>
    <xf numFmtId="0" fontId="59" fillId="26" borderId="77" xfId="20" applyFont="1" applyFill="1" applyBorder="1" applyAlignment="1">
      <alignment horizontal="center"/>
    </xf>
    <xf numFmtId="38" fontId="59" fillId="26" borderId="0" xfId="20" applyNumberFormat="1" applyFont="1" applyFill="1" applyBorder="1" applyAlignment="1">
      <alignment horizontal="center"/>
    </xf>
    <xf numFmtId="38" fontId="67" fillId="26" borderId="77" xfId="20" applyNumberFormat="1" applyFont="1" applyFill="1" applyBorder="1" applyAlignment="1">
      <alignment horizontal="center"/>
    </xf>
    <xf numFmtId="38" fontId="67" fillId="16" borderId="77" xfId="20" applyNumberFormat="1" applyFont="1" applyFill="1" applyBorder="1" applyAlignment="1">
      <alignment horizontal="center"/>
    </xf>
    <xf numFmtId="38" fontId="67" fillId="16" borderId="172" xfId="20" applyNumberFormat="1" applyFont="1" applyFill="1" applyBorder="1" applyAlignment="1">
      <alignment horizontal="center" wrapText="1"/>
    </xf>
    <xf numFmtId="38" fontId="67" fillId="16" borderId="170" xfId="20" applyNumberFormat="1" applyFont="1" applyFill="1" applyBorder="1" applyAlignment="1">
      <alignment horizontal="center"/>
    </xf>
    <xf numFmtId="38" fontId="67" fillId="16" borderId="175" xfId="20" applyNumberFormat="1" applyFont="1" applyFill="1" applyBorder="1" applyAlignment="1">
      <alignment horizontal="center"/>
    </xf>
    <xf numFmtId="38" fontId="67" fillId="16" borderId="179" xfId="20" applyNumberFormat="1" applyFont="1" applyFill="1" applyBorder="1" applyAlignment="1">
      <alignment horizontal="center"/>
    </xf>
    <xf numFmtId="0" fontId="59" fillId="0" borderId="181" xfId="3" applyNumberFormat="1" applyFont="1" applyBorder="1" applyAlignment="1">
      <alignment vertical="center"/>
    </xf>
    <xf numFmtId="0" fontId="59" fillId="0" borderId="164" xfId="3" applyNumberFormat="1" applyFont="1" applyBorder="1" applyAlignment="1">
      <alignment vertical="center"/>
    </xf>
    <xf numFmtId="0" fontId="59" fillId="0" borderId="165" xfId="3" applyNumberFormat="1" applyFont="1" applyBorder="1" applyAlignment="1">
      <alignment vertical="center"/>
    </xf>
    <xf numFmtId="0" fontId="59" fillId="0" borderId="182" xfId="20" applyFont="1" applyBorder="1"/>
    <xf numFmtId="0" fontId="59" fillId="0" borderId="0" xfId="20" applyFont="1" applyBorder="1"/>
    <xf numFmtId="0" fontId="59" fillId="0" borderId="183" xfId="20" applyFont="1" applyBorder="1"/>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38" fontId="67" fillId="16" borderId="167" xfId="20" applyNumberFormat="1" applyFont="1" applyFill="1" applyBorder="1" applyAlignment="1">
      <alignment horizontal="center"/>
    </xf>
    <xf numFmtId="0" fontId="102" fillId="0" borderId="182" xfId="20" applyFont="1" applyBorder="1"/>
    <xf numFmtId="0" fontId="102" fillId="0" borderId="0" xfId="20" applyFont="1" applyBorder="1"/>
    <xf numFmtId="0" fontId="102" fillId="0" borderId="183" xfId="20" applyFont="1" applyBorder="1"/>
    <xf numFmtId="0" fontId="102" fillId="0" borderId="187" xfId="20" applyFont="1" applyBorder="1"/>
    <xf numFmtId="0" fontId="102" fillId="0" borderId="188" xfId="20" applyFont="1" applyBorder="1"/>
    <xf numFmtId="0" fontId="102" fillId="0" borderId="189" xfId="20" applyFont="1" applyBorder="1"/>
    <xf numFmtId="0" fontId="67" fillId="0" borderId="164" xfId="3" applyNumberFormat="1" applyFont="1" applyBorder="1" applyAlignment="1">
      <alignment horizontal="center" vertical="center"/>
    </xf>
    <xf numFmtId="0" fontId="67" fillId="0" borderId="164" xfId="3" applyNumberFormat="1" applyFont="1" applyBorder="1" applyAlignment="1">
      <alignment horizontal="left" vertical="center"/>
    </xf>
    <xf numFmtId="0" fontId="59" fillId="0" borderId="182" xfId="3" applyNumberFormat="1" applyFont="1" applyBorder="1" applyAlignment="1">
      <alignment vertical="center"/>
    </xf>
    <xf numFmtId="0" fontId="59" fillId="0" borderId="183" xfId="3" applyNumberFormat="1" applyFont="1" applyBorder="1" applyAlignment="1">
      <alignment vertical="center"/>
    </xf>
    <xf numFmtId="0" fontId="67" fillId="22" borderId="190" xfId="3" applyNumberFormat="1" applyFont="1" applyFill="1" applyBorder="1" applyAlignment="1">
      <alignment horizontal="left"/>
    </xf>
    <xf numFmtId="0" fontId="59" fillId="22" borderId="191" xfId="3" applyNumberFormat="1" applyFont="1" applyFill="1" applyBorder="1" applyAlignment="1">
      <alignment vertical="center"/>
    </xf>
    <xf numFmtId="0" fontId="59" fillId="0" borderId="190" xfId="3" applyNumberFormat="1" applyFont="1" applyBorder="1" applyAlignment="1">
      <alignment vertical="center"/>
    </xf>
    <xf numFmtId="0" fontId="59" fillId="0" borderId="182" xfId="3" applyNumberFormat="1" applyFont="1" applyFill="1" applyBorder="1" applyAlignment="1">
      <alignment vertical="center"/>
    </xf>
    <xf numFmtId="164" fontId="67" fillId="0" borderId="192" xfId="3" applyNumberFormat="1" applyFont="1" applyBorder="1" applyAlignment="1">
      <alignment horizontal="right" vertical="center"/>
    </xf>
    <xf numFmtId="164" fontId="67" fillId="0" borderId="192" xfId="3" applyNumberFormat="1" applyFont="1" applyBorder="1" applyAlignment="1">
      <alignment vertical="top"/>
    </xf>
    <xf numFmtId="0" fontId="59" fillId="0" borderId="182" xfId="3" applyNumberFormat="1" applyFont="1" applyBorder="1" applyAlignment="1">
      <alignment horizontal="right" vertical="center"/>
    </xf>
    <xf numFmtId="0" fontId="59" fillId="0" borderId="0" xfId="3" applyNumberFormat="1" applyFont="1" applyBorder="1" applyAlignment="1"/>
    <xf numFmtId="0" fontId="59" fillId="0" borderId="0" xfId="3" applyNumberFormat="1" applyFont="1" applyBorder="1" applyAlignment="1">
      <alignment horizontal="right" vertical="center"/>
    </xf>
    <xf numFmtId="0" fontId="67" fillId="0" borderId="182" xfId="3" applyNumberFormat="1" applyFont="1" applyBorder="1" applyAlignment="1">
      <alignment vertical="center"/>
    </xf>
    <xf numFmtId="0" fontId="59" fillId="0" borderId="182" xfId="3" applyNumberFormat="1" applyFont="1" applyFill="1" applyBorder="1" applyAlignment="1" applyProtection="1">
      <alignment vertical="center"/>
      <protection hidden="1"/>
    </xf>
    <xf numFmtId="0" fontId="59" fillId="0" borderId="0" xfId="3" applyNumberFormat="1" applyFont="1" applyFill="1" applyBorder="1" applyAlignment="1" applyProtection="1">
      <alignment horizontal="right" vertical="center"/>
      <protection hidden="1"/>
    </xf>
    <xf numFmtId="0" fontId="59" fillId="0" borderId="0" xfId="3" applyNumberFormat="1" applyFont="1" applyFill="1" applyBorder="1" applyAlignment="1" applyProtection="1">
      <alignment vertical="center"/>
      <protection hidden="1"/>
    </xf>
    <xf numFmtId="0" fontId="82" fillId="0" borderId="182" xfId="3" applyNumberFormat="1" applyFont="1" applyBorder="1" applyAlignment="1">
      <alignment vertical="center"/>
    </xf>
    <xf numFmtId="0" fontId="67" fillId="0" borderId="0" xfId="3" applyNumberFormat="1" applyFont="1" applyBorder="1" applyAlignment="1">
      <alignment horizontal="right"/>
    </xf>
    <xf numFmtId="0" fontId="81" fillId="0" borderId="0" xfId="3" applyNumberFormat="1" applyFont="1" applyBorder="1" applyAlignment="1">
      <alignment vertical="center"/>
    </xf>
    <xf numFmtId="0" fontId="67" fillId="0" borderId="0" xfId="3" applyNumberFormat="1" applyFont="1" applyBorder="1" applyAlignment="1">
      <alignment vertical="center"/>
    </xf>
    <xf numFmtId="0" fontId="59" fillId="0" borderId="0" xfId="3" applyFont="1" applyFill="1" applyBorder="1" applyAlignment="1" applyProtection="1">
      <alignment horizontal="left" vertical="top" wrapText="1" indent="2"/>
      <protection hidden="1"/>
    </xf>
    <xf numFmtId="0" fontId="59" fillId="0" borderId="0" xfId="3" applyNumberFormat="1" applyFont="1" applyBorder="1" applyAlignment="1">
      <alignment horizontal="left" vertical="center" indent="2"/>
    </xf>
    <xf numFmtId="0" fontId="59" fillId="0" borderId="0" xfId="3" applyFont="1" applyBorder="1" applyAlignment="1">
      <alignment horizontal="left" wrapText="1" indent="2"/>
    </xf>
    <xf numFmtId="0" fontId="59" fillId="0" borderId="0" xfId="3" applyFont="1" applyBorder="1" applyAlignment="1">
      <alignment vertical="top" wrapText="1"/>
    </xf>
    <xf numFmtId="0" fontId="59" fillId="0" borderId="187" xfId="3" applyNumberFormat="1" applyFont="1" applyBorder="1" applyAlignment="1">
      <alignment vertical="center"/>
    </xf>
    <xf numFmtId="0" fontId="59" fillId="0" borderId="188" xfId="3" applyNumberFormat="1" applyFont="1" applyBorder="1" applyAlignment="1">
      <alignment vertical="center"/>
    </xf>
    <xf numFmtId="0" fontId="59" fillId="0" borderId="189" xfId="3" applyNumberFormat="1" applyFont="1" applyBorder="1" applyAlignment="1">
      <alignment vertical="center"/>
    </xf>
    <xf numFmtId="0" fontId="101" fillId="0" borderId="182" xfId="20" applyFont="1" applyBorder="1"/>
    <xf numFmtId="0" fontId="90" fillId="0" borderId="0" xfId="20" applyFont="1" applyBorder="1"/>
    <xf numFmtId="0" fontId="101" fillId="0" borderId="0" xfId="20" applyFont="1" applyBorder="1" applyAlignment="1">
      <alignment wrapText="1"/>
    </xf>
    <xf numFmtId="0" fontId="101" fillId="0" borderId="183" xfId="20" applyFont="1" applyBorder="1" applyAlignment="1">
      <alignment wrapText="1"/>
    </xf>
    <xf numFmtId="0" fontId="53" fillId="0" borderId="0" xfId="20" applyFont="1"/>
    <xf numFmtId="0" fontId="144" fillId="0" borderId="182" xfId="20" applyFont="1" applyBorder="1" applyAlignment="1"/>
    <xf numFmtId="38" fontId="59" fillId="0" borderId="171" xfId="20" applyNumberFormat="1" applyFont="1" applyBorder="1" applyAlignment="1" applyProtection="1">
      <alignment horizontal="center"/>
      <protection locked="0"/>
    </xf>
    <xf numFmtId="38" fontId="59" fillId="0" borderId="169" xfId="20" applyNumberFormat="1" applyFont="1" applyBorder="1" applyAlignment="1" applyProtection="1">
      <alignment horizontal="center"/>
      <protection locked="0"/>
    </xf>
    <xf numFmtId="38" fontId="59" fillId="0" borderId="176" xfId="20" applyNumberFormat="1" applyFont="1" applyBorder="1" applyAlignment="1" applyProtection="1">
      <alignment horizontal="center"/>
      <protection locked="0"/>
    </xf>
    <xf numFmtId="38" fontId="59" fillId="0" borderId="174" xfId="20" applyNumberFormat="1" applyFont="1" applyBorder="1" applyAlignment="1" applyProtection="1">
      <alignment horizontal="center"/>
      <protection locked="0"/>
    </xf>
    <xf numFmtId="38" fontId="59" fillId="0" borderId="180" xfId="20" applyNumberFormat="1" applyFont="1" applyBorder="1" applyAlignment="1" applyProtection="1">
      <alignment horizontal="center"/>
      <protection locked="0"/>
    </xf>
    <xf numFmtId="38" fontId="59" fillId="0" borderId="178" xfId="20" applyNumberFormat="1" applyFont="1" applyBorder="1" applyAlignment="1" applyProtection="1">
      <alignment horizontal="center"/>
      <protection locked="0"/>
    </xf>
    <xf numFmtId="0" fontId="56" fillId="0" borderId="0" xfId="3" applyFont="1" applyAlignment="1" applyProtection="1">
      <alignment horizontal="center" vertical="center"/>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16"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35" fillId="0" borderId="124" xfId="12" applyFont="1" applyBorder="1" applyAlignment="1" applyProtection="1">
      <alignment horizontal="center" vertical="center" wrapText="1"/>
    </xf>
    <xf numFmtId="0" fontId="16" fillId="0" borderId="20" xfId="12" applyFont="1" applyBorder="1" applyAlignment="1" applyProtection="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4"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6" fillId="0" borderId="16" xfId="12" applyNumberFormat="1" applyFont="1" applyFill="1" applyBorder="1" applyAlignment="1" applyProtection="1">
      <alignment horizontal="left" vertical="center" shrinkToFit="1"/>
      <protection hidden="1"/>
    </xf>
    <xf numFmtId="181" fontId="16" fillId="0" borderId="10" xfId="12" applyNumberFormat="1" applyFont="1" applyFill="1" applyBorder="1" applyAlignment="1" applyProtection="1">
      <alignment horizontal="left" vertical="center" shrinkToFit="1"/>
      <protection hidden="1"/>
    </xf>
    <xf numFmtId="181" fontId="16" fillId="0" borderId="0" xfId="12" applyNumberFormat="1" applyFont="1" applyFill="1" applyBorder="1" applyAlignment="1" applyProtection="1">
      <alignment horizontal="left" vertical="center" shrinkToFit="1"/>
      <protection hidden="1"/>
    </xf>
    <xf numFmtId="181" fontId="16" fillId="0" borderId="18" xfId="12" applyNumberFormat="1" applyFont="1" applyFill="1" applyBorder="1" applyAlignment="1" applyProtection="1">
      <alignment horizontal="left" vertical="center" shrinkToFit="1"/>
      <protection hidden="1"/>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3"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indent="1"/>
      <protection locked="0"/>
    </xf>
    <xf numFmtId="180" fontId="15" fillId="0" borderId="123"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56" fillId="0" borderId="0" xfId="0" applyFont="1" applyBorder="1" applyAlignment="1">
      <alignment horizontal="center" vertical="center"/>
    </xf>
    <xf numFmtId="0" fontId="56" fillId="0" borderId="0" xfId="0" applyFont="1" applyBorder="1" applyAlignment="1">
      <alignment horizontal="center"/>
    </xf>
    <xf numFmtId="0" fontId="35" fillId="0" borderId="0" xfId="2"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3"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6" fillId="0" borderId="132"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3"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80" fillId="11" borderId="118" xfId="0" applyFont="1" applyFill="1" applyBorder="1" applyAlignment="1">
      <alignment horizontal="center" vertical="center" shrinkToFit="1"/>
    </xf>
    <xf numFmtId="0" fontId="80" fillId="11" borderId="163" xfId="0" applyFont="1" applyFill="1" applyBorder="1" applyAlignment="1">
      <alignment horizontal="center" vertical="center" shrinkToFit="1"/>
    </xf>
    <xf numFmtId="0" fontId="64" fillId="13" borderId="117" xfId="0" applyFont="1" applyFill="1" applyBorder="1" applyAlignment="1" applyProtection="1">
      <alignment horizontal="center" vertical="center" shrinkToFit="1"/>
    </xf>
    <xf numFmtId="0" fontId="64" fillId="13" borderId="110" xfId="0" applyFont="1" applyFill="1" applyBorder="1" applyAlignment="1" applyProtection="1">
      <alignment horizontal="center" vertical="center" shrinkToFit="1"/>
    </xf>
    <xf numFmtId="0" fontId="64" fillId="13" borderId="103" xfId="0" applyFont="1" applyFill="1" applyBorder="1" applyAlignment="1" applyProtection="1">
      <alignment horizontal="center" vertical="center" shrinkToFit="1"/>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4"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protection hidden="1"/>
    </xf>
    <xf numFmtId="0" fontId="66" fillId="16" borderId="30" xfId="0" applyFont="1" applyFill="1" applyBorder="1" applyAlignment="1" applyProtection="1">
      <alignment horizontal="left" vertical="center" indent="2"/>
      <protection hidden="1"/>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4"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29"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4"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5" xfId="0" applyFont="1" applyBorder="1" applyAlignment="1" applyProtection="1">
      <alignment horizontal="left" vertical="center" wrapText="1" indent="1"/>
    </xf>
    <xf numFmtId="0" fontId="64" fillId="0" borderId="146"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Fill="1" applyBorder="1" applyAlignment="1" applyProtection="1">
      <alignment horizontal="left" vertical="center" wrapText="1"/>
      <protection hidden="1"/>
    </xf>
    <xf numFmtId="0" fontId="66" fillId="0" borderId="6" xfId="0" applyFont="1" applyFill="1" applyBorder="1" applyAlignment="1" applyProtection="1">
      <alignment horizontal="left" vertical="center" wrapText="1"/>
      <protection hidden="1"/>
    </xf>
    <xf numFmtId="0" fontId="59" fillId="0" borderId="6" xfId="0" applyFont="1" applyFill="1" applyBorder="1" applyAlignment="1" applyProtection="1">
      <alignment wrapText="1"/>
      <protection hidden="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protection hidden="1"/>
    </xf>
    <xf numFmtId="0" fontId="66" fillId="16" borderId="145" xfId="0" applyFont="1" applyFill="1" applyBorder="1" applyAlignment="1" applyProtection="1">
      <alignment horizontal="left" vertical="center" indent="1"/>
      <protection hidden="1"/>
    </xf>
    <xf numFmtId="0" fontId="66" fillId="3" borderId="145" xfId="0" applyFont="1" applyFill="1" applyBorder="1" applyAlignment="1" applyProtection="1">
      <alignment horizontal="left" vertical="center"/>
    </xf>
    <xf numFmtId="0" fontId="66" fillId="3" borderId="146"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4" xfId="0" applyFont="1" applyFill="1" applyBorder="1" applyAlignment="1" applyProtection="1">
      <alignment horizontal="left" vertical="center" indent="1"/>
    </xf>
    <xf numFmtId="0" fontId="67" fillId="22" borderId="145" xfId="0" applyFont="1" applyFill="1" applyBorder="1" applyAlignment="1" applyProtection="1">
      <alignment horizontal="left" vertical="center" indent="1"/>
    </xf>
    <xf numFmtId="0" fontId="67" fillId="22" borderId="146"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pplyProtection="1">
      <alignment horizontal="center" vertical="center" wrapText="1"/>
      <protection hidden="1"/>
    </xf>
    <xf numFmtId="0" fontId="67" fillId="22" borderId="25" xfId="0" applyFont="1" applyFill="1" applyBorder="1" applyAlignment="1" applyProtection="1">
      <alignment horizontal="center" vertical="center" wrapText="1"/>
      <protection hidden="1"/>
    </xf>
    <xf numFmtId="0" fontId="67" fillId="22" borderId="93" xfId="0" applyFont="1" applyFill="1" applyBorder="1" applyAlignment="1" applyProtection="1">
      <alignment horizontal="center" vertical="center" wrapText="1"/>
      <protection hidden="1"/>
    </xf>
    <xf numFmtId="0" fontId="131"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9" applyFont="1" applyFill="1" applyBorder="1" applyAlignment="1" applyProtection="1">
      <alignment horizontal="left" vertical="top" wrapText="1"/>
      <protection hidden="1"/>
    </xf>
    <xf numFmtId="0" fontId="129" fillId="0" borderId="0" xfId="19" applyFont="1" applyFill="1" applyBorder="1" applyAlignment="1" applyProtection="1">
      <alignment horizontal="left" vertical="top" wrapText="1"/>
      <protection hidden="1"/>
    </xf>
    <xf numFmtId="0" fontId="129" fillId="0" borderId="97" xfId="19" applyFont="1" applyFill="1" applyBorder="1" applyAlignment="1" applyProtection="1">
      <alignment horizontal="left" vertical="top" wrapText="1"/>
      <protection hidden="1"/>
    </xf>
    <xf numFmtId="0" fontId="128" fillId="22" borderId="138" xfId="19" applyFont="1" applyFill="1" applyBorder="1" applyAlignment="1">
      <alignment horizontal="center" vertical="center"/>
    </xf>
    <xf numFmtId="0" fontId="128" fillId="22" borderId="139" xfId="19" applyFont="1" applyFill="1" applyBorder="1" applyAlignment="1">
      <alignment horizontal="center" vertical="center"/>
    </xf>
    <xf numFmtId="0" fontId="128" fillId="22" borderId="140" xfId="19" applyFont="1" applyFill="1" applyBorder="1" applyAlignment="1">
      <alignment horizontal="center" vertical="center"/>
    </xf>
    <xf numFmtId="0" fontId="128" fillId="22" borderId="98" xfId="19" applyFont="1" applyFill="1" applyBorder="1" applyAlignment="1">
      <alignment horizontal="center" vertical="center"/>
    </xf>
    <xf numFmtId="0" fontId="128" fillId="22" borderId="78" xfId="19" applyFont="1" applyFill="1" applyBorder="1" applyAlignment="1">
      <alignment horizontal="center" vertical="center"/>
    </xf>
    <xf numFmtId="0" fontId="128" fillId="22" borderId="99" xfId="19" applyFont="1" applyFill="1" applyBorder="1" applyAlignment="1">
      <alignment horizontal="center" vertical="center"/>
    </xf>
    <xf numFmtId="0" fontId="129" fillId="0" borderId="96" xfId="19" applyFont="1" applyBorder="1" applyAlignment="1">
      <alignment vertical="top" wrapText="1"/>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protection hidden="1"/>
    </xf>
    <xf numFmtId="0" fontId="59" fillId="19" borderId="21" xfId="0" applyFont="1" applyFill="1" applyBorder="1" applyAlignment="1" applyProtection="1">
      <alignment horizontal="left" vertical="center" wrapText="1" indent="1"/>
      <protection hidden="1"/>
    </xf>
    <xf numFmtId="0" fontId="59" fillId="19" borderId="14" xfId="0" applyFont="1" applyFill="1" applyBorder="1" applyAlignment="1" applyProtection="1">
      <alignment horizontal="left" vertical="center" wrapText="1" indent="1"/>
      <protection hidden="1"/>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8" fillId="0" borderId="96" xfId="18" applyFont="1" applyBorder="1" applyAlignment="1" applyProtection="1">
      <alignment vertical="top" wrapText="1"/>
      <protection locked="0"/>
    </xf>
    <xf numFmtId="0" fontId="8" fillId="0" borderId="0" xfId="18" applyFont="1" applyBorder="1" applyAlignment="1" applyProtection="1">
      <alignment vertical="top" wrapText="1"/>
      <protection locked="0"/>
    </xf>
    <xf numFmtId="0" fontId="8" fillId="0" borderId="97" xfId="18" applyFont="1" applyBorder="1" applyAlignment="1" applyProtection="1">
      <alignment vertical="top" wrapText="1"/>
      <protection locked="0"/>
    </xf>
    <xf numFmtId="0" fontId="8" fillId="0" borderId="98" xfId="18" applyFont="1" applyBorder="1" applyAlignment="1" applyProtection="1">
      <alignment vertical="top" wrapText="1"/>
      <protection locked="0"/>
    </xf>
    <xf numFmtId="0" fontId="8" fillId="0" borderId="78" xfId="18" applyFont="1" applyBorder="1" applyAlignment="1" applyProtection="1">
      <alignment vertical="top" wrapText="1"/>
      <protection locked="0"/>
    </xf>
    <xf numFmtId="0" fontId="8" fillId="0" borderId="99" xfId="18" applyFont="1" applyBorder="1" applyAlignment="1" applyProtection="1">
      <alignment vertical="top" wrapText="1"/>
      <protection locked="0"/>
    </xf>
    <xf numFmtId="0" fontId="51" fillId="0" borderId="139" xfId="18" applyFont="1" applyBorder="1" applyAlignment="1" applyProtection="1">
      <alignment horizontal="center" vertical="top" wrapText="1"/>
      <protection locked="0"/>
    </xf>
    <xf numFmtId="0" fontId="51" fillId="0" borderId="140" xfId="18" applyFont="1" applyBorder="1" applyAlignment="1" applyProtection="1">
      <alignment horizontal="center"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5"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8" fillId="0" borderId="139" xfId="18" applyFont="1" applyBorder="1" applyAlignment="1" applyProtection="1">
      <alignment horizontal="center" vertical="top" wrapText="1"/>
      <protection locked="0"/>
    </xf>
    <xf numFmtId="0" fontId="8" fillId="0" borderId="140" xfId="18" applyFont="1" applyBorder="1" applyAlignment="1" applyProtection="1">
      <alignment horizontal="center" vertical="top" wrapText="1"/>
      <protection locked="0"/>
    </xf>
    <xf numFmtId="0" fontId="59" fillId="0" borderId="173" xfId="20" applyFont="1" applyBorder="1" applyAlignment="1"/>
    <xf numFmtId="0" fontId="59" fillId="0" borderId="174" xfId="20" applyFont="1" applyBorder="1" applyAlignment="1"/>
    <xf numFmtId="0" fontId="59" fillId="0" borderId="177" xfId="20" applyFont="1" applyBorder="1" applyAlignment="1"/>
    <xf numFmtId="0" fontId="59" fillId="0" borderId="178" xfId="20" applyFont="1" applyBorder="1" applyAlignment="1"/>
    <xf numFmtId="0" fontId="67" fillId="0" borderId="186" xfId="20" applyFont="1" applyBorder="1" applyAlignment="1"/>
    <xf numFmtId="0" fontId="67" fillId="0" borderId="77" xfId="20" applyFont="1" applyBorder="1" applyAlignment="1"/>
    <xf numFmtId="0" fontId="59" fillId="0" borderId="173" xfId="20" applyFont="1" applyBorder="1" applyAlignment="1">
      <alignment wrapText="1"/>
    </xf>
    <xf numFmtId="0" fontId="59" fillId="0" borderId="174" xfId="20" applyFont="1" applyBorder="1" applyAlignment="1">
      <alignment wrapText="1"/>
    </xf>
    <xf numFmtId="0" fontId="59" fillId="0" borderId="0" xfId="3" applyNumberFormat="1" applyFont="1" applyFill="1" applyBorder="1" applyAlignment="1" applyProtection="1">
      <alignment horizontal="left" vertical="top" wrapText="1" indent="2"/>
      <protection hidden="1"/>
    </xf>
    <xf numFmtId="0" fontId="59" fillId="0" borderId="0" xfId="3" applyFont="1" applyFill="1" applyBorder="1" applyAlignment="1" applyProtection="1">
      <alignment horizontal="left" vertical="top" wrapText="1" indent="2"/>
      <protection hidden="1"/>
    </xf>
    <xf numFmtId="0" fontId="59" fillId="0" borderId="5" xfId="3" quotePrefix="1" applyNumberFormat="1" applyFont="1" applyFill="1" applyBorder="1" applyAlignment="1" applyProtection="1">
      <alignment horizontal="left" vertical="top" wrapText="1" indent="2"/>
      <protection hidden="1"/>
    </xf>
    <xf numFmtId="0" fontId="59" fillId="0" borderId="0" xfId="3" quotePrefix="1" applyNumberFormat="1" applyFont="1" applyFill="1" applyBorder="1" applyAlignment="1" applyProtection="1">
      <alignment horizontal="left" vertical="top" wrapText="1" indent="2"/>
      <protection hidden="1"/>
    </xf>
    <xf numFmtId="0" fontId="143" fillId="0" borderId="193" xfId="20" applyFont="1" applyBorder="1" applyAlignment="1">
      <alignment horizontal="center"/>
    </xf>
    <xf numFmtId="0" fontId="143" fillId="0" borderId="194" xfId="20" applyFont="1" applyBorder="1" applyAlignment="1">
      <alignment horizontal="center"/>
    </xf>
    <xf numFmtId="0" fontId="143" fillId="0" borderId="195" xfId="20" applyFont="1" applyBorder="1" applyAlignment="1">
      <alignment horizontal="center"/>
    </xf>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0" fontId="59" fillId="0" borderId="126" xfId="3" applyNumberFormat="1" applyFont="1" applyBorder="1" applyAlignment="1">
      <alignment horizontal="left" vertical="center" indent="1"/>
    </xf>
    <xf numFmtId="0" fontId="59" fillId="0" borderId="184" xfId="3" applyNumberFormat="1" applyFont="1" applyBorder="1" applyAlignment="1">
      <alignment horizontal="left" vertical="center"/>
    </xf>
    <xf numFmtId="166" fontId="59" fillId="0" borderId="21" xfId="3" applyNumberFormat="1" applyFont="1" applyBorder="1" applyAlignment="1">
      <alignment horizontal="left" vertical="center" indent="1"/>
    </xf>
    <xf numFmtId="166" fontId="59" fillId="0" borderId="185" xfId="3" applyNumberFormat="1" applyFont="1" applyBorder="1" applyAlignment="1">
      <alignment horizontal="left" vertical="center" indent="1"/>
    </xf>
    <xf numFmtId="0" fontId="59" fillId="26" borderId="186" xfId="20" applyFont="1" applyFill="1" applyBorder="1"/>
    <xf numFmtId="0" fontId="59" fillId="26" borderId="77" xfId="20" applyFont="1" applyFill="1" applyBorder="1"/>
    <xf numFmtId="0" fontId="67" fillId="0" borderId="164" xfId="20" applyFont="1" applyBorder="1" applyAlignment="1">
      <alignment horizontal="center" wrapText="1"/>
    </xf>
    <xf numFmtId="0" fontId="67" fillId="0" borderId="165" xfId="20" applyFont="1" applyBorder="1" applyAlignment="1">
      <alignment horizontal="center" wrapText="1"/>
    </xf>
    <xf numFmtId="0" fontId="103" fillId="0" borderId="166" xfId="20" applyFont="1" applyBorder="1" applyAlignment="1">
      <alignment horizontal="center"/>
    </xf>
    <xf numFmtId="0" fontId="103" fillId="0" borderId="78" xfId="20" applyFont="1" applyBorder="1" applyAlignment="1">
      <alignment horizontal="center"/>
    </xf>
    <xf numFmtId="0" fontId="103" fillId="0" borderId="99" xfId="20" applyFont="1" applyBorder="1" applyAlignment="1">
      <alignment horizontal="center"/>
    </xf>
    <xf numFmtId="0" fontId="59" fillId="0" borderId="168" xfId="20" applyFont="1" applyBorder="1" applyAlignment="1"/>
    <xf numFmtId="0" fontId="59" fillId="0" borderId="169" xfId="20" applyFont="1" applyBorder="1" applyAlignment="1"/>
    <xf numFmtId="0" fontId="82" fillId="0" borderId="131" xfId="3" applyNumberFormat="1" applyFont="1" applyBorder="1" applyAlignment="1">
      <alignment horizontal="center"/>
    </xf>
    <xf numFmtId="0" fontId="59" fillId="0" borderId="126" xfId="3" applyNumberFormat="1" applyFont="1" applyBorder="1" applyAlignment="1">
      <alignment horizontal="left" vertical="center"/>
    </xf>
    <xf numFmtId="0" fontId="59" fillId="22" borderId="182" xfId="3" applyNumberFormat="1" applyFont="1" applyFill="1" applyBorder="1" applyAlignment="1">
      <alignment horizontal="left" vertical="top" wrapText="1"/>
    </xf>
    <xf numFmtId="0" fontId="59" fillId="22" borderId="0" xfId="3" applyFont="1" applyFill="1" applyBorder="1" applyAlignment="1">
      <alignment vertical="top"/>
    </xf>
    <xf numFmtId="0" fontId="59" fillId="22" borderId="18" xfId="3" applyFont="1" applyFill="1" applyBorder="1" applyAlignment="1">
      <alignment vertical="top"/>
    </xf>
    <xf numFmtId="0" fontId="67" fillId="0" borderId="191" xfId="3" applyNumberFormat="1" applyFont="1" applyBorder="1" applyAlignment="1">
      <alignment horizontal="center" vertical="center"/>
    </xf>
    <xf numFmtId="0" fontId="59" fillId="0" borderId="126" xfId="3" applyFont="1" applyBorder="1" applyAlignment="1">
      <alignment horizontal="center" vertical="center"/>
    </xf>
    <xf numFmtId="0" fontId="59" fillId="0" borderId="124" xfId="3" applyFont="1" applyBorder="1" applyAlignment="1">
      <alignment horizontal="center" vertical="center"/>
    </xf>
    <xf numFmtId="0" fontId="59"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7" fillId="0" borderId="21" xfId="3" applyNumberFormat="1" applyFont="1" applyFill="1" applyBorder="1" applyAlignment="1" applyProtection="1">
      <alignment vertical="center"/>
      <protection hidden="1"/>
    </xf>
    <xf numFmtId="0" fontId="67" fillId="0" borderId="14" xfId="3" applyNumberFormat="1" applyFont="1" applyFill="1" applyBorder="1" applyAlignment="1" applyProtection="1">
      <alignment vertical="center"/>
      <protection hidden="1"/>
    </xf>
    <xf numFmtId="0" fontId="59" fillId="0" borderId="132" xfId="3" applyNumberFormat="1" applyFont="1" applyBorder="1" applyAlignment="1" applyProtection="1">
      <alignment horizontal="center" vertical="center"/>
      <protection locked="0"/>
    </xf>
    <xf numFmtId="171" fontId="59" fillId="0" borderId="132" xfId="3" applyNumberFormat="1" applyFont="1" applyBorder="1" applyAlignment="1" applyProtection="1">
      <alignment horizontal="center"/>
      <protection locked="0"/>
    </xf>
    <xf numFmtId="0" fontId="82" fillId="0" borderId="131" xfId="3" applyFont="1" applyBorder="1" applyAlignment="1">
      <alignment horizontal="center" vertical="center" wrapText="1"/>
    </xf>
    <xf numFmtId="0" fontId="59" fillId="0" borderId="132" xfId="3" applyNumberFormat="1" applyFont="1" applyBorder="1" applyAlignment="1" applyProtection="1">
      <alignment horizont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Fill="1" applyBorder="1" applyAlignment="1" applyProtection="1">
      <alignment vertical="top" wrapText="1"/>
      <protection hidden="1"/>
    </xf>
    <xf numFmtId="0" fontId="112" fillId="0" borderId="21" xfId="3" applyNumberFormat="1" applyFont="1" applyFill="1" applyBorder="1" applyAlignment="1" applyProtection="1">
      <alignment vertical="top" wrapText="1"/>
      <protection hidden="1"/>
    </xf>
    <xf numFmtId="0" fontId="112" fillId="0" borderId="14" xfId="3" applyNumberFormat="1" applyFont="1" applyFill="1" applyBorder="1" applyAlignment="1" applyProtection="1">
      <alignment vertical="top" wrapText="1"/>
      <protection hidden="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Fill="1" applyBorder="1" applyAlignment="1" applyProtection="1">
      <alignment vertical="top"/>
      <protection hidden="1"/>
    </xf>
    <xf numFmtId="0" fontId="85" fillId="0" borderId="0" xfId="3" applyFont="1" applyFill="1" applyBorder="1" applyAlignment="1" applyProtection="1">
      <alignment vertical="top"/>
      <protection hidden="1"/>
    </xf>
    <xf numFmtId="0" fontId="85" fillId="0" borderId="40" xfId="3" applyFont="1" applyFill="1" applyBorder="1" applyAlignment="1" applyProtection="1">
      <alignment vertical="top"/>
      <protection hidden="1"/>
    </xf>
    <xf numFmtId="0" fontId="85" fillId="0" borderId="50" xfId="3" applyFont="1" applyFill="1" applyBorder="1" applyAlignment="1" applyProtection="1">
      <alignment vertical="top"/>
      <protection hidden="1"/>
    </xf>
    <xf numFmtId="0" fontId="85" fillId="0" borderId="9" xfId="3" applyFont="1" applyFill="1" applyBorder="1" applyAlignment="1" applyProtection="1">
      <alignment vertical="top"/>
      <protection hidden="1"/>
    </xf>
    <xf numFmtId="0" fontId="85" fillId="0" borderId="59" xfId="3" applyFont="1" applyFill="1" applyBorder="1" applyAlignment="1" applyProtection="1">
      <alignment vertical="top"/>
      <protection hidden="1"/>
    </xf>
    <xf numFmtId="0" fontId="114" fillId="12" borderId="123" xfId="0" applyFont="1" applyFill="1" applyBorder="1" applyAlignment="1">
      <alignment horizontal="center" vertical="center"/>
    </xf>
    <xf numFmtId="0" fontId="114" fillId="12" borderId="126" xfId="0" applyFont="1" applyFill="1" applyBorder="1" applyAlignment="1">
      <alignment horizontal="center" vertical="center"/>
    </xf>
    <xf numFmtId="0" fontId="114" fillId="12" borderId="151"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3" xfId="0" applyNumberFormat="1" applyFont="1" applyFill="1" applyBorder="1" applyAlignment="1">
      <alignment horizontal="center" vertical="top"/>
    </xf>
    <xf numFmtId="164" fontId="115" fillId="12" borderId="126" xfId="0" applyNumberFormat="1" applyFont="1" applyFill="1" applyBorder="1" applyAlignment="1">
      <alignment horizontal="center" vertical="top"/>
    </xf>
    <xf numFmtId="164" fontId="115" fillId="12" borderId="151"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6" xfId="0" applyNumberFormat="1" applyFont="1" applyBorder="1" applyAlignment="1">
      <alignment horizontal="left" vertical="center" wrapText="1"/>
    </xf>
    <xf numFmtId="0" fontId="59" fillId="0" borderId="124"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4" xfId="3" applyNumberFormat="1" applyFont="1" applyBorder="1" applyProtection="1"/>
    <xf numFmtId="0" fontId="57" fillId="0" borderId="145"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5" xfId="3" applyNumberFormat="1" applyFont="1" applyBorder="1" applyAlignment="1" applyProtection="1">
      <alignment horizontal="left" indent="1"/>
      <protection locked="0"/>
    </xf>
    <xf numFmtId="0" fontId="67" fillId="0" borderId="145" xfId="3"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0" xfId="3" applyNumberFormat="1" applyFont="1" applyFill="1" applyAlignment="1" applyProtection="1">
      <alignment horizontal="center" vertical="center"/>
      <protection hidden="1"/>
    </xf>
    <xf numFmtId="0" fontId="59" fillId="0" borderId="0" xfId="3" applyFont="1" applyFill="1" applyAlignment="1" applyProtection="1">
      <alignment horizontal="center" vertical="center"/>
      <protection hidden="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0" fontId="59"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7"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8"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7" xfId="3" applyNumberFormat="1" applyFont="1" applyBorder="1" applyAlignment="1" applyProtection="1">
      <protection locked="0"/>
    </xf>
    <xf numFmtId="0" fontId="67" fillId="0" borderId="148" xfId="3" applyFont="1" applyBorder="1" applyAlignment="1" applyProtection="1">
      <protection locked="0"/>
    </xf>
    <xf numFmtId="0" fontId="64" fillId="0" borderId="0" xfId="3" applyFont="1" applyBorder="1" applyAlignment="1" applyProtection="1">
      <alignment horizontal="left" vertical="top" wrapText="1"/>
    </xf>
    <xf numFmtId="0" fontId="64" fillId="0" borderId="147"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48"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7" xfId="3" applyFont="1" applyBorder="1" applyAlignment="1" applyProtection="1">
      <alignment horizontal="center"/>
    </xf>
    <xf numFmtId="0" fontId="64" fillId="0" borderId="76" xfId="3" applyFont="1" applyBorder="1" applyAlignment="1" applyProtection="1">
      <alignment horizontal="center"/>
    </xf>
    <xf numFmtId="0" fontId="64" fillId="0" borderId="148" xfId="3" applyFont="1" applyBorder="1" applyAlignment="1" applyProtection="1">
      <alignment horizontal="center"/>
    </xf>
    <xf numFmtId="38" fontId="64" fillId="0" borderId="147"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48" xfId="3" applyNumberFormat="1" applyFont="1" applyBorder="1" applyAlignment="1" applyProtection="1">
      <alignment horizontal="right" vertical="center"/>
      <protection locked="0"/>
    </xf>
    <xf numFmtId="0" fontId="66" fillId="0" borderId="147"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48"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7" xfId="3" applyNumberFormat="1" applyFont="1" applyBorder="1" applyProtection="1">
      <protection locked="0"/>
    </xf>
    <xf numFmtId="6" fontId="64" fillId="0" borderId="148"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2" xfId="3" applyFont="1" applyBorder="1" applyAlignment="1" applyProtection="1">
      <alignment horizontal="center" vertical="center" wrapText="1"/>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7</xdr:row>
          <xdr:rowOff>18184</xdr:rowOff>
        </xdr:from>
        <xdr:to>
          <xdr:col>1</xdr:col>
          <xdr:colOff>911802</xdr:colOff>
          <xdr:row>11</xdr:row>
          <xdr:rowOff>66675</xdr:rowOff>
        </xdr:to>
        <xdr:sp macro="" textlink="">
          <xdr:nvSpPr>
            <xdr:cNvPr id="45059" name="Object 3" hidden="1">
              <a:extLst>
                <a:ext uri="{63B3BB69-23CF-44E3-9099-C40C66FF867C}">
                  <a14:compatExt spid="_x0000_s45059"/>
                </a:ext>
                <a:ext uri="{FF2B5EF4-FFF2-40B4-BE49-F238E27FC236}">
                  <a16:creationId xmlns:a16="http://schemas.microsoft.com/office/drawing/2014/main" id="{00000000-0008-0000-1400-000003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3" sqref="A13:H13"/>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3">
        <f>+'AFR20'!E4</f>
        <v>44119</v>
      </c>
      <c r="C1" s="2123"/>
      <c r="D1" s="2124"/>
      <c r="I1" s="2082" t="s">
        <v>402</v>
      </c>
      <c r="J1" s="2083"/>
      <c r="K1" s="2083"/>
      <c r="L1" s="2083"/>
      <c r="M1" s="2083"/>
      <c r="N1" s="2083"/>
      <c r="O1" s="2083"/>
      <c r="P1" s="2083"/>
      <c r="Q1" s="2083"/>
      <c r="R1" s="2083"/>
      <c r="S1" s="2083"/>
    </row>
    <row r="2" spans="1:32" ht="12" customHeight="1" x14ac:dyDescent="0.2">
      <c r="A2" s="1831" t="str">
        <f>"Due to ISBE on "</f>
        <v xml:space="preserve">Due to ISBE on </v>
      </c>
      <c r="B2" s="2125">
        <f>+'AFR20'!F4</f>
        <v>44151</v>
      </c>
      <c r="C2" s="2125"/>
      <c r="D2" s="2126"/>
      <c r="I2" s="2084" t="s">
        <v>2003</v>
      </c>
      <c r="J2" s="2083"/>
      <c r="K2" s="2083"/>
      <c r="L2" s="2083"/>
      <c r="M2" s="2083"/>
      <c r="N2" s="2083"/>
      <c r="O2" s="2083"/>
      <c r="P2" s="2083"/>
      <c r="Q2" s="2083"/>
      <c r="R2" s="2083"/>
      <c r="S2" s="2083"/>
    </row>
    <row r="3" spans="1:32" ht="12" customHeight="1" x14ac:dyDescent="0.2">
      <c r="A3" s="1834" t="str">
        <f>"SD/JA"&amp;MID('AFR20'!E2,3,2)</f>
        <v>SD/JA20</v>
      </c>
      <c r="B3" s="151"/>
      <c r="C3" s="151"/>
      <c r="D3" s="152"/>
      <c r="I3" s="2084" t="s">
        <v>52</v>
      </c>
      <c r="J3" s="2083"/>
      <c r="K3" s="2083"/>
      <c r="L3" s="2083"/>
      <c r="M3" s="2083"/>
      <c r="N3" s="2083"/>
      <c r="O3" s="2083"/>
      <c r="P3" s="2083"/>
      <c r="Q3" s="2083"/>
      <c r="R3" s="2083"/>
      <c r="S3" s="2083"/>
    </row>
    <row r="4" spans="1:32" ht="12" customHeight="1" x14ac:dyDescent="0.2">
      <c r="A4" s="37"/>
      <c r="I4" s="2084" t="s">
        <v>521</v>
      </c>
      <c r="J4" s="2083"/>
      <c r="K4" s="2083"/>
      <c r="L4" s="2083"/>
      <c r="M4" s="2083"/>
      <c r="N4" s="2083"/>
      <c r="O4" s="2083"/>
      <c r="P4" s="2083"/>
      <c r="Q4" s="2083"/>
      <c r="R4" s="2083"/>
      <c r="S4" s="2083"/>
    </row>
    <row r="5" spans="1:32" ht="14.1" customHeight="1" x14ac:dyDescent="0.2">
      <c r="B5" s="101" t="s">
        <v>2060</v>
      </c>
      <c r="C5" s="26" t="s">
        <v>904</v>
      </c>
      <c r="D5" s="81"/>
      <c r="E5" s="81"/>
      <c r="H5" s="38"/>
      <c r="I5" s="2092" t="s">
        <v>675</v>
      </c>
      <c r="J5" s="2091"/>
      <c r="K5" s="2091"/>
      <c r="L5" s="2091"/>
      <c r="M5" s="2091"/>
      <c r="N5" s="2091"/>
      <c r="O5" s="2091"/>
      <c r="P5" s="2091"/>
      <c r="Q5" s="2091"/>
      <c r="R5" s="2091"/>
      <c r="S5" s="2091"/>
      <c r="AF5" s="1827"/>
    </row>
    <row r="6" spans="1:32" ht="14.1" customHeight="1" x14ac:dyDescent="0.2">
      <c r="B6" s="101"/>
      <c r="C6" s="26" t="s">
        <v>905</v>
      </c>
      <c r="D6" s="81"/>
      <c r="E6" s="81"/>
      <c r="I6" s="2090" t="s">
        <v>877</v>
      </c>
      <c r="J6" s="2091"/>
      <c r="K6" s="2091"/>
      <c r="L6" s="2091"/>
      <c r="M6" s="2091"/>
      <c r="N6" s="2091"/>
      <c r="O6" s="2091"/>
      <c r="P6" s="2091"/>
      <c r="Q6" s="2091"/>
      <c r="R6" s="2091"/>
      <c r="S6" s="2091"/>
    </row>
    <row r="7" spans="1:32" ht="12.2" customHeight="1" x14ac:dyDescent="0.2">
      <c r="I7" s="2085" t="str">
        <f>"June 30, "&amp;'AFR20'!E2</f>
        <v>June 30, 2020</v>
      </c>
      <c r="J7" s="2086"/>
      <c r="K7" s="2086"/>
      <c r="L7" s="2086"/>
      <c r="M7" s="2086"/>
      <c r="N7" s="2086"/>
      <c r="O7" s="2086"/>
      <c r="P7" s="2086"/>
      <c r="Q7" s="2086"/>
      <c r="R7" s="2086"/>
      <c r="S7" s="2086"/>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7" t="s">
        <v>669</v>
      </c>
      <c r="J9" s="2088"/>
      <c r="K9" s="2088"/>
      <c r="L9" s="2088"/>
      <c r="M9" s="2088"/>
      <c r="N9" s="2088"/>
      <c r="O9" s="2088"/>
      <c r="P9" s="2088"/>
      <c r="Q9" s="2088"/>
      <c r="R9" s="2088"/>
      <c r="S9" s="2089"/>
      <c r="T9" s="2140" t="s">
        <v>530</v>
      </c>
      <c r="U9" s="2141"/>
      <c r="V9" s="2141"/>
      <c r="W9" s="2141"/>
      <c r="X9" s="2141"/>
      <c r="Y9" s="2141"/>
      <c r="Z9" s="2141"/>
      <c r="AA9" s="2142"/>
    </row>
    <row r="10" spans="1:32" ht="13.5" customHeight="1" x14ac:dyDescent="0.2">
      <c r="A10" s="2147" t="s">
        <v>670</v>
      </c>
      <c r="B10" s="2148"/>
      <c r="C10" s="2148"/>
      <c r="D10" s="2148"/>
      <c r="E10" s="2148"/>
      <c r="F10" s="2148"/>
      <c r="G10" s="2148"/>
      <c r="H10" s="2149"/>
      <c r="I10" s="29"/>
      <c r="J10" s="30"/>
      <c r="K10" s="28"/>
      <c r="R10" s="30"/>
      <c r="S10" s="30"/>
      <c r="T10" s="2143"/>
      <c r="U10" s="2091"/>
      <c r="V10" s="2091"/>
      <c r="W10" s="2091"/>
      <c r="X10" s="2091"/>
      <c r="Y10" s="2091"/>
      <c r="Z10" s="2091"/>
      <c r="AA10" s="2097"/>
    </row>
    <row r="11" spans="1:32" ht="14.25" customHeight="1" x14ac:dyDescent="0.2">
      <c r="A11" s="2150" t="s">
        <v>949</v>
      </c>
      <c r="B11" s="2151"/>
      <c r="C11" s="2151"/>
      <c r="D11" s="2151"/>
      <c r="E11" s="2151"/>
      <c r="F11" s="2151"/>
      <c r="G11" s="2151"/>
      <c r="H11" s="2152"/>
      <c r="I11" s="27"/>
      <c r="J11" s="71"/>
      <c r="K11" s="27"/>
      <c r="O11" s="144" t="s">
        <v>2060</v>
      </c>
      <c r="P11" s="97" t="s">
        <v>199</v>
      </c>
      <c r="Q11" s="30"/>
      <c r="R11" s="28"/>
      <c r="S11" s="27"/>
      <c r="T11" s="2144"/>
      <c r="U11" s="2145"/>
      <c r="V11" s="2145"/>
      <c r="W11" s="2145"/>
      <c r="X11" s="2145"/>
      <c r="Y11" s="2145"/>
      <c r="Z11" s="2145"/>
      <c r="AA11" s="2146"/>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03">
        <v>48072069002</v>
      </c>
      <c r="B13" s="2104"/>
      <c r="C13" s="2104"/>
      <c r="D13" s="2104"/>
      <c r="E13" s="2104"/>
      <c r="F13" s="2104"/>
      <c r="G13" s="2104"/>
      <c r="H13" s="2105"/>
      <c r="I13" s="31"/>
      <c r="J13" s="30"/>
      <c r="K13" s="28"/>
      <c r="L13" s="30"/>
      <c r="M13" s="30"/>
      <c r="N13" s="30"/>
      <c r="O13" s="30"/>
      <c r="P13" s="30"/>
      <c r="Q13" s="30"/>
      <c r="R13" s="30"/>
      <c r="S13" s="30"/>
      <c r="T13" s="2109" t="s">
        <v>2051</v>
      </c>
      <c r="U13" s="2110"/>
      <c r="V13" s="2110"/>
      <c r="W13" s="2110"/>
      <c r="X13" s="2110"/>
      <c r="Y13" s="2111"/>
      <c r="Z13" s="2111"/>
      <c r="AA13" s="2112"/>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6" t="s">
        <v>2054</v>
      </c>
      <c r="B15" s="2107"/>
      <c r="C15" s="2107"/>
      <c r="D15" s="2107"/>
      <c r="E15" s="2107"/>
      <c r="F15" s="2107"/>
      <c r="G15" s="2107"/>
      <c r="H15" s="2108"/>
      <c r="T15" s="2113" t="s">
        <v>2052</v>
      </c>
      <c r="U15" s="2070"/>
      <c r="V15" s="2070"/>
      <c r="W15" s="2070"/>
      <c r="X15" s="2070"/>
      <c r="Y15" s="2114"/>
      <c r="Z15" s="2114"/>
      <c r="AA15" s="2115"/>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6" t="s">
        <v>2122</v>
      </c>
      <c r="B17" s="2077"/>
      <c r="C17" s="2077"/>
      <c r="D17" s="2077"/>
      <c r="E17" s="2077"/>
      <c r="F17" s="2077"/>
      <c r="G17" s="2077"/>
      <c r="H17" s="2102"/>
      <c r="T17" s="2120" t="s">
        <v>2053</v>
      </c>
      <c r="U17" s="2121"/>
      <c r="V17" s="2121"/>
      <c r="W17" s="2121"/>
      <c r="X17" s="2121"/>
      <c r="Y17" s="2121"/>
      <c r="Z17" s="2121"/>
      <c r="AA17" s="2122"/>
    </row>
    <row r="18" spans="1:27" ht="13.5" customHeight="1" x14ac:dyDescent="0.2">
      <c r="A18" s="82" t="s">
        <v>527</v>
      </c>
      <c r="B18" s="73"/>
      <c r="C18" s="69"/>
      <c r="D18" s="73"/>
      <c r="E18" s="73"/>
      <c r="F18" s="73"/>
      <c r="G18" s="73"/>
      <c r="H18" s="53"/>
      <c r="I18" s="2101" t="s">
        <v>671</v>
      </c>
      <c r="J18" s="2052"/>
      <c r="K18" s="2052"/>
      <c r="L18" s="2052"/>
      <c r="M18" s="2052"/>
      <c r="N18" s="2052"/>
      <c r="O18" s="2052"/>
      <c r="P18" s="2052"/>
      <c r="Q18" s="2052"/>
      <c r="R18" s="2052"/>
      <c r="S18" s="2053"/>
      <c r="T18" s="82" t="s">
        <v>706</v>
      </c>
      <c r="U18" s="48"/>
      <c r="V18" s="69"/>
      <c r="W18" s="47"/>
      <c r="X18" s="82" t="s">
        <v>264</v>
      </c>
      <c r="Y18" s="78"/>
      <c r="Z18" s="154" t="s">
        <v>672</v>
      </c>
      <c r="AA18" s="44"/>
    </row>
    <row r="19" spans="1:27" ht="13.5" customHeight="1" x14ac:dyDescent="0.2">
      <c r="A19" s="2106" t="s">
        <v>2061</v>
      </c>
      <c r="B19" s="2062"/>
      <c r="C19" s="2062"/>
      <c r="D19" s="2062"/>
      <c r="E19" s="2062"/>
      <c r="F19" s="2062"/>
      <c r="G19" s="2062"/>
      <c r="H19" s="2042"/>
      <c r="I19" s="30"/>
      <c r="J19" s="96"/>
      <c r="K19" s="40"/>
      <c r="L19" s="38"/>
      <c r="M19" s="109" t="s">
        <v>312</v>
      </c>
      <c r="P19" s="27"/>
      <c r="Q19" s="27"/>
      <c r="R19" s="27"/>
      <c r="S19" s="31"/>
      <c r="T19" s="2106" t="s">
        <v>2054</v>
      </c>
      <c r="U19" s="2041"/>
      <c r="V19" s="2041"/>
      <c r="W19" s="2042"/>
      <c r="X19" s="2118" t="s">
        <v>2055</v>
      </c>
      <c r="Y19" s="2119"/>
      <c r="Z19" s="2116">
        <v>61615</v>
      </c>
      <c r="AA19" s="2117"/>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0" t="s">
        <v>2054</v>
      </c>
      <c r="B21" s="2041"/>
      <c r="C21" s="2041"/>
      <c r="D21" s="2041"/>
      <c r="E21" s="2041"/>
      <c r="F21" s="2041"/>
      <c r="G21" s="2041"/>
      <c r="H21" s="2042"/>
      <c r="I21" s="2096" t="s">
        <v>673</v>
      </c>
      <c r="J21" s="2091"/>
      <c r="K21" s="2091"/>
      <c r="L21" s="2091"/>
      <c r="M21" s="2091"/>
      <c r="N21" s="2091"/>
      <c r="O21" s="2091"/>
      <c r="P21" s="2091"/>
      <c r="Q21" s="2091"/>
      <c r="R21" s="2091"/>
      <c r="S21" s="2097"/>
      <c r="T21" s="2131" t="s">
        <v>2056</v>
      </c>
      <c r="U21" s="2132"/>
      <c r="V21" s="2132"/>
      <c r="W21" s="2132"/>
      <c r="X21" s="2137" t="s">
        <v>2057</v>
      </c>
      <c r="Y21" s="2138"/>
      <c r="Z21" s="2138"/>
      <c r="AA21" s="2139"/>
    </row>
    <row r="22" spans="1:27" ht="13.5" customHeight="1" x14ac:dyDescent="0.2">
      <c r="A22" s="84" t="s">
        <v>528</v>
      </c>
      <c r="B22" s="56"/>
      <c r="C22" s="56"/>
      <c r="D22" s="56"/>
      <c r="E22" s="56"/>
      <c r="F22" s="56"/>
      <c r="G22" s="56"/>
      <c r="H22" s="57"/>
      <c r="I22" s="2098" t="s">
        <v>1412</v>
      </c>
      <c r="J22" s="2099"/>
      <c r="K22" s="2099"/>
      <c r="L22" s="2099"/>
      <c r="M22" s="2099"/>
      <c r="N22" s="2099"/>
      <c r="O22" s="2099"/>
      <c r="P22" s="2099"/>
      <c r="Q22" s="2099"/>
      <c r="R22" s="2099"/>
      <c r="S22" s="2100"/>
      <c r="T22" s="82" t="s">
        <v>1499</v>
      </c>
      <c r="U22" s="48"/>
      <c r="V22" s="69"/>
      <c r="W22" s="48"/>
      <c r="X22" s="155" t="s">
        <v>1307</v>
      </c>
      <c r="Z22" s="43"/>
      <c r="AA22" s="44"/>
    </row>
    <row r="23" spans="1:27" ht="13.5" customHeight="1" x14ac:dyDescent="0.2">
      <c r="A23" s="2093" t="s">
        <v>2062</v>
      </c>
      <c r="B23" s="2094"/>
      <c r="C23" s="2094"/>
      <c r="D23" s="2094"/>
      <c r="E23" s="2094"/>
      <c r="F23" s="2094"/>
      <c r="G23" s="2094"/>
      <c r="H23" s="2095"/>
      <c r="T23" s="2076" t="s">
        <v>2058</v>
      </c>
      <c r="U23" s="2130"/>
      <c r="V23" s="2130"/>
      <c r="W23" s="2130"/>
      <c r="X23" s="2134">
        <v>44530</v>
      </c>
      <c r="Y23" s="2135"/>
      <c r="Z23" s="2135"/>
      <c r="AA23" s="2136"/>
    </row>
    <row r="24" spans="1:27" ht="14.1" customHeight="1" x14ac:dyDescent="0.2">
      <c r="A24" s="85" t="s">
        <v>672</v>
      </c>
      <c r="B24" s="46"/>
      <c r="C24" s="46"/>
      <c r="D24" s="46"/>
      <c r="E24" s="46"/>
      <c r="F24" s="46"/>
      <c r="G24" s="46"/>
      <c r="H24" s="58"/>
      <c r="J24" s="2063">
        <f>IF(B5="x",IF(AUDITCHECK!D29="AFR form Incomplete.","",IF(AUDITCHECK!D29="Deficit reduction plan is required.","School District must complete a deficit reduction plan in the 2020-2021 Budget",)),"")</f>
        <v>0</v>
      </c>
      <c r="K24" s="2063"/>
      <c r="L24" s="2063"/>
      <c r="M24" s="2063"/>
      <c r="N24" s="2063"/>
      <c r="O24" s="2063"/>
      <c r="P24" s="2063"/>
      <c r="Q24" s="2063"/>
      <c r="R24" s="2063"/>
      <c r="S24" s="2064"/>
      <c r="T24" s="102" t="s">
        <v>528</v>
      </c>
      <c r="U24" s="103"/>
      <c r="V24" s="103"/>
      <c r="W24" s="103"/>
      <c r="X24" s="104"/>
      <c r="Y24" s="104"/>
      <c r="Z24" s="104"/>
      <c r="AA24" s="105"/>
    </row>
    <row r="25" spans="1:27" ht="14.1" customHeight="1" x14ac:dyDescent="0.2">
      <c r="A25" s="2040">
        <v>61605</v>
      </c>
      <c r="B25" s="2041"/>
      <c r="C25" s="2041"/>
      <c r="D25" s="2041"/>
      <c r="E25" s="2041"/>
      <c r="F25" s="2041"/>
      <c r="G25" s="2041"/>
      <c r="H25" s="2042"/>
      <c r="I25" s="110"/>
      <c r="J25" s="2065"/>
      <c r="K25" s="2065"/>
      <c r="L25" s="2065"/>
      <c r="M25" s="2065"/>
      <c r="N25" s="2065"/>
      <c r="O25" s="2065"/>
      <c r="P25" s="2065"/>
      <c r="Q25" s="2065"/>
      <c r="R25" s="2065"/>
      <c r="S25" s="2066"/>
      <c r="T25" s="2127" t="s">
        <v>2059</v>
      </c>
      <c r="U25" s="2128"/>
      <c r="V25" s="2128"/>
      <c r="W25" s="2128"/>
      <c r="X25" s="2128"/>
      <c r="Y25" s="2128"/>
      <c r="Z25" s="2128"/>
      <c r="AA25" s="2129"/>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51" t="s">
        <v>1494</v>
      </c>
      <c r="J27" s="2052"/>
      <c r="K27" s="2052"/>
      <c r="L27" s="2052"/>
      <c r="M27" s="2052"/>
      <c r="N27" s="2052"/>
      <c r="O27" s="2052"/>
      <c r="P27" s="2052"/>
      <c r="Q27" s="2052"/>
      <c r="R27" s="2052"/>
      <c r="S27" s="2053"/>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2060</v>
      </c>
      <c r="M29" s="40" t="s">
        <v>99</v>
      </c>
      <c r="N29" s="32" t="s">
        <v>1506</v>
      </c>
      <c r="O29" s="32"/>
      <c r="P29" s="32"/>
      <c r="Q29" s="32"/>
      <c r="R29" s="32"/>
      <c r="S29" s="120"/>
      <c r="T29" s="6"/>
      <c r="U29" s="6"/>
      <c r="V29" s="6"/>
      <c r="W29" s="6"/>
      <c r="X29" s="6"/>
      <c r="Y29" s="6"/>
      <c r="Z29" s="6"/>
      <c r="AA29" s="129"/>
    </row>
    <row r="30" spans="1:27" ht="13.5" customHeight="1" x14ac:dyDescent="0.2">
      <c r="A30" s="149"/>
      <c r="B30" s="133" t="s">
        <v>2060</v>
      </c>
      <c r="C30" s="121" t="s">
        <v>1154</v>
      </c>
      <c r="D30" s="28"/>
      <c r="E30" s="28"/>
      <c r="F30" s="136"/>
      <c r="G30" s="111"/>
      <c r="H30" s="111"/>
      <c r="I30" s="51"/>
      <c r="J30" s="99"/>
      <c r="K30" s="28" t="s">
        <v>572</v>
      </c>
      <c r="L30" s="144" t="s">
        <v>2060</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2060</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2060</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62"/>
      <c r="Q35" s="2041"/>
      <c r="R35" s="2041"/>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6" t="s">
        <v>2063</v>
      </c>
      <c r="B38" s="2077"/>
      <c r="C38" s="2077"/>
      <c r="D38" s="2077"/>
      <c r="E38" s="2077"/>
      <c r="F38" s="2041"/>
      <c r="G38" s="2041"/>
      <c r="H38" s="2042"/>
      <c r="I38" s="2069"/>
      <c r="J38" s="2070"/>
      <c r="K38" s="2070"/>
      <c r="L38" s="2070"/>
      <c r="M38" s="2070"/>
      <c r="N38" s="2070"/>
      <c r="O38" s="2070"/>
      <c r="P38" s="2071"/>
      <c r="Q38" s="2071"/>
      <c r="R38" s="2071"/>
      <c r="S38" s="2072"/>
      <c r="T38" s="2113"/>
      <c r="U38" s="2070"/>
      <c r="V38" s="2070"/>
      <c r="W38" s="2070"/>
      <c r="X38" s="2071"/>
      <c r="Y38" s="2071"/>
      <c r="Z38" s="2071"/>
      <c r="AA38" s="2072"/>
    </row>
    <row r="39" spans="1:27" ht="12" customHeight="1" x14ac:dyDescent="0.2">
      <c r="A39" s="2046" t="s">
        <v>528</v>
      </c>
      <c r="B39" s="2047"/>
      <c r="C39" s="69"/>
      <c r="D39" s="66"/>
      <c r="E39" s="66"/>
      <c r="F39" s="76"/>
      <c r="G39" s="66"/>
      <c r="H39" s="53"/>
      <c r="I39" s="2046" t="s">
        <v>528</v>
      </c>
      <c r="J39" s="2047"/>
      <c r="K39" s="2047"/>
      <c r="L39" s="2047"/>
      <c r="M39" s="2047"/>
      <c r="N39" s="64"/>
      <c r="O39" s="69"/>
      <c r="P39" s="69"/>
      <c r="Q39" s="75"/>
      <c r="R39" s="69"/>
      <c r="S39" s="53"/>
      <c r="T39" s="69" t="s">
        <v>528</v>
      </c>
      <c r="U39" s="48"/>
      <c r="V39" s="69"/>
      <c r="W39" s="47"/>
      <c r="X39" s="75"/>
      <c r="Y39" s="43"/>
      <c r="Z39" s="43"/>
      <c r="AA39" s="44"/>
    </row>
    <row r="40" spans="1:27" ht="13.5" customHeight="1" x14ac:dyDescent="0.2">
      <c r="A40" s="2054" t="s">
        <v>2062</v>
      </c>
      <c r="B40" s="2055"/>
      <c r="C40" s="2056"/>
      <c r="D40" s="2056"/>
      <c r="E40" s="2056"/>
      <c r="F40" s="2057"/>
      <c r="G40" s="2057"/>
      <c r="H40" s="2058"/>
      <c r="I40" s="2079"/>
      <c r="J40" s="2080"/>
      <c r="K40" s="2080"/>
      <c r="L40" s="2080"/>
      <c r="M40" s="2080"/>
      <c r="N40" s="2080"/>
      <c r="O40" s="2080"/>
      <c r="P40" s="2080"/>
      <c r="Q40" s="2080"/>
      <c r="R40" s="2080"/>
      <c r="S40" s="2081"/>
      <c r="T40" s="2079"/>
      <c r="U40" s="2133"/>
      <c r="V40" s="2080"/>
      <c r="W40" s="2080"/>
      <c r="X40" s="2080"/>
      <c r="Y40" s="2080"/>
      <c r="Z40" s="2080"/>
      <c r="AA40" s="2081"/>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8" t="s">
        <v>2064</v>
      </c>
      <c r="B42" s="2060"/>
      <c r="C42" s="2061"/>
      <c r="D42" s="2059" t="s">
        <v>2065</v>
      </c>
      <c r="E42" s="2060"/>
      <c r="F42" s="2060"/>
      <c r="G42" s="2060"/>
      <c r="H42" s="2061"/>
      <c r="I42" s="2043"/>
      <c r="J42" s="2044"/>
      <c r="K42" s="2044"/>
      <c r="L42" s="2044"/>
      <c r="M42" s="2044"/>
      <c r="N42" s="2044"/>
      <c r="O42" s="2045"/>
      <c r="P42" s="2078"/>
      <c r="Q42" s="2044"/>
      <c r="R42" s="2044"/>
      <c r="S42" s="2045"/>
      <c r="T42" s="2043"/>
      <c r="U42" s="2044"/>
      <c r="V42" s="2044"/>
      <c r="W42" s="2045"/>
      <c r="X42" s="2078"/>
      <c r="Y42" s="2044"/>
      <c r="Z42" s="2044"/>
      <c r="AA42" s="2045"/>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3"/>
      <c r="B44" s="2074"/>
      <c r="C44" s="2074"/>
      <c r="D44" s="2074"/>
      <c r="E44" s="2074"/>
      <c r="F44" s="2074"/>
      <c r="G44" s="2074"/>
      <c r="H44" s="2075"/>
      <c r="I44" s="2048"/>
      <c r="J44" s="2049"/>
      <c r="K44" s="2049"/>
      <c r="L44" s="2049"/>
      <c r="M44" s="2049"/>
      <c r="N44" s="2049"/>
      <c r="O44" s="2049"/>
      <c r="P44" s="2049"/>
      <c r="Q44" s="2049"/>
      <c r="R44" s="2049"/>
      <c r="S44" s="2050"/>
      <c r="T44" s="2048"/>
      <c r="U44" s="2067"/>
      <c r="V44" s="2067"/>
      <c r="W44" s="2067"/>
      <c r="X44" s="2067"/>
      <c r="Y44" s="2067"/>
      <c r="Z44" s="2049"/>
      <c r="AA44" s="2050"/>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6" t="s">
        <v>1056</v>
      </c>
      <c r="B35" s="2156"/>
      <c r="C35" s="2156"/>
      <c r="D35" s="2156"/>
      <c r="E35" s="215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3" t="s">
        <v>686</v>
      </c>
      <c r="B40" s="2153"/>
      <c r="C40" s="2153"/>
      <c r="D40" s="2153"/>
      <c r="E40" s="2153"/>
    </row>
    <row r="41" spans="1:5" x14ac:dyDescent="0.2">
      <c r="A41" s="2154" t="s">
        <v>1591</v>
      </c>
      <c r="B41" s="2154"/>
      <c r="C41" s="2154"/>
      <c r="D41" s="2154"/>
      <c r="E41" s="2154"/>
    </row>
    <row r="42" spans="1:5" ht="12.75" customHeight="1" x14ac:dyDescent="0.2">
      <c r="A42" s="2155" t="s">
        <v>1015</v>
      </c>
      <c r="B42" s="2155"/>
      <c r="C42" s="2155"/>
      <c r="D42" s="2155"/>
      <c r="E42" s="2155"/>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3" colorId="8" zoomScaleNormal="100" workbookViewId="0">
      <selection activeCell="B68" sqref="B6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7" t="s">
        <v>1158</v>
      </c>
      <c r="B2" s="2157"/>
      <c r="C2" s="2157"/>
      <c r="D2" s="2157"/>
      <c r="E2" s="2157"/>
      <c r="F2" s="2157"/>
      <c r="G2" s="2157"/>
      <c r="H2" s="2157"/>
      <c r="I2" s="2157"/>
      <c r="J2" s="2157"/>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1" t="s">
        <v>1616</v>
      </c>
      <c r="B35" s="2172"/>
      <c r="C35" s="2172"/>
      <c r="D35" s="2172"/>
      <c r="E35" s="2173"/>
      <c r="F35" s="2173"/>
      <c r="G35" s="2173"/>
      <c r="H35" s="2173"/>
      <c r="I35" s="2173"/>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1" t="s">
        <v>310</v>
      </c>
      <c r="B47" s="2174"/>
      <c r="C47" s="2174"/>
      <c r="D47" s="2174"/>
      <c r="E47" s="2175"/>
      <c r="F47" s="2175"/>
      <c r="G47" s="2175"/>
      <c r="H47" s="2175"/>
      <c r="I47" s="2175"/>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t="s">
        <v>2060</v>
      </c>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8" t="s">
        <v>2066</v>
      </c>
      <c r="C57" s="2179"/>
      <c r="D57" s="2179"/>
      <c r="E57" s="2179"/>
      <c r="F57" s="2179"/>
      <c r="G57" s="2179"/>
      <c r="H57" s="2179"/>
      <c r="I57" s="2179"/>
      <c r="J57" s="2180"/>
    </row>
    <row r="58" spans="1:10" s="176" customFormat="1" x14ac:dyDescent="0.2">
      <c r="A58" s="248"/>
      <c r="B58" s="2181"/>
      <c r="C58" s="2182"/>
      <c r="D58" s="2182"/>
      <c r="E58" s="2182"/>
      <c r="F58" s="2182"/>
      <c r="G58" s="2182"/>
      <c r="H58" s="2182"/>
      <c r="I58" s="2182"/>
      <c r="J58" s="2183"/>
    </row>
    <row r="59" spans="1:10" s="176" customFormat="1" x14ac:dyDescent="0.2">
      <c r="A59" s="248"/>
      <c r="B59" s="2181"/>
      <c r="C59" s="2182"/>
      <c r="D59" s="2182"/>
      <c r="E59" s="2182"/>
      <c r="F59" s="2182"/>
      <c r="G59" s="2182"/>
      <c r="H59" s="2182"/>
      <c r="I59" s="2182"/>
      <c r="J59" s="2183"/>
    </row>
    <row r="60" spans="1:10" s="176" customFormat="1" x14ac:dyDescent="0.2">
      <c r="A60" s="248"/>
      <c r="B60" s="2181"/>
      <c r="C60" s="2182"/>
      <c r="D60" s="2182"/>
      <c r="E60" s="2182"/>
      <c r="F60" s="2182"/>
      <c r="G60" s="2182"/>
      <c r="H60" s="2182"/>
      <c r="I60" s="2182"/>
      <c r="J60" s="2183"/>
    </row>
    <row r="61" spans="1:10" s="176" customFormat="1" x14ac:dyDescent="0.2">
      <c r="A61" s="248"/>
      <c r="B61" s="2181"/>
      <c r="C61" s="2182"/>
      <c r="D61" s="2182"/>
      <c r="E61" s="2182"/>
      <c r="F61" s="2182"/>
      <c r="G61" s="2182"/>
      <c r="H61" s="2182"/>
      <c r="I61" s="2182"/>
      <c r="J61" s="2183"/>
    </row>
    <row r="62" spans="1:10" s="176" customFormat="1" x14ac:dyDescent="0.2">
      <c r="A62" s="248"/>
      <c r="B62" s="2181"/>
      <c r="C62" s="2182"/>
      <c r="D62" s="2182"/>
      <c r="E62" s="2182"/>
      <c r="F62" s="2182"/>
      <c r="G62" s="2182"/>
      <c r="H62" s="2182"/>
      <c r="I62" s="2182"/>
      <c r="J62" s="2183"/>
    </row>
    <row r="63" spans="1:10" s="176" customFormat="1" x14ac:dyDescent="0.2">
      <c r="A63" s="248"/>
      <c r="B63" s="2181"/>
      <c r="C63" s="2182"/>
      <c r="D63" s="2182"/>
      <c r="E63" s="2182"/>
      <c r="F63" s="2182"/>
      <c r="G63" s="2182"/>
      <c r="H63" s="2182"/>
      <c r="I63" s="2182"/>
      <c r="J63" s="2183"/>
    </row>
    <row r="64" spans="1:10" s="176" customFormat="1" x14ac:dyDescent="0.2">
      <c r="A64" s="248"/>
      <c r="B64" s="2181"/>
      <c r="C64" s="2182"/>
      <c r="D64" s="2182"/>
      <c r="E64" s="2182"/>
      <c r="F64" s="2182"/>
      <c r="G64" s="2182"/>
      <c r="H64" s="2182"/>
      <c r="I64" s="2182"/>
      <c r="J64" s="2183"/>
    </row>
    <row r="65" spans="1:11" s="176" customFormat="1" x14ac:dyDescent="0.2">
      <c r="A65" s="248"/>
      <c r="B65" s="2181"/>
      <c r="C65" s="2182"/>
      <c r="D65" s="2182"/>
      <c r="E65" s="2182"/>
      <c r="F65" s="2182"/>
      <c r="G65" s="2182"/>
      <c r="H65" s="2182"/>
      <c r="I65" s="2182"/>
      <c r="J65" s="2183"/>
    </row>
    <row r="66" spans="1:11" s="176" customFormat="1" x14ac:dyDescent="0.2">
      <c r="A66" s="248"/>
      <c r="B66" s="2181"/>
      <c r="C66" s="2182"/>
      <c r="D66" s="2182"/>
      <c r="E66" s="2182"/>
      <c r="F66" s="2182"/>
      <c r="G66" s="2182"/>
      <c r="H66" s="2182"/>
      <c r="I66" s="2182"/>
      <c r="J66" s="2183"/>
    </row>
    <row r="67" spans="1:11" s="176" customFormat="1" ht="9" customHeight="1" x14ac:dyDescent="0.2">
      <c r="A67" s="249"/>
      <c r="B67" s="2184"/>
      <c r="C67" s="2185"/>
      <c r="D67" s="2185"/>
      <c r="E67" s="2185"/>
      <c r="F67" s="2185"/>
      <c r="G67" s="2185"/>
      <c r="H67" s="2185"/>
      <c r="I67" s="2185"/>
      <c r="J67" s="218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1" t="s">
        <v>1312</v>
      </c>
      <c r="B70" s="2174"/>
      <c r="C70" s="2174"/>
      <c r="D70" s="2174"/>
      <c r="E70" s="2175"/>
      <c r="F70" s="2175"/>
      <c r="G70" s="2175"/>
      <c r="H70" s="2175"/>
      <c r="I70" s="2175"/>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6" t="s">
        <v>1309</v>
      </c>
      <c r="B83" s="2176"/>
      <c r="C83" s="2176"/>
      <c r="D83" s="2177"/>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7" t="s">
        <v>1989</v>
      </c>
      <c r="B85" s="2187"/>
      <c r="C85" s="2187"/>
      <c r="D85" s="2188"/>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9" t="s">
        <v>1989</v>
      </c>
      <c r="B88" s="2190"/>
      <c r="C88" s="2190"/>
      <c r="D88" s="2191"/>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8"/>
      <c r="C102" s="2159"/>
      <c r="D102" s="2159"/>
      <c r="E102" s="2159"/>
      <c r="F102" s="2159"/>
      <c r="G102" s="2159"/>
      <c r="H102" s="2159"/>
      <c r="I102" s="2160"/>
    </row>
    <row r="103" spans="1:9" s="176" customFormat="1" ht="11.25" customHeight="1" x14ac:dyDescent="0.2">
      <c r="A103" s="294"/>
      <c r="B103" s="2161"/>
      <c r="C103" s="2162"/>
      <c r="D103" s="2162"/>
      <c r="E103" s="2162"/>
      <c r="F103" s="2162"/>
      <c r="G103" s="2162"/>
      <c r="H103" s="2162"/>
      <c r="I103" s="2163"/>
    </row>
    <row r="104" spans="1:9" s="176" customFormat="1" ht="11.25" customHeight="1" x14ac:dyDescent="0.2">
      <c r="A104" s="294"/>
      <c r="B104" s="2161"/>
      <c r="C104" s="2162"/>
      <c r="D104" s="2162"/>
      <c r="E104" s="2162"/>
      <c r="F104" s="2162"/>
      <c r="G104" s="2162"/>
      <c r="H104" s="2162"/>
      <c r="I104" s="2163"/>
    </row>
    <row r="105" spans="1:9" s="176" customFormat="1" x14ac:dyDescent="0.2">
      <c r="A105" s="294"/>
      <c r="B105" s="2161"/>
      <c r="C105" s="2162"/>
      <c r="D105" s="2162"/>
      <c r="E105" s="2162"/>
      <c r="F105" s="2162"/>
      <c r="G105" s="2162"/>
      <c r="H105" s="2162"/>
      <c r="I105" s="2163"/>
    </row>
    <row r="106" spans="1:9" s="176" customFormat="1" ht="11.25" customHeight="1" x14ac:dyDescent="0.2">
      <c r="A106" s="294"/>
      <c r="B106" s="2161"/>
      <c r="C106" s="2162"/>
      <c r="D106" s="2162"/>
      <c r="E106" s="2162"/>
      <c r="F106" s="2162"/>
      <c r="G106" s="2162"/>
      <c r="H106" s="2162"/>
      <c r="I106" s="2163"/>
    </row>
    <row r="107" spans="1:9" s="176" customFormat="1" ht="11.25" customHeight="1" x14ac:dyDescent="0.2">
      <c r="A107" s="294"/>
      <c r="B107" s="2161"/>
      <c r="C107" s="2162"/>
      <c r="D107" s="2162"/>
      <c r="E107" s="2162"/>
      <c r="F107" s="2162"/>
      <c r="G107" s="2162"/>
      <c r="H107" s="2162"/>
      <c r="I107" s="2163"/>
    </row>
    <row r="108" spans="1:9" s="176" customFormat="1" ht="11.25" customHeight="1" x14ac:dyDescent="0.2">
      <c r="A108" s="294"/>
      <c r="B108" s="2161"/>
      <c r="C108" s="2162"/>
      <c r="D108" s="2162"/>
      <c r="E108" s="2162"/>
      <c r="F108" s="2162"/>
      <c r="G108" s="2162"/>
      <c r="H108" s="2162"/>
      <c r="I108" s="2163"/>
    </row>
    <row r="109" spans="1:9" s="176" customFormat="1" ht="11.25" customHeight="1" x14ac:dyDescent="0.2">
      <c r="A109" s="294"/>
      <c r="B109" s="2161"/>
      <c r="C109" s="2162"/>
      <c r="D109" s="2162"/>
      <c r="E109" s="2162"/>
      <c r="F109" s="2162"/>
      <c r="G109" s="2162"/>
      <c r="H109" s="2162"/>
      <c r="I109" s="2163"/>
    </row>
    <row r="110" spans="1:9" s="176" customFormat="1" ht="11.25" customHeight="1" x14ac:dyDescent="0.2">
      <c r="A110" s="294"/>
      <c r="B110" s="2161"/>
      <c r="C110" s="2162"/>
      <c r="D110" s="2162"/>
      <c r="E110" s="2162"/>
      <c r="F110" s="2162"/>
      <c r="G110" s="2162"/>
      <c r="H110" s="2162"/>
      <c r="I110" s="2163"/>
    </row>
    <row r="111" spans="1:9" s="176" customFormat="1" ht="11.25" customHeight="1" x14ac:dyDescent="0.2">
      <c r="A111" s="294"/>
      <c r="B111" s="2161"/>
      <c r="C111" s="2162"/>
      <c r="D111" s="2162"/>
      <c r="E111" s="2162"/>
      <c r="F111" s="2162"/>
      <c r="G111" s="2162"/>
      <c r="H111" s="2162"/>
      <c r="I111" s="2163"/>
    </row>
    <row r="112" spans="1:9" s="176" customFormat="1" ht="11.25" customHeight="1" x14ac:dyDescent="0.2">
      <c r="A112" s="294"/>
      <c r="B112" s="2164"/>
      <c r="C112" s="2165"/>
      <c r="D112" s="2165"/>
      <c r="E112" s="2165"/>
      <c r="F112" s="2165"/>
      <c r="G112" s="2165"/>
      <c r="H112" s="2165"/>
      <c r="I112" s="216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7" t="s">
        <v>2051</v>
      </c>
      <c r="D114" s="2167"/>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8" t="s">
        <v>1319</v>
      </c>
      <c r="D117" s="2169"/>
      <c r="E117" s="2170"/>
      <c r="F117" s="2170"/>
      <c r="G117" s="2170"/>
      <c r="H117" s="2170"/>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L34" sqref="L34"/>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2" t="s">
        <v>383</v>
      </c>
      <c r="B1" s="2192"/>
      <c r="C1" s="2192"/>
      <c r="D1" s="2192"/>
      <c r="E1" s="2192"/>
      <c r="F1" s="2192"/>
      <c r="G1" s="2192"/>
      <c r="H1" s="2192"/>
      <c r="I1" s="2192"/>
      <c r="J1" s="2192"/>
      <c r="K1" s="2192"/>
      <c r="L1" s="2192"/>
      <c r="M1" s="2192"/>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15846222</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1.17E-2</v>
      </c>
      <c r="E10" s="333" t="s">
        <v>998</v>
      </c>
      <c r="F10" s="332">
        <v>2.5000000000000001E-3</v>
      </c>
      <c r="G10" s="333" t="s">
        <v>998</v>
      </c>
      <c r="H10" s="332">
        <v>1.1999999999999999E-3</v>
      </c>
      <c r="I10" s="333" t="s">
        <v>999</v>
      </c>
      <c r="J10" s="1424">
        <f>ROUND(D10+F10+H10,5)</f>
        <v>1.54E-2</v>
      </c>
      <c r="K10" s="217"/>
      <c r="L10" s="332">
        <v>5.0000000000000001E-4</v>
      </c>
      <c r="M10" s="217"/>
    </row>
    <row r="11" spans="1:14" ht="7.5" customHeight="1" x14ac:dyDescent="0.2">
      <c r="B11" s="217"/>
      <c r="C11" s="217"/>
      <c r="D11" s="2202" t="str">
        <f>IF(SUM(J10)&lt;=0.0999999,"","Enter the Tax Rates by moving the decimal two places to the left.")</f>
        <v/>
      </c>
      <c r="E11" s="2203"/>
      <c r="F11" s="2203"/>
      <c r="G11" s="2203"/>
      <c r="H11" s="2203"/>
      <c r="I11" s="2203"/>
      <c r="J11" s="220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2690917</v>
      </c>
      <c r="E16" s="1547"/>
      <c r="F16" s="1546">
        <f>SUM('Acct Summary 7-8'!C17,'Acct Summary 7-8'!D17,'Acct Summary 7-8'!F17)</f>
        <v>2682977</v>
      </c>
      <c r="G16" s="1547"/>
      <c r="H16" s="1546">
        <f>SUM(D16-F16)</f>
        <v>7940</v>
      </c>
      <c r="I16" s="1548"/>
      <c r="J16" s="1546">
        <f>SUM('Acct Summary 7-8'!C81,'Acct Summary 7-8'!D81,'Acct Summary 7-8'!F81,'Acct Summary 7-8'!I81)</f>
        <v>1337790</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2060</v>
      </c>
      <c r="C31" s="344" t="s">
        <v>582</v>
      </c>
      <c r="D31" s="232" t="s">
        <v>1063</v>
      </c>
      <c r="E31" s="217"/>
      <c r="F31" s="217"/>
      <c r="G31" s="340"/>
      <c r="H31" s="1425">
        <f>IF(B31="X",(J7*0.069),IF(B32="X",(J7*0.138),"Enter x in a.or b."))</f>
        <v>1093389.3180000002</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206817</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3"/>
      <c r="C54" s="2194"/>
      <c r="D54" s="2194"/>
      <c r="E54" s="2194"/>
      <c r="F54" s="2194"/>
      <c r="G54" s="2194"/>
      <c r="H54" s="2194"/>
      <c r="I54" s="2194"/>
      <c r="J54" s="2194"/>
      <c r="K54" s="2194"/>
      <c r="L54" s="2195"/>
      <c r="M54" s="357"/>
    </row>
    <row r="55" spans="1:13" ht="12.75" customHeight="1" x14ac:dyDescent="0.2">
      <c r="B55" s="2196"/>
      <c r="C55" s="2197"/>
      <c r="D55" s="2197"/>
      <c r="E55" s="2197"/>
      <c r="F55" s="2197"/>
      <c r="G55" s="2197"/>
      <c r="H55" s="2197"/>
      <c r="I55" s="2197"/>
      <c r="J55" s="2197"/>
      <c r="K55" s="2197"/>
      <c r="L55" s="2198"/>
      <c r="M55" s="357"/>
    </row>
    <row r="56" spans="1:13" ht="12.75" customHeight="1" x14ac:dyDescent="0.2">
      <c r="B56" s="2196"/>
      <c r="C56" s="2197"/>
      <c r="D56" s="2197"/>
      <c r="E56" s="2197"/>
      <c r="F56" s="2197"/>
      <c r="G56" s="2197"/>
      <c r="H56" s="2197"/>
      <c r="I56" s="2197"/>
      <c r="J56" s="2197"/>
      <c r="K56" s="2197"/>
      <c r="L56" s="2198"/>
      <c r="M56" s="217"/>
    </row>
    <row r="57" spans="1:13" ht="12.75" customHeight="1" x14ac:dyDescent="0.2">
      <c r="B57" s="2196"/>
      <c r="C57" s="2197"/>
      <c r="D57" s="2197"/>
      <c r="E57" s="2197"/>
      <c r="F57" s="2197"/>
      <c r="G57" s="2197"/>
      <c r="H57" s="2197"/>
      <c r="I57" s="2197"/>
      <c r="J57" s="2197"/>
      <c r="K57" s="2197"/>
      <c r="L57" s="2198"/>
      <c r="M57" s="217"/>
    </row>
    <row r="58" spans="1:13" x14ac:dyDescent="0.2">
      <c r="B58" s="2199"/>
      <c r="C58" s="2200"/>
      <c r="D58" s="2200"/>
      <c r="E58" s="2200"/>
      <c r="F58" s="2200"/>
      <c r="G58" s="2200"/>
      <c r="H58" s="2200"/>
      <c r="I58" s="2200"/>
      <c r="J58" s="2200"/>
      <c r="K58" s="2200"/>
      <c r="L58" s="220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4"/>
      <c r="D61" s="220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7"/>
      <c r="B1" s="2208"/>
      <c r="C1" s="2208"/>
      <c r="D1" s="361"/>
      <c r="E1" s="361"/>
      <c r="F1" s="361"/>
      <c r="G1" s="361"/>
      <c r="H1" s="361"/>
      <c r="I1" s="361"/>
      <c r="J1" s="361"/>
      <c r="K1" s="361"/>
      <c r="L1" s="361"/>
      <c r="M1" s="361"/>
      <c r="N1" s="361"/>
      <c r="O1" s="2207"/>
      <c r="P1" s="2208"/>
      <c r="Q1" s="2208"/>
    </row>
    <row r="2" spans="1:18" ht="15" x14ac:dyDescent="0.2">
      <c r="A2" s="2211" t="s">
        <v>552</v>
      </c>
      <c r="B2" s="2211"/>
      <c r="C2" s="2211"/>
      <c r="D2" s="2211"/>
      <c r="E2" s="2211"/>
      <c r="F2" s="2211"/>
      <c r="G2" s="2211"/>
      <c r="H2" s="2211"/>
      <c r="I2" s="2211"/>
      <c r="J2" s="2211"/>
      <c r="K2" s="2211"/>
      <c r="L2" s="2211"/>
      <c r="M2" s="2211"/>
      <c r="N2" s="2211"/>
      <c r="O2" s="2211"/>
      <c r="P2" s="2211"/>
      <c r="Q2" s="2211"/>
      <c r="R2" s="2211"/>
    </row>
    <row r="3" spans="1:18" ht="12.75" x14ac:dyDescent="0.2">
      <c r="A3" s="2212" t="s">
        <v>1396</v>
      </c>
      <c r="B3" s="2212"/>
      <c r="C3" s="2212"/>
      <c r="D3" s="2212"/>
      <c r="E3" s="2212"/>
      <c r="F3" s="2212"/>
      <c r="G3" s="2212"/>
      <c r="H3" s="2212"/>
      <c r="I3" s="2212"/>
      <c r="J3" s="2212"/>
      <c r="K3" s="2212"/>
      <c r="L3" s="2212"/>
      <c r="M3" s="2212"/>
      <c r="N3" s="2212"/>
      <c r="O3" s="2212"/>
      <c r="P3" s="2212"/>
      <c r="Q3" s="2212"/>
      <c r="R3" s="2212"/>
    </row>
    <row r="4" spans="1:18" x14ac:dyDescent="0.2">
      <c r="A4" s="2213" t="s">
        <v>1537</v>
      </c>
      <c r="B4" s="2213"/>
      <c r="C4" s="2213"/>
      <c r="D4" s="2213"/>
      <c r="E4" s="2213"/>
      <c r="F4" s="2213"/>
      <c r="G4" s="2213"/>
      <c r="H4" s="2213"/>
      <c r="I4" s="2213"/>
      <c r="J4" s="2213"/>
      <c r="K4" s="2213"/>
      <c r="L4" s="2213"/>
      <c r="M4" s="2213"/>
      <c r="N4" s="2213"/>
      <c r="O4" s="2213"/>
      <c r="P4" s="2213"/>
      <c r="Q4" s="2213"/>
      <c r="R4" s="221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Pleasant Hill SD 69</v>
      </c>
      <c r="E7" s="368"/>
      <c r="G7" s="247"/>
      <c r="H7" s="364"/>
      <c r="I7" s="364"/>
      <c r="J7" s="364"/>
      <c r="K7" s="364"/>
      <c r="L7" s="307"/>
      <c r="M7" s="307"/>
      <c r="N7" s="307"/>
      <c r="O7" s="307"/>
      <c r="P7" s="307"/>
    </row>
    <row r="8" spans="1:18" ht="12.75" x14ac:dyDescent="0.2">
      <c r="A8" s="307"/>
      <c r="B8" s="307"/>
      <c r="C8" s="366" t="s">
        <v>1115</v>
      </c>
      <c r="D8" s="369">
        <f>COVER!A13</f>
        <v>48072069002</v>
      </c>
      <c r="E8" s="370"/>
      <c r="G8" s="307"/>
      <c r="H8" s="307"/>
      <c r="I8" s="307"/>
      <c r="J8" s="307"/>
      <c r="K8" s="307"/>
      <c r="L8" s="307"/>
      <c r="M8" s="307"/>
      <c r="N8" s="307"/>
      <c r="O8" s="307"/>
      <c r="P8" s="307"/>
    </row>
    <row r="9" spans="1:18" ht="12.75" x14ac:dyDescent="0.2">
      <c r="A9" s="307"/>
      <c r="B9" s="307"/>
      <c r="C9" s="366" t="s">
        <v>708</v>
      </c>
      <c r="D9" s="371" t="str">
        <f>COVER!A15</f>
        <v>Peoria</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1337790</v>
      </c>
      <c r="I12" s="380"/>
      <c r="J12" s="380"/>
      <c r="K12" s="1559">
        <f>TRUNC((H12/H13*100000),5)/100000</f>
        <v>0.49715022790000002</v>
      </c>
      <c r="L12" s="381"/>
      <c r="M12" s="337" t="s">
        <v>1134</v>
      </c>
      <c r="N12" s="337"/>
      <c r="O12" s="1562">
        <v>0.35</v>
      </c>
      <c r="P12" s="213"/>
      <c r="Q12" s="213"/>
    </row>
    <row r="13" spans="1:18" s="382" customFormat="1" ht="12.75" x14ac:dyDescent="0.2">
      <c r="A13" s="213"/>
      <c r="B13" s="377"/>
      <c r="C13" s="2209" t="s">
        <v>1313</v>
      </c>
      <c r="D13" s="2210"/>
      <c r="E13" s="213"/>
      <c r="F13" s="383" t="s">
        <v>788</v>
      </c>
      <c r="G13" s="378"/>
      <c r="H13" s="1551">
        <f>SUM('Acct Summary 7-8'!C8+'Acct Summary 7-8'!D8+'Acct Summary 7-8'!F8+'Acct Summary 7-8'!I8)+H14</f>
        <v>2690917</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2682977</v>
      </c>
      <c r="I17" s="380"/>
      <c r="J17" s="389"/>
      <c r="K17" s="1559">
        <f>TRUNC((H17/H18*100000),5)/100000</f>
        <v>0.99704933289999997</v>
      </c>
      <c r="L17" s="381"/>
      <c r="M17" s="390" t="s">
        <v>1161</v>
      </c>
      <c r="O17" s="1565" t="str">
        <f>IF(AND(O16="2", J20 &gt; 2),"1",IF(AND(O16 = "1", J20 &gt; 2),"2",IF(AND(O16="1", J20 &gt;1),"1","0")))</f>
        <v>0</v>
      </c>
      <c r="P17" s="213"/>
    </row>
    <row r="18" spans="1:18" s="382" customFormat="1" ht="11.25" x14ac:dyDescent="0.2">
      <c r="A18" s="213"/>
      <c r="B18" s="377"/>
      <c r="C18" s="2209" t="s">
        <v>1306</v>
      </c>
      <c r="D18" s="2210"/>
      <c r="E18" s="213"/>
      <c r="F18" s="391" t="s">
        <v>789</v>
      </c>
      <c r="G18" s="378"/>
      <c r="H18" s="1551">
        <f>SUM('Acct Summary 7-8'!C8+'Acct Summary 7-8'!D8+'Acct Summary 7-8'!F8+'Acct Summary 7-8'!I8)+H19</f>
        <v>2690917</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3</v>
      </c>
      <c r="P23" s="211"/>
      <c r="R23" s="361"/>
    </row>
    <row r="24" spans="1:18" s="382" customFormat="1" ht="11.25" x14ac:dyDescent="0.2">
      <c r="A24" s="213"/>
      <c r="B24" s="377"/>
      <c r="C24" s="2206" t="s">
        <v>1395</v>
      </c>
      <c r="D24" s="2206"/>
      <c r="E24" s="213"/>
      <c r="F24" s="213" t="s">
        <v>442</v>
      </c>
      <c r="G24" s="378"/>
      <c r="H24" s="1551">
        <f>SUM('Assets-Liab 5-6'!C4+'Assets-Liab 5-6'!D4+'Assets-Liab 5-6'!F4+'Assets-Liab 5-6'!I4+'Assets-Liab 5-6'!C5+'Assets-Liab 5-6'!D5+'Assets-Liab 5-6'!F5+'Assets-Liab 5-6'!I5)</f>
        <v>1337875</v>
      </c>
      <c r="I24" s="394"/>
      <c r="J24" s="394"/>
      <c r="K24" s="1555">
        <f>TRUNC(((H24/H25*100000)/100000),2)</f>
        <v>179.51</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7452.71389</v>
      </c>
      <c r="I25" s="396"/>
      <c r="J25" s="396"/>
      <c r="K25" s="1558"/>
      <c r="L25" s="213"/>
      <c r="M25" s="337" t="s">
        <v>1135</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207427.04598</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4</v>
      </c>
      <c r="P31" s="211"/>
    </row>
    <row r="32" spans="1:18" s="382" customFormat="1" ht="11.25" x14ac:dyDescent="0.2">
      <c r="A32" s="213"/>
      <c r="B32" s="377"/>
      <c r="C32" s="213" t="s">
        <v>842</v>
      </c>
      <c r="D32" s="213"/>
      <c r="E32" s="213"/>
      <c r="F32" s="213"/>
      <c r="G32" s="378"/>
      <c r="H32" s="1551">
        <f>'FP Info 3'!H37</f>
        <v>206817</v>
      </c>
      <c r="I32" s="392"/>
      <c r="J32" s="392"/>
      <c r="K32" s="1555">
        <f>TRUNC(100-((((H32/H33*100))*100)/100),2)</f>
        <v>81.08</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1093389.3180000002</v>
      </c>
      <c r="I33" s="392"/>
      <c r="J33" s="392"/>
      <c r="K33" s="379"/>
      <c r="L33" s="213"/>
      <c r="M33" s="401" t="s">
        <v>1135</v>
      </c>
      <c r="N33" s="401"/>
      <c r="O33" s="1568">
        <f>(O31*O32)</f>
        <v>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98" zoomScaleNormal="98" workbookViewId="0">
      <pane ySplit="2" topLeftCell="A12" activePane="bottomLeft" state="frozen"/>
      <selection pane="bottomLeft" activeCell="M41" sqref="M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4"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5"/>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6" t="s">
        <v>967</v>
      </c>
      <c r="B3" s="2217"/>
      <c r="C3" s="1306"/>
      <c r="D3" s="1307"/>
      <c r="E3" s="1307"/>
      <c r="F3" s="1307"/>
      <c r="G3" s="1307"/>
      <c r="H3" s="1307"/>
      <c r="I3" s="1307"/>
      <c r="J3" s="1307"/>
      <c r="K3" s="1307"/>
      <c r="L3" s="1307"/>
      <c r="M3" s="1308"/>
      <c r="N3" s="1309"/>
    </row>
    <row r="4" spans="1:14" ht="13.5" customHeight="1" x14ac:dyDescent="0.2">
      <c r="A4" s="427" t="s">
        <v>1632</v>
      </c>
      <c r="B4" s="428"/>
      <c r="C4" s="1572">
        <v>255172</v>
      </c>
      <c r="D4" s="1573">
        <v>100355</v>
      </c>
      <c r="E4" s="1573">
        <v>29826</v>
      </c>
      <c r="F4" s="1573">
        <v>81592</v>
      </c>
      <c r="G4" s="1573">
        <v>17801</v>
      </c>
      <c r="H4" s="1573">
        <v>18967</v>
      </c>
      <c r="I4" s="1573">
        <v>13954</v>
      </c>
      <c r="J4" s="1574">
        <v>53097</v>
      </c>
      <c r="K4" s="1573">
        <v>34212</v>
      </c>
      <c r="L4" s="1573">
        <v>18863</v>
      </c>
      <c r="M4" s="1575"/>
      <c r="N4" s="1576"/>
    </row>
    <row r="5" spans="1:14" x14ac:dyDescent="0.2">
      <c r="A5" s="427" t="s">
        <v>985</v>
      </c>
      <c r="B5" s="429">
        <v>120</v>
      </c>
      <c r="C5" s="1572">
        <v>806664</v>
      </c>
      <c r="D5" s="1573">
        <v>19459</v>
      </c>
      <c r="E5" s="1573"/>
      <c r="F5" s="1573">
        <v>16224</v>
      </c>
      <c r="G5" s="1573">
        <v>2197</v>
      </c>
      <c r="H5" s="1573"/>
      <c r="I5" s="1573">
        <v>44455</v>
      </c>
      <c r="J5" s="1574">
        <v>35329</v>
      </c>
      <c r="K5" s="1577">
        <v>4290</v>
      </c>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v>7000</v>
      </c>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1068836</v>
      </c>
      <c r="D13" s="1587">
        <f t="shared" ref="D13:L13" si="0">SUM(D4:D12)</f>
        <v>119814</v>
      </c>
      <c r="E13" s="1587">
        <f t="shared" si="0"/>
        <v>29826</v>
      </c>
      <c r="F13" s="1587">
        <f t="shared" si="0"/>
        <v>97816</v>
      </c>
      <c r="G13" s="1587">
        <f t="shared" si="0"/>
        <v>19998</v>
      </c>
      <c r="H13" s="1587">
        <f t="shared" si="0"/>
        <v>18967</v>
      </c>
      <c r="I13" s="1587">
        <f t="shared" si="0"/>
        <v>58409</v>
      </c>
      <c r="J13" s="1587">
        <f t="shared" si="0"/>
        <v>88426</v>
      </c>
      <c r="K13" s="1587">
        <f t="shared" si="0"/>
        <v>38502</v>
      </c>
      <c r="L13" s="1587">
        <f t="shared" si="0"/>
        <v>18863</v>
      </c>
      <c r="M13" s="1575"/>
      <c r="N13" s="1576"/>
    </row>
    <row r="14" spans="1:14" ht="18" customHeight="1" thickTop="1" x14ac:dyDescent="0.2">
      <c r="A14" s="2218" t="s">
        <v>146</v>
      </c>
      <c r="B14" s="2219"/>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22962</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2044593</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454326</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157885</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29826</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176991</v>
      </c>
    </row>
    <row r="23" spans="1:14" ht="13.5" customHeight="1" thickBot="1" x14ac:dyDescent="0.25">
      <c r="A23" s="1426" t="s">
        <v>638</v>
      </c>
      <c r="B23" s="1429"/>
      <c r="C23" s="1575"/>
      <c r="D23" s="1575"/>
      <c r="E23" s="1575"/>
      <c r="F23" s="1575"/>
      <c r="G23" s="1575"/>
      <c r="H23" s="1575"/>
      <c r="I23" s="1575"/>
      <c r="J23" s="1575"/>
      <c r="K23" s="1575"/>
      <c r="L23" s="1575"/>
      <c r="M23" s="1594">
        <f>SUM(M15:M22)</f>
        <v>2679766</v>
      </c>
      <c r="N23" s="1594">
        <f>SUM(N21:N22)</f>
        <v>206817</v>
      </c>
    </row>
    <row r="24" spans="1:14" ht="18" customHeight="1" thickTop="1" x14ac:dyDescent="0.2">
      <c r="A24" s="2220" t="s">
        <v>594</v>
      </c>
      <c r="B24" s="2221"/>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v>7000</v>
      </c>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v>85</v>
      </c>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18863</v>
      </c>
      <c r="M33" s="1575"/>
      <c r="N33" s="1576"/>
    </row>
    <row r="34" spans="1:14" ht="13.5" customHeight="1" thickBot="1" x14ac:dyDescent="0.25">
      <c r="A34" s="1427" t="s">
        <v>649</v>
      </c>
      <c r="B34" s="1428"/>
      <c r="C34" s="1600">
        <f>SUM(C25:C33)</f>
        <v>85</v>
      </c>
      <c r="D34" s="1600">
        <f t="shared" ref="D34:K34" si="1">SUM(D25:D33)</f>
        <v>0</v>
      </c>
      <c r="E34" s="1600">
        <f t="shared" si="1"/>
        <v>0</v>
      </c>
      <c r="F34" s="1600">
        <f t="shared" si="1"/>
        <v>7000</v>
      </c>
      <c r="G34" s="1600">
        <f t="shared" si="1"/>
        <v>0</v>
      </c>
      <c r="H34" s="1600">
        <f t="shared" si="1"/>
        <v>0</v>
      </c>
      <c r="I34" s="1600">
        <f t="shared" si="1"/>
        <v>0</v>
      </c>
      <c r="J34" s="1600">
        <f t="shared" si="1"/>
        <v>0</v>
      </c>
      <c r="K34" s="1600">
        <f t="shared" si="1"/>
        <v>0</v>
      </c>
      <c r="L34" s="1601">
        <f>SUM(L33)</f>
        <v>18863</v>
      </c>
      <c r="M34" s="1575"/>
      <c r="N34" s="1585"/>
    </row>
    <row r="35" spans="1:14" ht="18" customHeight="1" thickTop="1" x14ac:dyDescent="0.2">
      <c r="A35" s="2222" t="s">
        <v>526</v>
      </c>
      <c r="B35" s="2223"/>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206817</v>
      </c>
    </row>
    <row r="37" spans="1:14" ht="13.5" thickBot="1" x14ac:dyDescent="0.25">
      <c r="A37" s="1426" t="s">
        <v>648</v>
      </c>
      <c r="B37" s="1429"/>
      <c r="C37" s="1582"/>
      <c r="D37" s="1582"/>
      <c r="E37" s="1582"/>
      <c r="F37" s="1582"/>
      <c r="G37" s="1582"/>
      <c r="H37" s="1582"/>
      <c r="I37" s="1582"/>
      <c r="J37" s="1582"/>
      <c r="K37" s="1582"/>
      <c r="L37" s="1585"/>
      <c r="M37" s="1575"/>
      <c r="N37" s="1594">
        <f>SUM(N36:N36)</f>
        <v>206817</v>
      </c>
    </row>
    <row r="38" spans="1:14" s="307" customFormat="1" ht="13.5" customHeight="1" thickTop="1" x14ac:dyDescent="0.2">
      <c r="A38" s="438" t="s">
        <v>417</v>
      </c>
      <c r="B38" s="432">
        <v>714</v>
      </c>
      <c r="C38" s="1573">
        <v>12353</v>
      </c>
      <c r="D38" s="1573">
        <v>0</v>
      </c>
      <c r="E38" s="1573">
        <v>0</v>
      </c>
      <c r="F38" s="1573">
        <v>0</v>
      </c>
      <c r="G38" s="1573">
        <v>7022</v>
      </c>
      <c r="H38" s="1573">
        <v>0</v>
      </c>
      <c r="I38" s="1573">
        <v>0</v>
      </c>
      <c r="J38" s="1573">
        <v>0</v>
      </c>
      <c r="K38" s="1573">
        <v>0</v>
      </c>
      <c r="L38" s="1586"/>
      <c r="M38" s="1604"/>
      <c r="N38" s="1604"/>
    </row>
    <row r="39" spans="1:14" s="307" customFormat="1" ht="13.5" customHeight="1" x14ac:dyDescent="0.2">
      <c r="A39" s="438" t="s">
        <v>339</v>
      </c>
      <c r="B39" s="432">
        <v>730</v>
      </c>
      <c r="C39" s="1573">
        <f>'Acct Summary 7-8'!C81-C38</f>
        <v>1056398</v>
      </c>
      <c r="D39" s="1573">
        <f>'Acct Summary 7-8'!D81-D38</f>
        <v>119814</v>
      </c>
      <c r="E39" s="1573">
        <f>'Acct Summary 7-8'!E81-E38</f>
        <v>29826</v>
      </c>
      <c r="F39" s="1573">
        <f>'Acct Summary 7-8'!F81-F38</f>
        <v>90816</v>
      </c>
      <c r="G39" s="1573">
        <f>'Acct Summary 7-8'!G81-G38</f>
        <v>12976</v>
      </c>
      <c r="H39" s="1573">
        <f>'Acct Summary 7-8'!H81-H38</f>
        <v>18967</v>
      </c>
      <c r="I39" s="1573">
        <f>'Acct Summary 7-8'!I81-I38</f>
        <v>58409</v>
      </c>
      <c r="J39" s="1573">
        <f>'Acct Summary 7-8'!J81-J38</f>
        <v>88426</v>
      </c>
      <c r="K39" s="1573">
        <f>'Acct Summary 7-8'!K81-K38</f>
        <v>38502</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2679766</v>
      </c>
      <c r="N40" s="1604"/>
    </row>
    <row r="41" spans="1:14" ht="13.5" customHeight="1" thickBot="1" x14ac:dyDescent="0.25">
      <c r="A41" s="1426" t="s">
        <v>650</v>
      </c>
      <c r="B41" s="1405"/>
      <c r="C41" s="1594">
        <f>(SUM(C34,C37,C38,C39))</f>
        <v>1068836</v>
      </c>
      <c r="D41" s="1594">
        <f t="shared" ref="D41:L41" si="2">SUM(D34,D37,D38:D39)</f>
        <v>119814</v>
      </c>
      <c r="E41" s="1594">
        <f t="shared" si="2"/>
        <v>29826</v>
      </c>
      <c r="F41" s="1594">
        <f t="shared" si="2"/>
        <v>97816</v>
      </c>
      <c r="G41" s="1594">
        <f t="shared" si="2"/>
        <v>19998</v>
      </c>
      <c r="H41" s="1594">
        <f t="shared" si="2"/>
        <v>18967</v>
      </c>
      <c r="I41" s="1594">
        <f t="shared" si="2"/>
        <v>58409</v>
      </c>
      <c r="J41" s="1594">
        <f t="shared" si="2"/>
        <v>88426</v>
      </c>
      <c r="K41" s="1594">
        <f t="shared" si="2"/>
        <v>38502</v>
      </c>
      <c r="L41" s="1594">
        <f t="shared" si="2"/>
        <v>18863</v>
      </c>
      <c r="M41" s="1594">
        <f>SUM(M40)</f>
        <v>2679766</v>
      </c>
      <c r="N41" s="1594">
        <f>SUM(N37)</f>
        <v>206817</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&amp;F&amp;CThe notes are an intergral part of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98" zoomScaleNormal="98" zoomScaleSheetLayoutView="100" workbookViewId="0">
      <pane ySplit="2" topLeftCell="A36" activePane="bottomLeft" state="frozen"/>
      <selection pane="bottomLeft" activeCell="A47" sqref="A47:XFD4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2"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3"/>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4" t="s">
        <v>1165</v>
      </c>
      <c r="B3" s="2245"/>
      <c r="C3" s="1311"/>
      <c r="D3" s="1312"/>
      <c r="E3" s="1312"/>
      <c r="F3" s="1312"/>
      <c r="G3" s="1312"/>
      <c r="H3" s="1312"/>
      <c r="I3" s="1312"/>
      <c r="J3" s="1312"/>
      <c r="K3" s="1313"/>
      <c r="L3" s="446"/>
    </row>
    <row r="4" spans="1:13" ht="15.75" customHeight="1" x14ac:dyDescent="0.2">
      <c r="A4" s="1537" t="s">
        <v>1482</v>
      </c>
      <c r="B4" s="1538">
        <v>1000</v>
      </c>
      <c r="C4" s="1606">
        <f>'Revenues 9-14'!C109</f>
        <v>232314</v>
      </c>
      <c r="D4" s="1606">
        <f>'Revenues 9-14'!D109</f>
        <v>135124</v>
      </c>
      <c r="E4" s="1606">
        <f>'Revenues 9-14'!E109</f>
        <v>127540</v>
      </c>
      <c r="F4" s="1606">
        <f>'Revenues 9-14'!F109</f>
        <v>23832</v>
      </c>
      <c r="G4" s="1606">
        <f>'Revenues 9-14'!G109</f>
        <v>90781</v>
      </c>
      <c r="H4" s="1606">
        <f>'Revenues 9-14'!H109</f>
        <v>5599</v>
      </c>
      <c r="I4" s="1606">
        <f>'Revenues 9-14'!I109</f>
        <v>8183</v>
      </c>
      <c r="J4" s="1606">
        <f>'Revenues 9-14'!J109</f>
        <v>69850</v>
      </c>
      <c r="K4" s="1606">
        <f>'Revenues 9-14'!K109</f>
        <v>7819</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1713676</v>
      </c>
      <c r="D6" s="1607">
        <f>'Revenues 9-14'!D170</f>
        <v>0</v>
      </c>
      <c r="E6" s="1607">
        <f>'Revenues 9-14'!E170</f>
        <v>0</v>
      </c>
      <c r="F6" s="1607">
        <f>'Revenues 9-14'!F170</f>
        <v>152670</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425118</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2371108</v>
      </c>
      <c r="D8" s="1594">
        <f t="shared" ref="D8:K8" si="0">SUM(D4:D7)</f>
        <v>135124</v>
      </c>
      <c r="E8" s="1594">
        <f t="shared" si="0"/>
        <v>127540</v>
      </c>
      <c r="F8" s="1594">
        <f t="shared" si="0"/>
        <v>176502</v>
      </c>
      <c r="G8" s="1594">
        <f t="shared" si="0"/>
        <v>90781</v>
      </c>
      <c r="H8" s="1594">
        <f t="shared" si="0"/>
        <v>5599</v>
      </c>
      <c r="I8" s="1594">
        <f t="shared" si="0"/>
        <v>8183</v>
      </c>
      <c r="J8" s="1594">
        <f t="shared" si="0"/>
        <v>69850</v>
      </c>
      <c r="K8" s="1594">
        <f t="shared" si="0"/>
        <v>7819</v>
      </c>
      <c r="L8" s="325"/>
    </row>
    <row r="9" spans="1:13" ht="15.75" thickTop="1" x14ac:dyDescent="0.2">
      <c r="A9" s="449" t="s">
        <v>1634</v>
      </c>
      <c r="B9" s="450">
        <v>3998</v>
      </c>
      <c r="C9" s="1586">
        <v>898106</v>
      </c>
      <c r="D9" s="1613"/>
      <c r="E9" s="1586"/>
      <c r="F9" s="1586"/>
      <c r="G9" s="1614"/>
      <c r="H9" s="1586"/>
      <c r="I9" s="1609" t="s">
        <v>1159</v>
      </c>
      <c r="J9" s="1583"/>
      <c r="K9" s="1586"/>
      <c r="L9" s="325"/>
    </row>
    <row r="10" spans="1:13" s="452" customFormat="1" ht="13.5" thickBot="1" x14ac:dyDescent="0.25">
      <c r="A10" s="1426" t="s">
        <v>1163</v>
      </c>
      <c r="B10" s="1407"/>
      <c r="C10" s="1594">
        <f>SUM(C8:C9)</f>
        <v>3269214</v>
      </c>
      <c r="D10" s="1594">
        <f t="shared" ref="D10:K10" si="1">SUM(D8:D9)</f>
        <v>135124</v>
      </c>
      <c r="E10" s="1594">
        <f t="shared" si="1"/>
        <v>127540</v>
      </c>
      <c r="F10" s="1594">
        <f t="shared" si="1"/>
        <v>176502</v>
      </c>
      <c r="G10" s="1594">
        <f t="shared" si="1"/>
        <v>90781</v>
      </c>
      <c r="H10" s="1594">
        <f t="shared" si="1"/>
        <v>5599</v>
      </c>
      <c r="I10" s="1594">
        <f t="shared" si="1"/>
        <v>8183</v>
      </c>
      <c r="J10" s="1594">
        <f t="shared" si="1"/>
        <v>69850</v>
      </c>
      <c r="K10" s="1594">
        <f t="shared" si="1"/>
        <v>7819</v>
      </c>
      <c r="L10" s="451"/>
    </row>
    <row r="11" spans="1:13" s="452" customFormat="1" ht="16.7" customHeight="1" thickTop="1" x14ac:dyDescent="0.2">
      <c r="A11" s="2218" t="s">
        <v>1166</v>
      </c>
      <c r="B11" s="2219"/>
      <c r="C11" s="1602"/>
      <c r="D11" s="1603"/>
      <c r="E11" s="1603"/>
      <c r="F11" s="1603"/>
      <c r="G11" s="1603"/>
      <c r="H11" s="1603"/>
      <c r="I11" s="1603"/>
      <c r="J11" s="1603"/>
      <c r="K11" s="1615"/>
      <c r="L11" s="451"/>
    </row>
    <row r="12" spans="1:13" ht="15.75" customHeight="1" x14ac:dyDescent="0.2">
      <c r="A12" s="1314" t="s">
        <v>453</v>
      </c>
      <c r="B12" s="1316">
        <v>1000</v>
      </c>
      <c r="C12" s="1606">
        <f>'Expenditures 15-22'!K33</f>
        <v>1222407</v>
      </c>
      <c r="D12" s="1616" t="s">
        <v>1159</v>
      </c>
      <c r="E12" s="1575" t="s">
        <v>1159</v>
      </c>
      <c r="F12" s="1575" t="s">
        <v>1159</v>
      </c>
      <c r="G12" s="1606">
        <f>'Expenditures 15-22'!K229</f>
        <v>32481</v>
      </c>
      <c r="H12" s="1617"/>
      <c r="I12" s="1575" t="s">
        <v>1159</v>
      </c>
      <c r="J12" s="1575" t="s">
        <v>1159</v>
      </c>
      <c r="K12" s="1617" t="s">
        <v>1159</v>
      </c>
      <c r="L12" s="325"/>
    </row>
    <row r="13" spans="1:13" ht="15.75" customHeight="1" x14ac:dyDescent="0.2">
      <c r="A13" s="1314" t="s">
        <v>454</v>
      </c>
      <c r="B13" s="1316">
        <v>2000</v>
      </c>
      <c r="C13" s="1607">
        <f>'Expenditures 15-22'!K74</f>
        <v>678458</v>
      </c>
      <c r="D13" s="1607">
        <f>'Expenditures 15-22'!K129</f>
        <v>62553</v>
      </c>
      <c r="E13" s="1576" t="s">
        <v>1159</v>
      </c>
      <c r="F13" s="1607">
        <f>'Expenditures 15-22'!K184</f>
        <v>174456</v>
      </c>
      <c r="G13" s="1607">
        <f>'Expenditures 15-22'!K279</f>
        <v>50976</v>
      </c>
      <c r="H13" s="1607">
        <f>'Expenditures 15-22'!K303</f>
        <v>209501</v>
      </c>
      <c r="I13" s="1575" t="s">
        <v>1159</v>
      </c>
      <c r="J13" s="1607">
        <f>'Expenditures 15-22'!K330</f>
        <v>38115</v>
      </c>
      <c r="K13" s="1618">
        <f>'Expenditures 15-22'!K352</f>
        <v>0</v>
      </c>
      <c r="L13" s="325"/>
    </row>
    <row r="14" spans="1:13" ht="15.75" customHeight="1" x14ac:dyDescent="0.2">
      <c r="A14" s="1314" t="s">
        <v>446</v>
      </c>
      <c r="B14" s="1316">
        <v>3000</v>
      </c>
      <c r="C14" s="1607">
        <f>'Expenditures 15-22'!K75</f>
        <v>1002</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526841</v>
      </c>
      <c r="D15" s="1607">
        <f>'Expenditures 15-22'!K139</f>
        <v>17260</v>
      </c>
      <c r="E15" s="1607">
        <f>'Expenditures 15-22'!K160</f>
        <v>0</v>
      </c>
      <c r="F15" s="1607">
        <f>'Expenditures 15-22'!K196</f>
        <v>0</v>
      </c>
      <c r="G15" s="1607">
        <f>'Expenditures 15-22'!K285</f>
        <v>12902</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102248</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2428708</v>
      </c>
      <c r="D17" s="1594">
        <f t="shared" si="2"/>
        <v>79813</v>
      </c>
      <c r="E17" s="1594">
        <f t="shared" si="2"/>
        <v>102248</v>
      </c>
      <c r="F17" s="1594">
        <f t="shared" si="2"/>
        <v>174456</v>
      </c>
      <c r="G17" s="1594">
        <f t="shared" si="2"/>
        <v>96359</v>
      </c>
      <c r="H17" s="1594">
        <f t="shared" si="2"/>
        <v>209501</v>
      </c>
      <c r="I17" s="1575"/>
      <c r="J17" s="1594">
        <f>SUM(J12:J16)</f>
        <v>38115</v>
      </c>
      <c r="K17" s="1594">
        <f>SUM(K12:K16)</f>
        <v>0</v>
      </c>
      <c r="L17" s="325"/>
    </row>
    <row r="18" spans="1:12" ht="15" customHeight="1" thickTop="1" x14ac:dyDescent="0.2">
      <c r="A18" s="1430" t="s">
        <v>1635</v>
      </c>
      <c r="B18" s="1431">
        <v>4180</v>
      </c>
      <c r="C18" s="1606">
        <f t="shared" ref="C18:H18" si="3">C9</f>
        <v>898106</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3326814</v>
      </c>
      <c r="D19" s="1594">
        <f t="shared" si="4"/>
        <v>79813</v>
      </c>
      <c r="E19" s="1594">
        <f t="shared" si="4"/>
        <v>102248</v>
      </c>
      <c r="F19" s="1594">
        <f t="shared" si="4"/>
        <v>174456</v>
      </c>
      <c r="G19" s="1594">
        <f t="shared" si="4"/>
        <v>96359</v>
      </c>
      <c r="H19" s="1594">
        <f t="shared" si="4"/>
        <v>209501</v>
      </c>
      <c r="I19" s="1575"/>
      <c r="J19" s="1594">
        <f>SUM(J17:J18)</f>
        <v>38115</v>
      </c>
      <c r="K19" s="1594">
        <f>SUM(K17:K18)</f>
        <v>0</v>
      </c>
      <c r="L19" s="325"/>
    </row>
    <row r="20" spans="1:12" ht="16.5" thickTop="1" thickBot="1" x14ac:dyDescent="0.25">
      <c r="A20" s="2234" t="s">
        <v>1636</v>
      </c>
      <c r="B20" s="2235"/>
      <c r="C20" s="1622">
        <f>C8-C17</f>
        <v>-57600</v>
      </c>
      <c r="D20" s="1622">
        <f t="shared" ref="D20:K20" si="5">D8-D17</f>
        <v>55311</v>
      </c>
      <c r="E20" s="1622">
        <f t="shared" si="5"/>
        <v>25292</v>
      </c>
      <c r="F20" s="1622">
        <f t="shared" si="5"/>
        <v>2046</v>
      </c>
      <c r="G20" s="1622">
        <f t="shared" si="5"/>
        <v>-5578</v>
      </c>
      <c r="H20" s="1622">
        <f t="shared" si="5"/>
        <v>-203902</v>
      </c>
      <c r="I20" s="1622">
        <f t="shared" si="5"/>
        <v>8183</v>
      </c>
      <c r="J20" s="1622">
        <f t="shared" si="5"/>
        <v>31735</v>
      </c>
      <c r="K20" s="1622">
        <f t="shared" si="5"/>
        <v>7819</v>
      </c>
      <c r="L20" s="325"/>
    </row>
    <row r="21" spans="1:12" ht="16.7" customHeight="1" thickTop="1" x14ac:dyDescent="0.2">
      <c r="A21" s="2246" t="s">
        <v>591</v>
      </c>
      <c r="B21" s="2247"/>
      <c r="C21" s="1602"/>
      <c r="D21" s="1603"/>
      <c r="E21" s="1603"/>
      <c r="F21" s="1603"/>
      <c r="G21" s="1603"/>
      <c r="H21" s="1603"/>
      <c r="I21" s="1603"/>
      <c r="J21" s="1603"/>
      <c r="K21" s="1615"/>
      <c r="L21" s="453"/>
    </row>
    <row r="22" spans="1:12" ht="15.75" customHeight="1" collapsed="1" x14ac:dyDescent="0.2">
      <c r="A22" s="2242" t="s">
        <v>592</v>
      </c>
      <c r="B22" s="2243"/>
      <c r="C22" s="1582"/>
      <c r="D22" s="1582"/>
      <c r="E22" s="1582"/>
      <c r="F22" s="1582"/>
      <c r="G22" s="1582"/>
      <c r="H22" s="1582"/>
      <c r="I22" s="1582"/>
      <c r="J22" s="1582"/>
      <c r="K22" s="1582"/>
      <c r="L22" s="325"/>
    </row>
    <row r="23" spans="1:12" s="433" customFormat="1" ht="15.75" customHeight="1" x14ac:dyDescent="0.2">
      <c r="A23" s="2238" t="s">
        <v>290</v>
      </c>
      <c r="B23" s="2239"/>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v>100000</v>
      </c>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40" t="s">
        <v>974</v>
      </c>
      <c r="B32" s="2241"/>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8" t="s">
        <v>371</v>
      </c>
      <c r="B44" s="2249"/>
      <c r="C44" s="1624">
        <f>SUM(C24:C43)</f>
        <v>0</v>
      </c>
      <c r="D44" s="1624">
        <f t="shared" ref="D44:K44" si="6">SUM(D24:D43)</f>
        <v>0</v>
      </c>
      <c r="E44" s="1624">
        <f t="shared" si="6"/>
        <v>0</v>
      </c>
      <c r="F44" s="1624">
        <f t="shared" si="6"/>
        <v>0</v>
      </c>
      <c r="G44" s="1624">
        <f t="shared" si="6"/>
        <v>0</v>
      </c>
      <c r="H44" s="1624">
        <f t="shared" si="6"/>
        <v>100000</v>
      </c>
      <c r="I44" s="1624">
        <f t="shared" si="6"/>
        <v>0</v>
      </c>
      <c r="J44" s="1624">
        <f t="shared" si="6"/>
        <v>0</v>
      </c>
      <c r="K44" s="1624">
        <f t="shared" si="6"/>
        <v>0</v>
      </c>
      <c r="L44" s="453"/>
    </row>
    <row r="45" spans="1:12" ht="15.75" customHeight="1" thickTop="1" x14ac:dyDescent="0.2">
      <c r="A45" s="2242" t="s">
        <v>108</v>
      </c>
      <c r="B45" s="2243"/>
      <c r="C45" s="1625"/>
      <c r="D45" s="1625"/>
      <c r="E45" s="1625"/>
      <c r="F45" s="1625"/>
      <c r="G45" s="1625"/>
      <c r="H45" s="1625"/>
      <c r="I45" s="1625"/>
      <c r="J45" s="1625"/>
      <c r="K45" s="1625"/>
      <c r="L45" s="325"/>
    </row>
    <row r="46" spans="1:12" s="433" customFormat="1" ht="15.75" customHeight="1" x14ac:dyDescent="0.2">
      <c r="A46" s="2250" t="s">
        <v>109</v>
      </c>
      <c r="B46" s="2251"/>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100000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4" t="s">
        <v>437</v>
      </c>
      <c r="B76" s="2225"/>
      <c r="C76" s="1624">
        <f t="shared" ref="C76:K76" si="7">SUM(C47:C75)</f>
        <v>0</v>
      </c>
      <c r="D76" s="1624">
        <f t="shared" si="7"/>
        <v>0</v>
      </c>
      <c r="E76" s="1624">
        <f t="shared" si="7"/>
        <v>0</v>
      </c>
      <c r="F76" s="1624">
        <f t="shared" si="7"/>
        <v>0</v>
      </c>
      <c r="G76" s="1624">
        <f t="shared" si="7"/>
        <v>0</v>
      </c>
      <c r="H76" s="1624">
        <f t="shared" si="7"/>
        <v>0</v>
      </c>
      <c r="I76" s="1624">
        <f t="shared" si="7"/>
        <v>100000</v>
      </c>
      <c r="J76" s="1624">
        <f t="shared" si="7"/>
        <v>0</v>
      </c>
      <c r="K76" s="1624">
        <f t="shared" si="7"/>
        <v>0</v>
      </c>
      <c r="L76" s="453"/>
    </row>
    <row r="77" spans="1:12" ht="14.25" thickTop="1" thickBot="1" x14ac:dyDescent="0.25">
      <c r="A77" s="2226" t="s">
        <v>1167</v>
      </c>
      <c r="B77" s="2227"/>
      <c r="C77" s="1624">
        <f t="shared" ref="C77:K77" si="8">C44-C76</f>
        <v>0</v>
      </c>
      <c r="D77" s="1624">
        <f t="shared" si="8"/>
        <v>0</v>
      </c>
      <c r="E77" s="1624">
        <f t="shared" si="8"/>
        <v>0</v>
      </c>
      <c r="F77" s="1624">
        <f t="shared" si="8"/>
        <v>0</v>
      </c>
      <c r="G77" s="1624">
        <f t="shared" si="8"/>
        <v>0</v>
      </c>
      <c r="H77" s="1624">
        <f t="shared" si="8"/>
        <v>100000</v>
      </c>
      <c r="I77" s="1624">
        <f t="shared" si="8"/>
        <v>-100000</v>
      </c>
      <c r="J77" s="1624">
        <f t="shared" si="8"/>
        <v>0</v>
      </c>
      <c r="K77" s="1624">
        <f t="shared" si="8"/>
        <v>0</v>
      </c>
      <c r="L77" s="325"/>
    </row>
    <row r="78" spans="1:12" ht="21.75" customHeight="1" thickTop="1" thickBot="1" x14ac:dyDescent="0.25">
      <c r="A78" s="2230" t="s">
        <v>593</v>
      </c>
      <c r="B78" s="2231"/>
      <c r="C78" s="1629">
        <f t="shared" ref="C78:K78" si="9">C20+C77</f>
        <v>-57600</v>
      </c>
      <c r="D78" s="1629">
        <f t="shared" si="9"/>
        <v>55311</v>
      </c>
      <c r="E78" s="1629">
        <f t="shared" si="9"/>
        <v>25292</v>
      </c>
      <c r="F78" s="1629">
        <f t="shared" si="9"/>
        <v>2046</v>
      </c>
      <c r="G78" s="1629">
        <f t="shared" si="9"/>
        <v>-5578</v>
      </c>
      <c r="H78" s="1629">
        <f t="shared" si="9"/>
        <v>-103902</v>
      </c>
      <c r="I78" s="1629">
        <f t="shared" si="9"/>
        <v>-91817</v>
      </c>
      <c r="J78" s="1629">
        <f t="shared" si="9"/>
        <v>31735</v>
      </c>
      <c r="K78" s="1629">
        <f t="shared" si="9"/>
        <v>7819</v>
      </c>
      <c r="L78" s="457"/>
    </row>
    <row r="79" spans="1:12" ht="13.5" thickTop="1" x14ac:dyDescent="0.2">
      <c r="A79" s="1844" t="str">
        <f>"Fund Balances - July 1, "&amp;'AFR20'!E2-1</f>
        <v>Fund Balances - July 1, 2019</v>
      </c>
      <c r="B79" s="458"/>
      <c r="C79" s="1583">
        <v>1126351</v>
      </c>
      <c r="D79" s="1630">
        <v>64503</v>
      </c>
      <c r="E79" s="1630">
        <v>4534</v>
      </c>
      <c r="F79" s="1630">
        <v>88770</v>
      </c>
      <c r="G79" s="1630">
        <v>25576</v>
      </c>
      <c r="H79" s="1630">
        <v>122869</v>
      </c>
      <c r="I79" s="1630">
        <v>150226</v>
      </c>
      <c r="J79" s="1630">
        <v>56691</v>
      </c>
      <c r="K79" s="1630">
        <v>30683</v>
      </c>
      <c r="L79" s="325"/>
    </row>
    <row r="80" spans="1:12" x14ac:dyDescent="0.2">
      <c r="A80" s="2236" t="s">
        <v>1772</v>
      </c>
      <c r="B80" s="2237"/>
      <c r="C80" s="1574"/>
      <c r="D80" s="1574"/>
      <c r="E80" s="1574"/>
      <c r="F80" s="1574"/>
      <c r="G80" s="1574"/>
      <c r="H80" s="1574"/>
      <c r="I80" s="1574"/>
      <c r="J80" s="1574"/>
      <c r="K80" s="1574"/>
      <c r="L80" s="325"/>
    </row>
    <row r="81" spans="1:12" ht="13.5" thickBot="1" x14ac:dyDescent="0.25">
      <c r="A81" s="2228" t="str">
        <f>"Fund Balances - June 30, "&amp;'AFR20'!E2</f>
        <v>Fund Balances - June 30, 2020</v>
      </c>
      <c r="B81" s="2229"/>
      <c r="C81" s="1594">
        <f>(SUM(C78:C80))</f>
        <v>1068751</v>
      </c>
      <c r="D81" s="1594">
        <f>SUM(D78:D80)</f>
        <v>119814</v>
      </c>
      <c r="E81" s="1594">
        <f t="shared" ref="E81:K81" si="10">SUM(E78:E80)</f>
        <v>29826</v>
      </c>
      <c r="F81" s="1594">
        <f t="shared" si="10"/>
        <v>90816</v>
      </c>
      <c r="G81" s="1594">
        <f t="shared" si="10"/>
        <v>19998</v>
      </c>
      <c r="H81" s="1594">
        <f t="shared" si="10"/>
        <v>18967</v>
      </c>
      <c r="I81" s="1594">
        <f t="shared" si="10"/>
        <v>58409</v>
      </c>
      <c r="J81" s="1594">
        <f t="shared" si="10"/>
        <v>88426</v>
      </c>
      <c r="K81" s="1594">
        <f t="shared" si="10"/>
        <v>38502</v>
      </c>
      <c r="L81" s="325"/>
    </row>
    <row r="82" spans="1:12" ht="0.75" customHeight="1" thickTop="1" thickBot="1" x14ac:dyDescent="0.25">
      <c r="A82" s="459" t="s">
        <v>340</v>
      </c>
      <c r="B82" s="460"/>
      <c r="C82" s="461">
        <f>(C81-C79)</f>
        <v>-57600</v>
      </c>
      <c r="D82" s="461">
        <f t="shared" ref="D82:K82" si="11">(D81-D79)</f>
        <v>55311</v>
      </c>
      <c r="E82" s="461">
        <f t="shared" si="11"/>
        <v>25292</v>
      </c>
      <c r="F82" s="461">
        <f t="shared" si="11"/>
        <v>2046</v>
      </c>
      <c r="G82" s="461">
        <f t="shared" si="11"/>
        <v>-5578</v>
      </c>
      <c r="H82" s="461">
        <f t="shared" si="11"/>
        <v>-103902</v>
      </c>
      <c r="I82" s="461">
        <f t="shared" si="11"/>
        <v>-91817</v>
      </c>
      <c r="J82" s="461">
        <f t="shared" si="11"/>
        <v>31735</v>
      </c>
      <c r="K82" s="461">
        <f t="shared" si="11"/>
        <v>7819</v>
      </c>
    </row>
    <row r="83" spans="1:12" ht="14.25" hidden="1" thickTop="1" thickBot="1" x14ac:dyDescent="0.25">
      <c r="A83" s="462" t="s">
        <v>341</v>
      </c>
      <c r="B83" s="428"/>
      <c r="C83" s="463">
        <f>C82/C81</f>
        <v>-5.3894686414328499E-2</v>
      </c>
      <c r="D83" s="463">
        <f t="shared" ref="D83:K83" si="12">D82/D81</f>
        <v>0.46164054284140416</v>
      </c>
      <c r="E83" s="463">
        <f t="shared" si="12"/>
        <v>0.8479849795480453</v>
      </c>
      <c r="F83" s="463">
        <f t="shared" si="12"/>
        <v>2.2529069767441859E-2</v>
      </c>
      <c r="G83" s="463">
        <f t="shared" si="12"/>
        <v>-0.27892789278927893</v>
      </c>
      <c r="H83" s="463">
        <f t="shared" si="12"/>
        <v>-5.4780408077186689</v>
      </c>
      <c r="I83" s="463">
        <f t="shared" si="12"/>
        <v>-1.5719666489753292</v>
      </c>
      <c r="J83" s="463">
        <f t="shared" si="12"/>
        <v>0.35888765747630785</v>
      </c>
      <c r="K83" s="463">
        <f t="shared" si="12"/>
        <v>0.20308035946184613</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&amp;F&amp;CThe notes are an intergral part of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98" zoomScaleNormal="98" zoomScaleSheetLayoutView="75" workbookViewId="0">
      <pane ySplit="2" topLeftCell="A244" activePane="bottomLeft" state="frozen"/>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2" t="s">
        <v>1779</v>
      </c>
      <c r="B1" s="416"/>
      <c r="C1" s="417" t="s">
        <v>422</v>
      </c>
      <c r="D1" s="417" t="s">
        <v>423</v>
      </c>
      <c r="E1" s="417" t="s">
        <v>424</v>
      </c>
      <c r="F1" s="417" t="s">
        <v>425</v>
      </c>
      <c r="G1" s="417" t="s">
        <v>426</v>
      </c>
      <c r="H1" s="417" t="s">
        <v>427</v>
      </c>
      <c r="I1" s="417" t="s">
        <v>428</v>
      </c>
      <c r="J1" s="417" t="s">
        <v>429</v>
      </c>
      <c r="K1" s="417" t="s">
        <v>751</v>
      </c>
    </row>
    <row r="2" spans="1:12" ht="36" x14ac:dyDescent="0.2">
      <c r="A2" s="2233"/>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182070</v>
      </c>
      <c r="D5" s="1586">
        <v>38904</v>
      </c>
      <c r="E5" s="1573">
        <v>62100</v>
      </c>
      <c r="F5" s="1631">
        <v>18674</v>
      </c>
      <c r="G5" s="1573">
        <v>39989</v>
      </c>
      <c r="H5" s="1573"/>
      <c r="I5" s="1573">
        <v>7781</v>
      </c>
      <c r="J5" s="1574">
        <v>69531</v>
      </c>
      <c r="K5" s="1573">
        <v>7781</v>
      </c>
    </row>
    <row r="6" spans="1:12" ht="15" x14ac:dyDescent="0.2">
      <c r="A6" s="427" t="s">
        <v>1643</v>
      </c>
      <c r="B6" s="429">
        <v>1130</v>
      </c>
      <c r="C6" s="1573">
        <v>7781</v>
      </c>
      <c r="D6" s="1573"/>
      <c r="E6" s="1580"/>
      <c r="F6" s="1580"/>
      <c r="G6" s="1575"/>
      <c r="H6" s="1575"/>
      <c r="I6" s="1575"/>
      <c r="J6" s="1575"/>
      <c r="K6" s="1575"/>
    </row>
    <row r="7" spans="1:12" x14ac:dyDescent="0.2">
      <c r="A7" s="427" t="s">
        <v>110</v>
      </c>
      <c r="B7" s="471">
        <v>1140</v>
      </c>
      <c r="C7" s="1573">
        <v>3112</v>
      </c>
      <c r="D7" s="1573"/>
      <c r="E7" s="1575"/>
      <c r="F7" s="1574"/>
      <c r="G7" s="1574"/>
      <c r="H7" s="1574"/>
      <c r="I7" s="1575"/>
      <c r="J7" s="1575"/>
      <c r="K7" s="1575"/>
    </row>
    <row r="8" spans="1:12" x14ac:dyDescent="0.2">
      <c r="A8" s="427" t="s">
        <v>410</v>
      </c>
      <c r="B8" s="429">
        <v>1150</v>
      </c>
      <c r="C8" s="1580"/>
      <c r="D8" s="1580"/>
      <c r="E8" s="1582"/>
      <c r="F8" s="1582"/>
      <c r="G8" s="1586">
        <v>49987</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192963</v>
      </c>
      <c r="D12" s="1633">
        <f t="shared" si="0"/>
        <v>38904</v>
      </c>
      <c r="E12" s="1633">
        <f t="shared" si="0"/>
        <v>62100</v>
      </c>
      <c r="F12" s="1633">
        <f t="shared" si="0"/>
        <v>18674</v>
      </c>
      <c r="G12" s="1633">
        <f t="shared" si="0"/>
        <v>89976</v>
      </c>
      <c r="H12" s="1633">
        <f t="shared" si="0"/>
        <v>0</v>
      </c>
      <c r="I12" s="1633">
        <f t="shared" si="0"/>
        <v>7781</v>
      </c>
      <c r="J12" s="1633">
        <f t="shared" si="0"/>
        <v>69531</v>
      </c>
      <c r="K12" s="1594">
        <f t="shared" si="0"/>
        <v>7781</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c r="D16" s="1573">
        <v>52882</v>
      </c>
      <c r="E16" s="1573"/>
      <c r="F16" s="1573"/>
      <c r="G16" s="1573">
        <v>805</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0</v>
      </c>
      <c r="D18" s="1635">
        <f t="shared" ref="D18:K18" si="1">SUM(D14:D17)</f>
        <v>52882</v>
      </c>
      <c r="E18" s="1635">
        <f t="shared" si="1"/>
        <v>0</v>
      </c>
      <c r="F18" s="1635">
        <f t="shared" si="1"/>
        <v>0</v>
      </c>
      <c r="G18" s="1635">
        <f t="shared" si="1"/>
        <v>805</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14025</v>
      </c>
      <c r="D65" s="1573">
        <v>176</v>
      </c>
      <c r="E65" s="1573"/>
      <c r="F65" s="1574">
        <v>146</v>
      </c>
      <c r="G65" s="1573"/>
      <c r="H65" s="1573"/>
      <c r="I65" s="1573">
        <v>402</v>
      </c>
      <c r="J65" s="1574">
        <v>319</v>
      </c>
      <c r="K65" s="1573">
        <v>38</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14025</v>
      </c>
      <c r="D67" s="1594">
        <f t="shared" ref="D67:K67" si="2">SUM(D65:D66)</f>
        <v>176</v>
      </c>
      <c r="E67" s="1594">
        <f t="shared" si="2"/>
        <v>0</v>
      </c>
      <c r="F67" s="1594">
        <f t="shared" si="2"/>
        <v>146</v>
      </c>
      <c r="G67" s="1594">
        <f t="shared" si="2"/>
        <v>0</v>
      </c>
      <c r="H67" s="1594">
        <f t="shared" si="2"/>
        <v>0</v>
      </c>
      <c r="I67" s="1594">
        <f t="shared" si="2"/>
        <v>402</v>
      </c>
      <c r="J67" s="1594">
        <f t="shared" si="2"/>
        <v>319</v>
      </c>
      <c r="K67" s="1594">
        <f t="shared" si="2"/>
        <v>38</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46</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975</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1021</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1239</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324</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1563</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195</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195</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v>43162</v>
      </c>
      <c r="E95" s="1617"/>
      <c r="F95" s="1617"/>
      <c r="G95" s="1617"/>
      <c r="H95" s="1617"/>
      <c r="I95" s="1617"/>
      <c r="J95" s="1617"/>
      <c r="K95" s="1617"/>
    </row>
    <row r="96" spans="1:11" ht="12.75" customHeight="1" x14ac:dyDescent="0.2">
      <c r="A96" s="427" t="s">
        <v>388</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9603</v>
      </c>
      <c r="D99" s="1573"/>
      <c r="E99" s="1573"/>
      <c r="F99" s="1573">
        <v>5012</v>
      </c>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v>65440</v>
      </c>
      <c r="F103" s="1575"/>
      <c r="G103" s="1575"/>
      <c r="H103" s="1598">
        <v>5599</v>
      </c>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12944</v>
      </c>
      <c r="D107" s="1573"/>
      <c r="E107" s="1573"/>
      <c r="F107" s="1573"/>
      <c r="G107" s="1573"/>
      <c r="H107" s="1573"/>
      <c r="I107" s="1573"/>
      <c r="J107" s="1574"/>
      <c r="K107" s="1573"/>
    </row>
    <row r="108" spans="1:12" ht="12.75" customHeight="1" thickBot="1" x14ac:dyDescent="0.25">
      <c r="A108" s="1406" t="s">
        <v>484</v>
      </c>
      <c r="B108" s="1408"/>
      <c r="C108" s="1633">
        <f>SUM(C95:C107)</f>
        <v>22547</v>
      </c>
      <c r="D108" s="1633">
        <f t="shared" ref="D108:K108" si="3">SUM(D95:D107)</f>
        <v>43162</v>
      </c>
      <c r="E108" s="1633">
        <f t="shared" si="3"/>
        <v>65440</v>
      </c>
      <c r="F108" s="1633">
        <f t="shared" si="3"/>
        <v>5012</v>
      </c>
      <c r="G108" s="1633">
        <f t="shared" si="3"/>
        <v>0</v>
      </c>
      <c r="H108" s="1633">
        <f t="shared" si="3"/>
        <v>5599</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232314</v>
      </c>
      <c r="D109" s="1641">
        <f t="shared" si="4"/>
        <v>135124</v>
      </c>
      <c r="E109" s="1641">
        <f t="shared" si="4"/>
        <v>127540</v>
      </c>
      <c r="F109" s="1641">
        <f t="shared" si="4"/>
        <v>23832</v>
      </c>
      <c r="G109" s="1641">
        <f t="shared" si="4"/>
        <v>90781</v>
      </c>
      <c r="H109" s="1641">
        <f t="shared" si="4"/>
        <v>5599</v>
      </c>
      <c r="I109" s="1641">
        <f t="shared" si="4"/>
        <v>8183</v>
      </c>
      <c r="J109" s="1641">
        <f t="shared" si="4"/>
        <v>69850</v>
      </c>
      <c r="K109" s="1629">
        <f t="shared" si="4"/>
        <v>7819</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1544614</v>
      </c>
      <c r="D117" s="1586"/>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1544614</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52349</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8224</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60573</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0</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2168</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53064</v>
      </c>
      <c r="G152" s="1574"/>
      <c r="H152" s="1575"/>
      <c r="I152" s="1575"/>
      <c r="J152" s="1575"/>
      <c r="K152" s="1575"/>
    </row>
    <row r="153" spans="1:11" ht="12.75" customHeight="1" x14ac:dyDescent="0.2">
      <c r="A153" s="427" t="s">
        <v>1048</v>
      </c>
      <c r="B153" s="478">
        <v>3510</v>
      </c>
      <c r="C153" s="1632"/>
      <c r="D153" s="1573"/>
      <c r="E153" s="1640"/>
      <c r="F153" s="1573">
        <v>99606</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152670</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100172</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row>
    <row r="168" spans="1:11" ht="14.25" thickTop="1" thickBot="1" x14ac:dyDescent="0.25">
      <c r="A168" s="1270" t="s">
        <v>70</v>
      </c>
      <c r="B168" s="484">
        <v>3999</v>
      </c>
      <c r="C168" s="1654">
        <v>6149</v>
      </c>
      <c r="D168" s="1655"/>
      <c r="E168" s="1655"/>
      <c r="F168" s="1655"/>
      <c r="G168" s="1656"/>
      <c r="H168" s="1657"/>
      <c r="I168" s="1656"/>
      <c r="J168" s="1656"/>
      <c r="K168" s="1657"/>
    </row>
    <row r="169" spans="1:11" ht="12.75" customHeight="1" thickTop="1" thickBot="1" x14ac:dyDescent="0.25">
      <c r="A169" s="2252" t="s">
        <v>395</v>
      </c>
      <c r="B169" s="2253"/>
      <c r="C169" s="1658">
        <f t="shared" ref="C169:K169" si="6">SUM(C132,C141,C145,C146:C150,C155,C156:C167,C168)</f>
        <v>169062</v>
      </c>
      <c r="D169" s="1658">
        <f t="shared" si="6"/>
        <v>0</v>
      </c>
      <c r="E169" s="1658">
        <f t="shared" si="6"/>
        <v>0</v>
      </c>
      <c r="F169" s="1658">
        <f t="shared" si="6"/>
        <v>152670</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1713676</v>
      </c>
      <c r="D170" s="1641">
        <f t="shared" si="7"/>
        <v>0</v>
      </c>
      <c r="E170" s="1641">
        <f t="shared" si="7"/>
        <v>0</v>
      </c>
      <c r="F170" s="1641">
        <f t="shared" si="7"/>
        <v>152670</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4" t="s">
        <v>1475</v>
      </c>
      <c r="B172" s="2255"/>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8" t="s">
        <v>1646</v>
      </c>
      <c r="B175" s="2259"/>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2" t="s">
        <v>1645</v>
      </c>
      <c r="B176" s="2263"/>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60" t="s">
        <v>780</v>
      </c>
      <c r="B181" s="2261"/>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6" t="s">
        <v>1780</v>
      </c>
      <c r="B182" s="2257"/>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94639</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42306</v>
      </c>
      <c r="D193" s="1575"/>
      <c r="E193" s="1640"/>
      <c r="F193" s="1575"/>
      <c r="G193" s="1664"/>
      <c r="H193" s="1575"/>
      <c r="I193" s="1575"/>
      <c r="J193" s="1575"/>
      <c r="K193" s="1575"/>
    </row>
    <row r="194" spans="1:11" ht="12.75" customHeight="1" x14ac:dyDescent="0.2">
      <c r="A194" s="427" t="s">
        <v>1434</v>
      </c>
      <c r="B194" s="429">
        <v>4225</v>
      </c>
      <c r="C194" s="1632">
        <v>40131</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v>5245</v>
      </c>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182321</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145638</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145638</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84510</v>
      </c>
      <c r="D213" s="1573"/>
      <c r="E213" s="1575"/>
      <c r="F213" s="1573"/>
      <c r="G213" s="1573"/>
      <c r="H213" s="1575"/>
      <c r="I213" s="1575"/>
      <c r="J213" s="1575"/>
      <c r="K213" s="1575"/>
    </row>
    <row r="214" spans="1:11" ht="12.75" customHeight="1" x14ac:dyDescent="0.2">
      <c r="A214" s="427" t="s">
        <v>1045</v>
      </c>
      <c r="B214" s="429">
        <v>4625</v>
      </c>
      <c r="C214" s="1632"/>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84510</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2603</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4446</v>
      </c>
      <c r="D263" s="1651"/>
      <c r="E263" s="1575"/>
      <c r="F263" s="1651"/>
      <c r="G263" s="1651"/>
      <c r="H263" s="1575"/>
      <c r="I263" s="1575"/>
      <c r="J263" s="1575"/>
      <c r="K263" s="1575"/>
    </row>
    <row r="264" spans="1:11" ht="12.75" customHeight="1" thickTop="1" thickBot="1" x14ac:dyDescent="0.25">
      <c r="A264" s="427" t="s">
        <v>374</v>
      </c>
      <c r="B264" s="429">
        <v>4992</v>
      </c>
      <c r="C264" s="1650">
        <v>5600</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425118</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425118</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2371108</v>
      </c>
      <c r="D268" s="1641">
        <f t="shared" si="12"/>
        <v>135124</v>
      </c>
      <c r="E268" s="1641">
        <f t="shared" si="12"/>
        <v>127540</v>
      </c>
      <c r="F268" s="1641">
        <f t="shared" si="12"/>
        <v>176502</v>
      </c>
      <c r="G268" s="1641">
        <f t="shared" si="12"/>
        <v>90781</v>
      </c>
      <c r="H268" s="1641">
        <f t="shared" si="12"/>
        <v>5599</v>
      </c>
      <c r="I268" s="1641">
        <f t="shared" si="12"/>
        <v>8183</v>
      </c>
      <c r="J268" s="1641">
        <f t="shared" si="12"/>
        <v>69850</v>
      </c>
      <c r="K268" s="1629">
        <f t="shared" si="12"/>
        <v>7819</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&amp;F&amp;CThe notes are an intergral part of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02" zoomScaleNormal="102" workbookViewId="0">
      <pane ySplit="2" topLeftCell="A69" activePane="bottomLeft" state="frozen"/>
      <selection pane="bottomLeft" activeCell="E51" sqref="E51"/>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2"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6"/>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72" t="s">
        <v>294</v>
      </c>
      <c r="B3" s="2273"/>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723995</v>
      </c>
      <c r="D5" s="1573">
        <v>77542</v>
      </c>
      <c r="E5" s="1573">
        <v>50390</v>
      </c>
      <c r="F5" s="1573">
        <v>22994</v>
      </c>
      <c r="G5" s="1573">
        <v>10589</v>
      </c>
      <c r="H5" s="1573">
        <v>5746</v>
      </c>
      <c r="I5" s="1574"/>
      <c r="J5" s="1574"/>
      <c r="K5" s="1672">
        <f>SUM(C5:J5)</f>
        <v>891256</v>
      </c>
      <c r="L5" s="1573">
        <v>1043981</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63716</v>
      </c>
      <c r="D7" s="1574">
        <v>11715</v>
      </c>
      <c r="E7" s="1574"/>
      <c r="F7" s="1574"/>
      <c r="G7" s="1574"/>
      <c r="H7" s="1574"/>
      <c r="I7" s="1574"/>
      <c r="J7" s="1574"/>
      <c r="K7" s="1672">
        <f t="shared" ref="K7:K32" si="0">SUM(C7:J7)</f>
        <v>75431</v>
      </c>
      <c r="L7" s="1573">
        <v>91951</v>
      </c>
    </row>
    <row r="8" spans="1:14" x14ac:dyDescent="0.2">
      <c r="A8" s="1274" t="s">
        <v>163</v>
      </c>
      <c r="B8" s="503">
        <v>1200</v>
      </c>
      <c r="C8" s="1573">
        <v>102868</v>
      </c>
      <c r="D8" s="1573">
        <v>18594</v>
      </c>
      <c r="E8" s="1573">
        <v>5000</v>
      </c>
      <c r="F8" s="1573"/>
      <c r="G8" s="1573">
        <v>27652</v>
      </c>
      <c r="H8" s="1573"/>
      <c r="I8" s="1574"/>
      <c r="J8" s="1574"/>
      <c r="K8" s="1672">
        <f t="shared" si="0"/>
        <v>154114</v>
      </c>
      <c r="L8" s="1573">
        <v>156992</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11267</v>
      </c>
      <c r="D10" s="1573">
        <v>2083</v>
      </c>
      <c r="E10" s="1573">
        <v>8006</v>
      </c>
      <c r="F10" s="1573">
        <v>55862</v>
      </c>
      <c r="G10" s="1573">
        <v>8520</v>
      </c>
      <c r="H10" s="1573"/>
      <c r="I10" s="1574"/>
      <c r="J10" s="1574"/>
      <c r="K10" s="1672">
        <f t="shared" si="0"/>
        <v>85738</v>
      </c>
      <c r="L10" s="1573">
        <v>78529</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c r="D13" s="1573"/>
      <c r="E13" s="1573"/>
      <c r="F13" s="1573"/>
      <c r="G13" s="1573"/>
      <c r="H13" s="1573"/>
      <c r="I13" s="1574"/>
      <c r="J13" s="1574"/>
      <c r="K13" s="1672">
        <f t="shared" si="0"/>
        <v>0</v>
      </c>
      <c r="L13" s="1573"/>
    </row>
    <row r="14" spans="1:14" x14ac:dyDescent="0.2">
      <c r="A14" s="1274" t="s">
        <v>957</v>
      </c>
      <c r="B14" s="503">
        <v>1500</v>
      </c>
      <c r="C14" s="1573">
        <v>12806</v>
      </c>
      <c r="D14" s="1573">
        <v>333</v>
      </c>
      <c r="E14" s="1573">
        <v>2059</v>
      </c>
      <c r="F14" s="1573"/>
      <c r="G14" s="1573"/>
      <c r="H14" s="1573">
        <v>670</v>
      </c>
      <c r="I14" s="1574"/>
      <c r="J14" s="1574"/>
      <c r="K14" s="1672">
        <f t="shared" si="0"/>
        <v>15868</v>
      </c>
      <c r="L14" s="1573">
        <v>15017</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914652</v>
      </c>
      <c r="D33" s="1674">
        <f t="shared" ref="D33:L33" si="1">SUM(D5:D32)</f>
        <v>110267</v>
      </c>
      <c r="E33" s="1674">
        <f t="shared" si="1"/>
        <v>65455</v>
      </c>
      <c r="F33" s="1674">
        <f t="shared" si="1"/>
        <v>78856</v>
      </c>
      <c r="G33" s="1674">
        <f t="shared" si="1"/>
        <v>46761</v>
      </c>
      <c r="H33" s="1674">
        <f t="shared" si="1"/>
        <v>6416</v>
      </c>
      <c r="I33" s="1674">
        <f t="shared" si="1"/>
        <v>0</v>
      </c>
      <c r="J33" s="1674">
        <f t="shared" si="1"/>
        <v>0</v>
      </c>
      <c r="K33" s="1674">
        <f t="shared" si="1"/>
        <v>1222407</v>
      </c>
      <c r="L33" s="1674">
        <f t="shared" si="1"/>
        <v>1386470</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56707</v>
      </c>
      <c r="D36" s="1586">
        <v>5923</v>
      </c>
      <c r="E36" s="1586">
        <v>11760</v>
      </c>
      <c r="F36" s="1586"/>
      <c r="G36" s="1586"/>
      <c r="H36" s="1586"/>
      <c r="I36" s="1574"/>
      <c r="J36" s="1574"/>
      <c r="K36" s="1672">
        <f t="shared" ref="K36:K41" si="2">SUM(C36:J36)</f>
        <v>74390</v>
      </c>
      <c r="L36" s="1573">
        <v>63013</v>
      </c>
    </row>
    <row r="37" spans="1:14" x14ac:dyDescent="0.2">
      <c r="A37" s="1274" t="s">
        <v>1081</v>
      </c>
      <c r="B37" s="503">
        <v>2120</v>
      </c>
      <c r="C37" s="1573"/>
      <c r="D37" s="1573"/>
      <c r="E37" s="1573">
        <v>23640</v>
      </c>
      <c r="F37" s="1573"/>
      <c r="G37" s="1573"/>
      <c r="H37" s="1573"/>
      <c r="I37" s="1574"/>
      <c r="J37" s="1574"/>
      <c r="K37" s="1672">
        <f t="shared" si="2"/>
        <v>23640</v>
      </c>
      <c r="L37" s="1573">
        <v>20000</v>
      </c>
    </row>
    <row r="38" spans="1:14" x14ac:dyDescent="0.2">
      <c r="A38" s="1274" t="s">
        <v>196</v>
      </c>
      <c r="B38" s="503">
        <v>2130</v>
      </c>
      <c r="C38" s="1573">
        <v>52369</v>
      </c>
      <c r="D38" s="1573">
        <v>5915</v>
      </c>
      <c r="E38" s="1573">
        <v>929</v>
      </c>
      <c r="F38" s="1573"/>
      <c r="G38" s="1573"/>
      <c r="H38" s="1573"/>
      <c r="I38" s="1574"/>
      <c r="J38" s="1574"/>
      <c r="K38" s="1672">
        <f t="shared" si="2"/>
        <v>59213</v>
      </c>
      <c r="L38" s="1573">
        <v>25933</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c r="F40" s="1573"/>
      <c r="G40" s="1573"/>
      <c r="H40" s="1573"/>
      <c r="I40" s="1574"/>
      <c r="J40" s="1574"/>
      <c r="K40" s="1672">
        <f t="shared" si="2"/>
        <v>0</v>
      </c>
      <c r="L40" s="1573"/>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109076</v>
      </c>
      <c r="D42" s="1674">
        <f t="shared" ref="D42:L42" si="3">SUM(D36:D41)</f>
        <v>11838</v>
      </c>
      <c r="E42" s="1674">
        <f t="shared" si="3"/>
        <v>36329</v>
      </c>
      <c r="F42" s="1674">
        <f t="shared" si="3"/>
        <v>0</v>
      </c>
      <c r="G42" s="1674">
        <f t="shared" si="3"/>
        <v>0</v>
      </c>
      <c r="H42" s="1674">
        <f t="shared" si="3"/>
        <v>0</v>
      </c>
      <c r="I42" s="1674">
        <f t="shared" si="3"/>
        <v>0</v>
      </c>
      <c r="J42" s="1674">
        <f t="shared" si="3"/>
        <v>0</v>
      </c>
      <c r="K42" s="1674">
        <f t="shared" si="3"/>
        <v>157243</v>
      </c>
      <c r="L42" s="1674">
        <f t="shared" si="3"/>
        <v>108946</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c r="D44" s="1586"/>
      <c r="E44" s="1586">
        <v>6659</v>
      </c>
      <c r="F44" s="1586"/>
      <c r="G44" s="1586"/>
      <c r="H44" s="1586"/>
      <c r="I44" s="1574"/>
      <c r="J44" s="1574"/>
      <c r="K44" s="1678">
        <f>SUM(C44:J44)</f>
        <v>6659</v>
      </c>
      <c r="L44" s="1586">
        <v>7388</v>
      </c>
    </row>
    <row r="45" spans="1:14" x14ac:dyDescent="0.2">
      <c r="A45" s="1274" t="s">
        <v>810</v>
      </c>
      <c r="B45" s="503">
        <v>2220</v>
      </c>
      <c r="C45" s="1573"/>
      <c r="D45" s="1573"/>
      <c r="E45" s="1573">
        <v>745</v>
      </c>
      <c r="F45" s="1573"/>
      <c r="G45" s="1573"/>
      <c r="H45" s="1573"/>
      <c r="I45" s="1574"/>
      <c r="J45" s="1574"/>
      <c r="K45" s="1678">
        <f>SUM(C45:J45)</f>
        <v>745</v>
      </c>
      <c r="L45" s="1573">
        <v>750</v>
      </c>
    </row>
    <row r="46" spans="1:14" x14ac:dyDescent="0.2">
      <c r="A46" s="1274" t="s">
        <v>811</v>
      </c>
      <c r="B46" s="503">
        <v>2230</v>
      </c>
      <c r="C46" s="1573"/>
      <c r="D46" s="1573"/>
      <c r="E46" s="1573">
        <v>13300</v>
      </c>
      <c r="F46" s="1573"/>
      <c r="G46" s="1573"/>
      <c r="H46" s="1573"/>
      <c r="I46" s="1574"/>
      <c r="J46" s="1574"/>
      <c r="K46" s="1678">
        <f>SUM(C46:J46)</f>
        <v>13300</v>
      </c>
      <c r="L46" s="1573">
        <v>13300</v>
      </c>
    </row>
    <row r="47" spans="1:14" ht="12.75" customHeight="1" thickBot="1" x14ac:dyDescent="0.25">
      <c r="A47" s="1380" t="s">
        <v>557</v>
      </c>
      <c r="B47" s="1381" t="s">
        <v>32</v>
      </c>
      <c r="C47" s="1674">
        <f>SUM(C44:C46)</f>
        <v>0</v>
      </c>
      <c r="D47" s="1674">
        <f t="shared" ref="D47:K47" si="4">SUM(D44:D46)</f>
        <v>0</v>
      </c>
      <c r="E47" s="1674">
        <f t="shared" si="4"/>
        <v>20704</v>
      </c>
      <c r="F47" s="1674">
        <f t="shared" si="4"/>
        <v>0</v>
      </c>
      <c r="G47" s="1674">
        <f t="shared" si="4"/>
        <v>0</v>
      </c>
      <c r="H47" s="1674">
        <f t="shared" si="4"/>
        <v>0</v>
      </c>
      <c r="I47" s="1674">
        <f t="shared" si="4"/>
        <v>0</v>
      </c>
      <c r="J47" s="1674">
        <f t="shared" si="4"/>
        <v>0</v>
      </c>
      <c r="K47" s="1674">
        <f t="shared" si="4"/>
        <v>20704</v>
      </c>
      <c r="L47" s="1674">
        <f>SUM(L44:L46)</f>
        <v>21438</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1722</v>
      </c>
      <c r="D49" s="1586"/>
      <c r="E49" s="1586">
        <v>6251</v>
      </c>
      <c r="F49" s="1586">
        <v>336</v>
      </c>
      <c r="G49" s="1586"/>
      <c r="H49" s="1586">
        <v>5586</v>
      </c>
      <c r="I49" s="1574"/>
      <c r="J49" s="1574"/>
      <c r="K49" s="1678">
        <f>SUM(C49:J49)</f>
        <v>13895</v>
      </c>
      <c r="L49" s="1586">
        <v>28600</v>
      </c>
    </row>
    <row r="50" spans="1:14" x14ac:dyDescent="0.2">
      <c r="A50" s="1274" t="s">
        <v>813</v>
      </c>
      <c r="B50" s="503">
        <v>2320</v>
      </c>
      <c r="C50" s="1573">
        <v>36790</v>
      </c>
      <c r="D50" s="1573">
        <v>3339</v>
      </c>
      <c r="E50" s="1573">
        <v>1360</v>
      </c>
      <c r="F50" s="1573"/>
      <c r="G50" s="1573"/>
      <c r="H50" s="1573"/>
      <c r="I50" s="1574"/>
      <c r="J50" s="1574"/>
      <c r="K50" s="1678">
        <f>SUM(C50:J50)</f>
        <v>41489</v>
      </c>
      <c r="L50" s="1573">
        <v>41489</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38512</v>
      </c>
      <c r="D53" s="1674">
        <f t="shared" ref="D53:L53" si="5">SUM(D49:D52)</f>
        <v>3339</v>
      </c>
      <c r="E53" s="1674">
        <f t="shared" si="5"/>
        <v>7611</v>
      </c>
      <c r="F53" s="1674">
        <f t="shared" si="5"/>
        <v>336</v>
      </c>
      <c r="G53" s="1674">
        <f t="shared" si="5"/>
        <v>0</v>
      </c>
      <c r="H53" s="1674">
        <f t="shared" si="5"/>
        <v>5586</v>
      </c>
      <c r="I53" s="1674">
        <f t="shared" si="5"/>
        <v>0</v>
      </c>
      <c r="J53" s="1674">
        <f t="shared" si="5"/>
        <v>0</v>
      </c>
      <c r="K53" s="1674">
        <f t="shared" si="5"/>
        <v>55384</v>
      </c>
      <c r="L53" s="1674">
        <f t="shared" si="5"/>
        <v>70089</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126642</v>
      </c>
      <c r="D55" s="1586">
        <v>27613</v>
      </c>
      <c r="E55" s="1586">
        <v>1770</v>
      </c>
      <c r="F55" s="1586"/>
      <c r="G55" s="1586"/>
      <c r="H55" s="1586">
        <v>4410</v>
      </c>
      <c r="I55" s="1574"/>
      <c r="J55" s="1574"/>
      <c r="K55" s="1678">
        <f>SUM(C55:J55)</f>
        <v>160435</v>
      </c>
      <c r="L55" s="1586">
        <v>158604</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126642</v>
      </c>
      <c r="D57" s="1679">
        <f t="shared" ref="D57:K57" si="6">SUM(D55:D56)</f>
        <v>27613</v>
      </c>
      <c r="E57" s="1679">
        <f t="shared" si="6"/>
        <v>1770</v>
      </c>
      <c r="F57" s="1679">
        <f t="shared" si="6"/>
        <v>0</v>
      </c>
      <c r="G57" s="1679">
        <f t="shared" si="6"/>
        <v>0</v>
      </c>
      <c r="H57" s="1679">
        <f t="shared" si="6"/>
        <v>4410</v>
      </c>
      <c r="I57" s="1679">
        <f t="shared" si="6"/>
        <v>0</v>
      </c>
      <c r="J57" s="1679">
        <f t="shared" si="6"/>
        <v>0</v>
      </c>
      <c r="K57" s="1679">
        <f t="shared" si="6"/>
        <v>160435</v>
      </c>
      <c r="L57" s="1674">
        <f>SUM(L55:L56)</f>
        <v>158604</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v>7525</v>
      </c>
      <c r="F59" s="1586"/>
      <c r="G59" s="1586"/>
      <c r="H59" s="1586"/>
      <c r="I59" s="1574"/>
      <c r="J59" s="1574"/>
      <c r="K59" s="1678">
        <f t="shared" ref="K59:K64" si="7">SUM(C59:J59)</f>
        <v>7525</v>
      </c>
      <c r="L59" s="1586">
        <v>6100</v>
      </c>
      <c r="M59" s="501"/>
      <c r="N59" s="501"/>
    </row>
    <row r="60" spans="1:14" s="321" customFormat="1" x14ac:dyDescent="0.2">
      <c r="A60" s="1274" t="s">
        <v>460</v>
      </c>
      <c r="B60" s="503">
        <v>2520</v>
      </c>
      <c r="C60" s="1573">
        <v>33711</v>
      </c>
      <c r="D60" s="1573">
        <v>5907</v>
      </c>
      <c r="E60" s="1573"/>
      <c r="F60" s="1573"/>
      <c r="G60" s="1573"/>
      <c r="H60" s="1573"/>
      <c r="I60" s="1574"/>
      <c r="J60" s="1574"/>
      <c r="K60" s="1678">
        <f t="shared" si="7"/>
        <v>39618</v>
      </c>
      <c r="L60" s="1573">
        <v>39935</v>
      </c>
      <c r="M60" s="501"/>
      <c r="N60" s="501"/>
    </row>
    <row r="61" spans="1:14" s="321" customFormat="1" x14ac:dyDescent="0.2">
      <c r="A61" s="1274" t="s">
        <v>195</v>
      </c>
      <c r="B61" s="503">
        <v>2540</v>
      </c>
      <c r="C61" s="1573">
        <v>72523</v>
      </c>
      <c r="D61" s="1573">
        <v>9870</v>
      </c>
      <c r="E61" s="1573">
        <v>11109</v>
      </c>
      <c r="F61" s="1573"/>
      <c r="G61" s="1573"/>
      <c r="H61" s="1573"/>
      <c r="I61" s="1574"/>
      <c r="J61" s="1574"/>
      <c r="K61" s="1678">
        <f t="shared" si="7"/>
        <v>93502</v>
      </c>
      <c r="L61" s="1573">
        <v>113461</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48290</v>
      </c>
      <c r="D63" s="1573">
        <v>5756</v>
      </c>
      <c r="E63" s="1573">
        <v>4679</v>
      </c>
      <c r="F63" s="1573">
        <v>82296</v>
      </c>
      <c r="G63" s="1573">
        <v>656</v>
      </c>
      <c r="H63" s="1573"/>
      <c r="I63" s="1574"/>
      <c r="J63" s="1574"/>
      <c r="K63" s="1678">
        <f t="shared" si="7"/>
        <v>141677</v>
      </c>
      <c r="L63" s="1573">
        <v>169710</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154524</v>
      </c>
      <c r="D65" s="1674">
        <f t="shared" ref="D65:L65" si="8">SUM(D59:D64)</f>
        <v>21533</v>
      </c>
      <c r="E65" s="1674">
        <f t="shared" si="8"/>
        <v>23313</v>
      </c>
      <c r="F65" s="1674">
        <f t="shared" si="8"/>
        <v>82296</v>
      </c>
      <c r="G65" s="1674">
        <f t="shared" si="8"/>
        <v>656</v>
      </c>
      <c r="H65" s="1674">
        <f t="shared" si="8"/>
        <v>0</v>
      </c>
      <c r="I65" s="1674">
        <f t="shared" si="8"/>
        <v>0</v>
      </c>
      <c r="J65" s="1674">
        <f t="shared" si="8"/>
        <v>0</v>
      </c>
      <c r="K65" s="1674">
        <f t="shared" si="8"/>
        <v>282322</v>
      </c>
      <c r="L65" s="1674">
        <f t="shared" si="8"/>
        <v>329206</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v>2370</v>
      </c>
      <c r="F71" s="1573"/>
      <c r="G71" s="1573"/>
      <c r="H71" s="1573"/>
      <c r="I71" s="1574"/>
      <c r="J71" s="1574"/>
      <c r="K71" s="1678">
        <f>SUM(C71:J71)</f>
        <v>2370</v>
      </c>
      <c r="L71" s="1573">
        <v>2300</v>
      </c>
      <c r="M71" s="501"/>
      <c r="N71" s="501"/>
    </row>
    <row r="72" spans="1:14" s="321" customFormat="1" ht="12.75" customHeight="1" thickBot="1" x14ac:dyDescent="0.25">
      <c r="A72" s="1380" t="s">
        <v>37</v>
      </c>
      <c r="B72" s="1383" t="s">
        <v>36</v>
      </c>
      <c r="C72" s="1674">
        <f>SUM(C67:C71)</f>
        <v>0</v>
      </c>
      <c r="D72" s="1674">
        <f t="shared" ref="D72:K72" si="9">SUM(D67:D71)</f>
        <v>0</v>
      </c>
      <c r="E72" s="1674">
        <f t="shared" si="9"/>
        <v>2370</v>
      </c>
      <c r="F72" s="1674">
        <f t="shared" si="9"/>
        <v>0</v>
      </c>
      <c r="G72" s="1674">
        <f t="shared" si="9"/>
        <v>0</v>
      </c>
      <c r="H72" s="1674">
        <f t="shared" si="9"/>
        <v>0</v>
      </c>
      <c r="I72" s="1674">
        <f t="shared" si="9"/>
        <v>0</v>
      </c>
      <c r="J72" s="1674">
        <f t="shared" si="9"/>
        <v>0</v>
      </c>
      <c r="K72" s="1674">
        <f t="shared" si="9"/>
        <v>2370</v>
      </c>
      <c r="L72" s="1674">
        <f>SUM(L67:L71)</f>
        <v>2300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428754</v>
      </c>
      <c r="D74" s="1681">
        <f t="shared" ref="D74:K74" si="10">SUM(D42,D47,D53,D57,D65,D72,D73)</f>
        <v>64323</v>
      </c>
      <c r="E74" s="1681">
        <f t="shared" si="10"/>
        <v>92097</v>
      </c>
      <c r="F74" s="1681">
        <f t="shared" si="10"/>
        <v>82632</v>
      </c>
      <c r="G74" s="1681">
        <f t="shared" si="10"/>
        <v>656</v>
      </c>
      <c r="H74" s="1681">
        <f t="shared" si="10"/>
        <v>9996</v>
      </c>
      <c r="I74" s="1681">
        <f t="shared" si="10"/>
        <v>0</v>
      </c>
      <c r="J74" s="1681">
        <f t="shared" si="10"/>
        <v>0</v>
      </c>
      <c r="K74" s="1681">
        <f t="shared" si="10"/>
        <v>678458</v>
      </c>
      <c r="L74" s="1681">
        <f>SUM(L42,L47,L53,L57,L65,L72,L73)</f>
        <v>690583</v>
      </c>
    </row>
    <row r="75" spans="1:14" s="254" customFormat="1" ht="15.75" customHeight="1" thickTop="1" thickBot="1" x14ac:dyDescent="0.25">
      <c r="A75" s="1348" t="s">
        <v>47</v>
      </c>
      <c r="B75" s="1349" t="s">
        <v>571</v>
      </c>
      <c r="C75" s="1649"/>
      <c r="D75" s="1649"/>
      <c r="E75" s="1649"/>
      <c r="F75" s="1649">
        <v>1002</v>
      </c>
      <c r="G75" s="1649"/>
      <c r="H75" s="1649"/>
      <c r="I75" s="1627"/>
      <c r="J75" s="1627"/>
      <c r="K75" s="1674">
        <f>SUM(C75:J75)</f>
        <v>1002</v>
      </c>
      <c r="L75" s="1651">
        <v>2162</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v>16232</v>
      </c>
      <c r="F79" s="1673"/>
      <c r="G79" s="1673"/>
      <c r="H79" s="1573"/>
      <c r="I79" s="1582"/>
      <c r="J79" s="1582"/>
      <c r="K79" s="1672">
        <f t="shared" si="11"/>
        <v>16232</v>
      </c>
      <c r="L79" s="1573">
        <v>13726</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16232</v>
      </c>
      <c r="F84" s="1673"/>
      <c r="G84" s="1673"/>
      <c r="H84" s="1674">
        <f>SUM(H78:H83)</f>
        <v>0</v>
      </c>
      <c r="I84" s="1582"/>
      <c r="J84" s="1582"/>
      <c r="K84" s="1674">
        <f>SUM(K78:K83)</f>
        <v>16232</v>
      </c>
      <c r="L84" s="1674">
        <f>SUM(L78:L83)</f>
        <v>13726</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v>510609</v>
      </c>
      <c r="I86" s="1582"/>
      <c r="J86" s="1582"/>
      <c r="K86" s="1681">
        <f t="shared" ref="K86:K98" si="12">H86</f>
        <v>510609</v>
      </c>
      <c r="L86" s="1626">
        <v>568452</v>
      </c>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510609</v>
      </c>
      <c r="I92" s="1582"/>
      <c r="J92" s="1582"/>
      <c r="K92" s="1681">
        <f t="shared" si="12"/>
        <v>510609</v>
      </c>
      <c r="L92" s="1674">
        <f>SUM(L85:L91)</f>
        <v>568452</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16232</v>
      </c>
      <c r="F102" s="1673"/>
      <c r="G102" s="1673"/>
      <c r="H102" s="1681">
        <f>SUM(H84,H92,H100,H101)</f>
        <v>510609</v>
      </c>
      <c r="I102" s="1582"/>
      <c r="J102" s="1582"/>
      <c r="K102" s="1681">
        <f>SUM(K84,K92,K100,K101)</f>
        <v>526841</v>
      </c>
      <c r="L102" s="1681">
        <f>SUM(L84,L92,L100,L101)</f>
        <v>582178</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1343406</v>
      </c>
      <c r="D114" s="1674">
        <f t="shared" ref="D114:K114" si="13">SUM(D33,D74,D75,D102,D112,D113)</f>
        <v>174590</v>
      </c>
      <c r="E114" s="1674">
        <f t="shared" si="13"/>
        <v>173784</v>
      </c>
      <c r="F114" s="1674">
        <f t="shared" si="13"/>
        <v>162490</v>
      </c>
      <c r="G114" s="1674">
        <f t="shared" si="13"/>
        <v>47417</v>
      </c>
      <c r="H114" s="1674">
        <f>SUM(H33,H74,H75,H102,H112,H113)</f>
        <v>527021</v>
      </c>
      <c r="I114" s="1674">
        <f t="shared" si="13"/>
        <v>0</v>
      </c>
      <c r="J114" s="1674">
        <f t="shared" si="13"/>
        <v>0</v>
      </c>
      <c r="K114" s="1674">
        <f t="shared" si="13"/>
        <v>2428708</v>
      </c>
      <c r="L114" s="1674">
        <f>SUM(L33,L74,L75,L102,L112,L113)</f>
        <v>2661393</v>
      </c>
    </row>
    <row r="115" spans="1:14" ht="13.5" thickTop="1" x14ac:dyDescent="0.2">
      <c r="A115" s="2264" t="s">
        <v>989</v>
      </c>
      <c r="B115" s="2265"/>
      <c r="C115" s="1675"/>
      <c r="D115" s="1675"/>
      <c r="E115" s="1675"/>
      <c r="F115" s="1675"/>
      <c r="G115" s="1675"/>
      <c r="H115" s="1675"/>
      <c r="I115" s="1675"/>
      <c r="J115" s="1675"/>
      <c r="K115" s="1689">
        <f>'Revenues 9-14'!C268-'Expenditures 15-22'!K114</f>
        <v>-57600</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9" t="s">
        <v>293</v>
      </c>
      <c r="B117" s="2270"/>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4241</v>
      </c>
      <c r="D124" s="1573"/>
      <c r="E124" s="1573">
        <v>23934</v>
      </c>
      <c r="F124" s="1573">
        <v>34378</v>
      </c>
      <c r="G124" s="1573"/>
      <c r="H124" s="1573"/>
      <c r="I124" s="1574"/>
      <c r="J124" s="1574"/>
      <c r="K124" s="1674">
        <f>SUM(C124:J124)</f>
        <v>62553</v>
      </c>
      <c r="L124" s="1573">
        <v>62000</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4241</v>
      </c>
      <c r="D127" s="1674">
        <f t="shared" ref="D127:L127" si="14">SUM(D122:D126)</f>
        <v>0</v>
      </c>
      <c r="E127" s="1674">
        <f t="shared" si="14"/>
        <v>23934</v>
      </c>
      <c r="F127" s="1674">
        <f t="shared" si="14"/>
        <v>34378</v>
      </c>
      <c r="G127" s="1674">
        <f t="shared" si="14"/>
        <v>0</v>
      </c>
      <c r="H127" s="1674">
        <f t="shared" si="14"/>
        <v>0</v>
      </c>
      <c r="I127" s="1674">
        <f t="shared" si="14"/>
        <v>0</v>
      </c>
      <c r="J127" s="1674">
        <f t="shared" si="14"/>
        <v>0</v>
      </c>
      <c r="K127" s="1674">
        <f t="shared" si="14"/>
        <v>62553</v>
      </c>
      <c r="L127" s="1674">
        <f t="shared" si="14"/>
        <v>62000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4241</v>
      </c>
      <c r="D129" s="1681">
        <f t="shared" ref="D129:L129" si="15">SUM(D120,D127,D128)</f>
        <v>0</v>
      </c>
      <c r="E129" s="1681">
        <f t="shared" si="15"/>
        <v>23934</v>
      </c>
      <c r="F129" s="1681">
        <f t="shared" si="15"/>
        <v>34378</v>
      </c>
      <c r="G129" s="1681">
        <f t="shared" si="15"/>
        <v>0</v>
      </c>
      <c r="H129" s="1681">
        <f t="shared" si="15"/>
        <v>0</v>
      </c>
      <c r="I129" s="1681">
        <f t="shared" si="15"/>
        <v>0</v>
      </c>
      <c r="J129" s="1681">
        <f t="shared" si="15"/>
        <v>0</v>
      </c>
      <c r="K129" s="1681">
        <f t="shared" si="15"/>
        <v>62553</v>
      </c>
      <c r="L129" s="1681">
        <f t="shared" si="15"/>
        <v>62000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v>17260</v>
      </c>
      <c r="I134" s="1582"/>
      <c r="J134" s="1673"/>
      <c r="K134" s="1678">
        <f>SUM(E134,H134)</f>
        <v>17260</v>
      </c>
      <c r="L134" s="1586">
        <v>32000</v>
      </c>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17260</v>
      </c>
      <c r="I137" s="1582"/>
      <c r="J137" s="1673"/>
      <c r="K137" s="1674">
        <f>SUM(K133:K136)</f>
        <v>17260</v>
      </c>
      <c r="L137" s="1674">
        <f>SUM(L133:L136)</f>
        <v>32000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17260</v>
      </c>
      <c r="I139" s="1582"/>
      <c r="J139" s="1673"/>
      <c r="K139" s="1678">
        <f>SUM(K137,K138)</f>
        <v>17260</v>
      </c>
      <c r="L139" s="1687">
        <f>SUM(L137,L138)</f>
        <v>32000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81" t="s">
        <v>616</v>
      </c>
      <c r="B151" s="2261"/>
      <c r="C151" s="1674">
        <f>SUM(C129,C130,C139,C149,C150)</f>
        <v>4241</v>
      </c>
      <c r="D151" s="1674">
        <f t="shared" ref="D151:K151" si="16">SUM(D129,D130,D139,D149,D150)</f>
        <v>0</v>
      </c>
      <c r="E151" s="1674">
        <f t="shared" si="16"/>
        <v>23934</v>
      </c>
      <c r="F151" s="1674">
        <f t="shared" si="16"/>
        <v>34378</v>
      </c>
      <c r="G151" s="1674">
        <f t="shared" si="16"/>
        <v>0</v>
      </c>
      <c r="H151" s="1674">
        <f t="shared" si="16"/>
        <v>17260</v>
      </c>
      <c r="I151" s="1674">
        <f t="shared" si="16"/>
        <v>0</v>
      </c>
      <c r="J151" s="1674">
        <f t="shared" si="16"/>
        <v>0</v>
      </c>
      <c r="K151" s="1674">
        <f t="shared" si="16"/>
        <v>79813</v>
      </c>
      <c r="L151" s="1674">
        <f>SUM(L129,L130,L139,L149,L150)</f>
        <v>94000</v>
      </c>
    </row>
    <row r="152" spans="1:14" ht="12.75" customHeight="1" thickTop="1" x14ac:dyDescent="0.2">
      <c r="A152" s="2284" t="s">
        <v>1168</v>
      </c>
      <c r="B152" s="2285"/>
      <c r="C152" s="1675"/>
      <c r="D152" s="1675"/>
      <c r="E152" s="1675"/>
      <c r="F152" s="1675"/>
      <c r="G152" s="1675"/>
      <c r="H152" s="1675"/>
      <c r="I152" s="1675"/>
      <c r="J152" s="1673"/>
      <c r="K152" s="1689">
        <f>'Revenues 9-14'!D268-'Expenditures 15-22'!K151</f>
        <v>55311</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9" t="s">
        <v>617</v>
      </c>
      <c r="B154" s="2271"/>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20415</v>
      </c>
      <c r="I169" s="1673"/>
      <c r="J169" s="1673"/>
      <c r="K169" s="1672">
        <f>SUM(C169:H169)</f>
        <v>20415</v>
      </c>
      <c r="L169" s="1695">
        <v>15166</v>
      </c>
    </row>
    <row r="170" spans="1:14" ht="33.75" customHeight="1" x14ac:dyDescent="0.2">
      <c r="A170" s="543" t="s">
        <v>1651</v>
      </c>
      <c r="B170" s="545" t="s">
        <v>31</v>
      </c>
      <c r="C170" s="1673"/>
      <c r="D170" s="1673"/>
      <c r="E170" s="1673"/>
      <c r="F170" s="1673"/>
      <c r="G170" s="1673"/>
      <c r="H170" s="1646">
        <v>81333</v>
      </c>
      <c r="I170" s="1673"/>
      <c r="J170" s="1673"/>
      <c r="K170" s="1672">
        <f>SUM(C170:J170)</f>
        <v>81333</v>
      </c>
      <c r="L170" s="1646">
        <v>50000</v>
      </c>
    </row>
    <row r="171" spans="1:14" ht="15.75" customHeight="1" x14ac:dyDescent="0.2">
      <c r="A171" s="507" t="s">
        <v>761</v>
      </c>
      <c r="B171" s="546" t="s">
        <v>84</v>
      </c>
      <c r="C171" s="1673"/>
      <c r="D171" s="1673"/>
      <c r="E171" s="1573"/>
      <c r="F171" s="1673"/>
      <c r="G171" s="1673"/>
      <c r="H171" s="1646">
        <v>500</v>
      </c>
      <c r="I171" s="1582"/>
      <c r="J171" s="1673"/>
      <c r="K171" s="1672">
        <f>SUM(C171:J171)</f>
        <v>500</v>
      </c>
      <c r="L171" s="1646">
        <v>1000</v>
      </c>
    </row>
    <row r="172" spans="1:14" ht="12.75" customHeight="1" thickBot="1" x14ac:dyDescent="0.25">
      <c r="A172" s="1380" t="s">
        <v>633</v>
      </c>
      <c r="B172" s="1381" t="s">
        <v>489</v>
      </c>
      <c r="C172" s="1673"/>
      <c r="D172" s="1673"/>
      <c r="E172" s="1681">
        <f>SUM(E168,E169,E170,E171)</f>
        <v>0</v>
      </c>
      <c r="F172" s="1673"/>
      <c r="G172" s="1673"/>
      <c r="H172" s="1681">
        <f>SUM(H168,H169,H170,H171)</f>
        <v>102248</v>
      </c>
      <c r="I172" s="1684"/>
      <c r="J172" s="1673"/>
      <c r="K172" s="1681">
        <f>SUM(K168,K169,K170,K171)</f>
        <v>102248</v>
      </c>
      <c r="L172" s="1681">
        <f>SUM(L168,L169,L170,L171)</f>
        <v>66166</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102248</v>
      </c>
      <c r="I174" s="1684"/>
      <c r="J174" s="1673"/>
      <c r="K174" s="1681">
        <f>SUM(K160,K172,K173)</f>
        <v>102248</v>
      </c>
      <c r="L174" s="1681">
        <f>SUM(L160,L172,L173)</f>
        <v>66166</v>
      </c>
    </row>
    <row r="175" spans="1:14" ht="13.5" thickTop="1" x14ac:dyDescent="0.2">
      <c r="A175" s="2264" t="s">
        <v>989</v>
      </c>
      <c r="B175" s="2265"/>
      <c r="C175" s="1673"/>
      <c r="D175" s="1673"/>
      <c r="E175" s="1673"/>
      <c r="F175" s="1673"/>
      <c r="G175" s="1673"/>
      <c r="H175" s="1675"/>
      <c r="I175" s="1673"/>
      <c r="J175" s="1673"/>
      <c r="K175" s="1689">
        <f>'Revenues 9-14'!E268-'Expenditures 15-22'!K174</f>
        <v>25292</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175</v>
      </c>
      <c r="D182" s="1573"/>
      <c r="E182" s="1573">
        <v>174057</v>
      </c>
      <c r="F182" s="1573">
        <v>224</v>
      </c>
      <c r="G182" s="1573"/>
      <c r="H182" s="1573"/>
      <c r="I182" s="1574"/>
      <c r="J182" s="1574"/>
      <c r="K182" s="1672">
        <f>SUM(C182:J182)</f>
        <v>174456</v>
      </c>
      <c r="L182" s="1573">
        <v>282900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175</v>
      </c>
      <c r="D184" s="1681">
        <f t="shared" ref="D184:J184" si="17">SUM(D180,D182,D183)</f>
        <v>0</v>
      </c>
      <c r="E184" s="1681">
        <f t="shared" si="17"/>
        <v>174057</v>
      </c>
      <c r="F184" s="1681">
        <f t="shared" si="17"/>
        <v>224</v>
      </c>
      <c r="G184" s="1681">
        <f t="shared" si="17"/>
        <v>0</v>
      </c>
      <c r="H184" s="1681">
        <f t="shared" si="17"/>
        <v>0</v>
      </c>
      <c r="I184" s="1681">
        <f t="shared" si="17"/>
        <v>0</v>
      </c>
      <c r="J184" s="1681">
        <f t="shared" si="17"/>
        <v>0</v>
      </c>
      <c r="K184" s="1681">
        <f>SUM(K180,K182,K183)</f>
        <v>174456</v>
      </c>
      <c r="L184" s="1681">
        <f>SUM(L180, L182:L183)</f>
        <v>282900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175</v>
      </c>
      <c r="D210" s="1674">
        <f>SUM(D184,D185)</f>
        <v>0</v>
      </c>
      <c r="E210" s="1674">
        <f>SUM(E184,E185,E196)</f>
        <v>174057</v>
      </c>
      <c r="F210" s="1674">
        <f>SUM(F184,F185)</f>
        <v>224</v>
      </c>
      <c r="G210" s="1674">
        <f>SUM(G184,G185)</f>
        <v>0</v>
      </c>
      <c r="H210" s="1674">
        <f>SUM(H184,H185,H196,H208,H209)</f>
        <v>0</v>
      </c>
      <c r="I210" s="1674">
        <f>SUM(I184,I185)</f>
        <v>0</v>
      </c>
      <c r="J210" s="1674">
        <f>SUM(J184,J185)</f>
        <v>0</v>
      </c>
      <c r="K210" s="1672">
        <f>SUM(K184,K185,K196,K208,K209)</f>
        <v>174456</v>
      </c>
      <c r="L210" s="1674">
        <f>SUM(L184,L185,L196,L208,L209)</f>
        <v>282900</v>
      </c>
    </row>
    <row r="211" spans="1:14" ht="13.5" thickTop="1" x14ac:dyDescent="0.2">
      <c r="A211" s="2264" t="s">
        <v>989</v>
      </c>
      <c r="B211" s="2265"/>
      <c r="C211" s="1675"/>
      <c r="D211" s="1675"/>
      <c r="E211" s="1675"/>
      <c r="F211" s="1675"/>
      <c r="G211" s="1675"/>
      <c r="H211" s="1675"/>
      <c r="I211" s="1673"/>
      <c r="J211" s="1673"/>
      <c r="K211" s="1689">
        <f>'Revenues 9-14'!F268-'Expenditures 15-22'!K210</f>
        <v>2046</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6" t="s">
        <v>959</v>
      </c>
      <c r="B213" s="2287"/>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15118</v>
      </c>
      <c r="E215" s="1673"/>
      <c r="F215" s="1673"/>
      <c r="G215" s="1673"/>
      <c r="H215" s="1673"/>
      <c r="I215" s="1673"/>
      <c r="J215" s="1673"/>
      <c r="K215" s="1672">
        <f>D215</f>
        <v>15118</v>
      </c>
      <c r="L215" s="1573">
        <v>18250</v>
      </c>
    </row>
    <row r="216" spans="1:14" x14ac:dyDescent="0.2">
      <c r="A216" s="1274" t="s">
        <v>162</v>
      </c>
      <c r="B216" s="503" t="s">
        <v>961</v>
      </c>
      <c r="C216" s="1673"/>
      <c r="D216" s="1574">
        <v>4326</v>
      </c>
      <c r="E216" s="1673"/>
      <c r="F216" s="1673"/>
      <c r="G216" s="1673"/>
      <c r="H216" s="1673"/>
      <c r="I216" s="1673"/>
      <c r="J216" s="1673"/>
      <c r="K216" s="1672">
        <f t="shared" ref="K216:K228" si="19">D216</f>
        <v>4326</v>
      </c>
      <c r="L216" s="1573">
        <v>5403</v>
      </c>
    </row>
    <row r="217" spans="1:14" x14ac:dyDescent="0.2">
      <c r="A217" s="1274" t="s">
        <v>163</v>
      </c>
      <c r="B217" s="503">
        <v>1200</v>
      </c>
      <c r="C217" s="1673"/>
      <c r="D217" s="1573">
        <v>11908</v>
      </c>
      <c r="E217" s="1673"/>
      <c r="F217" s="1673"/>
      <c r="G217" s="1673"/>
      <c r="H217" s="1673"/>
      <c r="I217" s="1673"/>
      <c r="J217" s="1673"/>
      <c r="K217" s="1672">
        <f t="shared" si="19"/>
        <v>11908</v>
      </c>
      <c r="L217" s="1573">
        <v>16564</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631</v>
      </c>
      <c r="E219" s="1673"/>
      <c r="F219" s="1673"/>
      <c r="G219" s="1673"/>
      <c r="H219" s="1673"/>
      <c r="I219" s="1673"/>
      <c r="J219" s="1673"/>
      <c r="K219" s="1672">
        <f t="shared" si="19"/>
        <v>631</v>
      </c>
      <c r="L219" s="1573">
        <v>545</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c r="E222" s="1673"/>
      <c r="F222" s="1673"/>
      <c r="G222" s="1673"/>
      <c r="H222" s="1673"/>
      <c r="I222" s="1673"/>
      <c r="J222" s="1673"/>
      <c r="K222" s="1672">
        <f t="shared" si="19"/>
        <v>0</v>
      </c>
      <c r="L222" s="1573"/>
    </row>
    <row r="223" spans="1:14" x14ac:dyDescent="0.2">
      <c r="A223" s="1274" t="s">
        <v>957</v>
      </c>
      <c r="B223" s="503">
        <v>1500</v>
      </c>
      <c r="C223" s="1673"/>
      <c r="D223" s="1573">
        <v>498</v>
      </c>
      <c r="E223" s="1673"/>
      <c r="F223" s="1673"/>
      <c r="G223" s="1673"/>
      <c r="H223" s="1673"/>
      <c r="I223" s="1673"/>
      <c r="J223" s="1673"/>
      <c r="K223" s="1672">
        <f t="shared" si="19"/>
        <v>498</v>
      </c>
      <c r="L223" s="1573">
        <v>300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32481</v>
      </c>
      <c r="E229" s="1673"/>
      <c r="F229" s="1673"/>
      <c r="G229" s="1673"/>
      <c r="H229" s="1673"/>
      <c r="I229" s="1673"/>
      <c r="J229" s="1673"/>
      <c r="K229" s="1674">
        <f>SUM(K215:K228)</f>
        <v>32481</v>
      </c>
      <c r="L229" s="1674">
        <f>SUM(L215:L228)</f>
        <v>41062</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8994</v>
      </c>
      <c r="E232" s="1673"/>
      <c r="F232" s="1673"/>
      <c r="G232" s="1673"/>
      <c r="H232" s="1673"/>
      <c r="I232" s="1673"/>
      <c r="J232" s="1673"/>
      <c r="K232" s="1672">
        <f t="shared" ref="K232:K237" si="20">D232</f>
        <v>8994</v>
      </c>
      <c r="L232" s="1573">
        <v>12368</v>
      </c>
    </row>
    <row r="233" spans="1:12" x14ac:dyDescent="0.2">
      <c r="A233" s="1274" t="s">
        <v>1081</v>
      </c>
      <c r="B233" s="503">
        <v>2120</v>
      </c>
      <c r="C233" s="1673"/>
      <c r="D233" s="1573"/>
      <c r="E233" s="1673"/>
      <c r="F233" s="1673"/>
      <c r="G233" s="1673"/>
      <c r="H233" s="1673"/>
      <c r="I233" s="1673"/>
      <c r="J233" s="1673"/>
      <c r="K233" s="1672">
        <f t="shared" si="20"/>
        <v>0</v>
      </c>
      <c r="L233" s="1573"/>
    </row>
    <row r="234" spans="1:12" x14ac:dyDescent="0.2">
      <c r="A234" s="1274" t="s">
        <v>196</v>
      </c>
      <c r="B234" s="503">
        <v>2130</v>
      </c>
      <c r="C234" s="1673"/>
      <c r="D234" s="1573">
        <v>10138</v>
      </c>
      <c r="E234" s="1673"/>
      <c r="F234" s="1673"/>
      <c r="G234" s="1673"/>
      <c r="H234" s="1673"/>
      <c r="I234" s="1673"/>
      <c r="J234" s="1673"/>
      <c r="K234" s="1672">
        <f t="shared" si="20"/>
        <v>10138</v>
      </c>
      <c r="L234" s="1573">
        <v>10685</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19132</v>
      </c>
      <c r="E238" s="1673"/>
      <c r="F238" s="1673"/>
      <c r="G238" s="1673"/>
      <c r="H238" s="1673"/>
      <c r="I238" s="1673"/>
      <c r="J238" s="1673"/>
      <c r="K238" s="1674">
        <f>SUM(K232:K237)</f>
        <v>19132</v>
      </c>
      <c r="L238" s="1674">
        <f>SUM(L232:L237)</f>
        <v>23053</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0</v>
      </c>
      <c r="E243" s="1673"/>
      <c r="F243" s="1673"/>
      <c r="G243" s="1673"/>
      <c r="H243" s="1673"/>
      <c r="I243" s="1673"/>
      <c r="J243" s="1673"/>
      <c r="K243" s="1674">
        <f>SUM(K240:K242)</f>
        <v>0</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74</v>
      </c>
      <c r="E245" s="1673"/>
      <c r="F245" s="1673"/>
      <c r="G245" s="1673"/>
      <c r="H245" s="1673"/>
      <c r="I245" s="1673"/>
      <c r="J245" s="1673"/>
      <c r="K245" s="1678">
        <f>D245</f>
        <v>74</v>
      </c>
      <c r="L245" s="1586">
        <v>200</v>
      </c>
    </row>
    <row r="246" spans="1:12" x14ac:dyDescent="0.2">
      <c r="A246" s="1274" t="s">
        <v>813</v>
      </c>
      <c r="B246" s="503">
        <v>2320</v>
      </c>
      <c r="C246" s="1673"/>
      <c r="D246" s="1573">
        <v>534</v>
      </c>
      <c r="E246" s="1673"/>
      <c r="F246" s="1673"/>
      <c r="G246" s="1673"/>
      <c r="H246" s="1673"/>
      <c r="I246" s="1673"/>
      <c r="J246" s="1673"/>
      <c r="K246" s="1678">
        <f t="shared" ref="K246:K256" si="21">D246</f>
        <v>534</v>
      </c>
      <c r="L246" s="1573">
        <v>534</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608</v>
      </c>
      <c r="E257" s="1673"/>
      <c r="F257" s="1673"/>
      <c r="G257" s="1673"/>
      <c r="H257" s="1673"/>
      <c r="I257" s="1673"/>
      <c r="J257" s="1673"/>
      <c r="K257" s="1674">
        <f>SUM(K245:K256)</f>
        <v>608</v>
      </c>
      <c r="L257" s="1674">
        <f>SUM(L245:L256)</f>
        <v>734</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1836</v>
      </c>
      <c r="E259" s="1673"/>
      <c r="F259" s="1673"/>
      <c r="G259" s="1673"/>
      <c r="H259" s="1673"/>
      <c r="I259" s="1673"/>
      <c r="J259" s="1673"/>
      <c r="K259" s="1678">
        <f>D259</f>
        <v>1836</v>
      </c>
      <c r="L259" s="1586">
        <v>1837</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1836</v>
      </c>
      <c r="E261" s="1673"/>
      <c r="F261" s="1673"/>
      <c r="G261" s="1673"/>
      <c r="H261" s="1673"/>
      <c r="I261" s="1673"/>
      <c r="J261" s="1673"/>
      <c r="K261" s="1674">
        <f>SUM(K259:K260)</f>
        <v>1836</v>
      </c>
      <c r="L261" s="1674">
        <f>SUM(L259:L260)</f>
        <v>1837</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7701</v>
      </c>
      <c r="E264" s="1673"/>
      <c r="F264" s="1673"/>
      <c r="G264" s="1673"/>
      <c r="H264" s="1673"/>
      <c r="I264" s="1673"/>
      <c r="J264" s="1673"/>
      <c r="K264" s="1678">
        <f t="shared" ref="K264:K269" si="22">D264</f>
        <v>7701</v>
      </c>
      <c r="L264" s="1573">
        <v>6504</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13274</v>
      </c>
      <c r="E266" s="1673"/>
      <c r="F266" s="1673"/>
      <c r="G266" s="1673"/>
      <c r="H266" s="1673"/>
      <c r="I266" s="1673"/>
      <c r="J266" s="1673"/>
      <c r="K266" s="1678">
        <f t="shared" si="22"/>
        <v>13274</v>
      </c>
      <c r="L266" s="1573">
        <v>18551</v>
      </c>
    </row>
    <row r="267" spans="1:14" x14ac:dyDescent="0.2">
      <c r="A267" s="1274" t="s">
        <v>947</v>
      </c>
      <c r="B267" s="503">
        <v>2550</v>
      </c>
      <c r="C267" s="1673"/>
      <c r="D267" s="1573">
        <v>2</v>
      </c>
      <c r="E267" s="1673"/>
      <c r="F267" s="1673"/>
      <c r="G267" s="1673"/>
      <c r="H267" s="1673"/>
      <c r="I267" s="1673"/>
      <c r="J267" s="1673"/>
      <c r="K267" s="1678">
        <f t="shared" si="22"/>
        <v>2</v>
      </c>
      <c r="L267" s="1573"/>
    </row>
    <row r="268" spans="1:14" x14ac:dyDescent="0.2">
      <c r="A268" s="1274" t="s">
        <v>100</v>
      </c>
      <c r="B268" s="503">
        <v>2560</v>
      </c>
      <c r="C268" s="1673"/>
      <c r="D268" s="1573">
        <v>8423</v>
      </c>
      <c r="E268" s="1673"/>
      <c r="F268" s="1673"/>
      <c r="G268" s="1673"/>
      <c r="H268" s="1673"/>
      <c r="I268" s="1673"/>
      <c r="J268" s="1673"/>
      <c r="K268" s="1678">
        <f t="shared" si="22"/>
        <v>8423</v>
      </c>
      <c r="L268" s="1573">
        <v>11412</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29400</v>
      </c>
      <c r="E270" s="1673"/>
      <c r="F270" s="1673"/>
      <c r="G270" s="1673"/>
      <c r="H270" s="1673"/>
      <c r="I270" s="1673"/>
      <c r="J270" s="1673"/>
      <c r="K270" s="1674">
        <f>SUM(K263:K269)</f>
        <v>29400</v>
      </c>
      <c r="L270" s="1674">
        <f>SUM(L263:L269)</f>
        <v>36467</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50976</v>
      </c>
      <c r="E279" s="1673"/>
      <c r="F279" s="1673"/>
      <c r="G279" s="1673"/>
      <c r="H279" s="1673"/>
      <c r="I279" s="1673"/>
      <c r="J279" s="1673"/>
      <c r="K279" s="1681">
        <f>SUM(K238,K243,K257,K261,K270,K277,K278)</f>
        <v>50976</v>
      </c>
      <c r="L279" s="1681">
        <f>SUM(L238,L243,L257,L261,L270,L277,L278)</f>
        <v>62091</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v>12902</v>
      </c>
      <c r="E283" s="1673"/>
      <c r="F283" s="1673"/>
      <c r="G283" s="1673"/>
      <c r="H283" s="1673"/>
      <c r="I283" s="1673"/>
      <c r="J283" s="1673"/>
      <c r="K283" s="1672">
        <f>D283</f>
        <v>12902</v>
      </c>
      <c r="L283" s="1573">
        <v>13584</v>
      </c>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12902</v>
      </c>
      <c r="E285" s="1673"/>
      <c r="F285" s="1673"/>
      <c r="G285" s="1673"/>
      <c r="H285" s="1673"/>
      <c r="I285" s="1673"/>
      <c r="J285" s="1673"/>
      <c r="K285" s="1674">
        <f>SUM(K282:K284)</f>
        <v>12902</v>
      </c>
      <c r="L285" s="1674">
        <f>SUM(L282:L284)</f>
        <v>13584</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82" t="s">
        <v>502</v>
      </c>
      <c r="B295" s="2283"/>
      <c r="C295" s="1673"/>
      <c r="D295" s="1674">
        <f>SUM(D229,D279,D280,D285)</f>
        <v>96359</v>
      </c>
      <c r="E295" s="1673"/>
      <c r="F295" s="1673"/>
      <c r="G295" s="1673"/>
      <c r="H295" s="1674">
        <f>H293</f>
        <v>0</v>
      </c>
      <c r="I295" s="1673"/>
      <c r="J295" s="1673"/>
      <c r="K295" s="1674">
        <f>SUM(K229,K279,K280,K285,K293,K294)</f>
        <v>96359</v>
      </c>
      <c r="L295" s="1674">
        <f>SUM(L229,L279,L280,L285,L293,L294)</f>
        <v>116737</v>
      </c>
    </row>
    <row r="296" spans="1:14" ht="13.5" thickTop="1" x14ac:dyDescent="0.2">
      <c r="A296" s="2264" t="s">
        <v>989</v>
      </c>
      <c r="B296" s="2265"/>
      <c r="C296" s="1673"/>
      <c r="D296" s="1675"/>
      <c r="E296" s="1673"/>
      <c r="F296" s="1673"/>
      <c r="G296" s="1673"/>
      <c r="H296" s="1707"/>
      <c r="I296" s="1673"/>
      <c r="J296" s="1673"/>
      <c r="K296" s="1689">
        <f>'Revenues 9-14'!G268-'Expenditures 15-22'!K295</f>
        <v>-5578</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4" t="s">
        <v>142</v>
      </c>
      <c r="B298" s="2268"/>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3058</v>
      </c>
      <c r="F301" s="1573"/>
      <c r="G301" s="1573">
        <v>206443</v>
      </c>
      <c r="H301" s="1573"/>
      <c r="I301" s="1574"/>
      <c r="J301" s="1574"/>
      <c r="K301" s="1672">
        <f>SUM(C301:J301)</f>
        <v>209501</v>
      </c>
      <c r="L301" s="1574">
        <v>246360</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3058</v>
      </c>
      <c r="F303" s="1681">
        <f t="shared" si="23"/>
        <v>0</v>
      </c>
      <c r="G303" s="1681">
        <f t="shared" si="23"/>
        <v>206443</v>
      </c>
      <c r="H303" s="1681">
        <f t="shared" si="23"/>
        <v>0</v>
      </c>
      <c r="I303" s="1681">
        <f t="shared" si="23"/>
        <v>0</v>
      </c>
      <c r="J303" s="1681">
        <f t="shared" si="23"/>
        <v>0</v>
      </c>
      <c r="K303" s="1681">
        <f t="shared" si="23"/>
        <v>209501</v>
      </c>
      <c r="L303" s="1681">
        <f t="shared" si="23"/>
        <v>246360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9" t="s">
        <v>275</v>
      </c>
      <c r="B312" s="2280"/>
      <c r="C312" s="1674">
        <f>SUM(C303)</f>
        <v>0</v>
      </c>
      <c r="D312" s="1674">
        <f>SUM(D303)</f>
        <v>0</v>
      </c>
      <c r="E312" s="1674">
        <f>SUM(E303,E310)</f>
        <v>3058</v>
      </c>
      <c r="F312" s="1674">
        <f>SUM(F303)</f>
        <v>0</v>
      </c>
      <c r="G312" s="1674">
        <f>SUM(G303)</f>
        <v>206443</v>
      </c>
      <c r="H312" s="1674">
        <f>SUM(H303,H310)</f>
        <v>0</v>
      </c>
      <c r="I312" s="1674">
        <f>SUM(I303)</f>
        <v>0</v>
      </c>
      <c r="J312" s="1674">
        <f>SUM(J303)</f>
        <v>0</v>
      </c>
      <c r="K312" s="1674">
        <f>SUM(K303,K310,K311)</f>
        <v>209501</v>
      </c>
      <c r="L312" s="1674">
        <f>SUM(L303,L310,L311)</f>
        <v>246360</v>
      </c>
      <c r="M312" s="539"/>
      <c r="N312" s="539"/>
    </row>
    <row r="313" spans="1:14" ht="13.5" thickTop="1" x14ac:dyDescent="0.2">
      <c r="A313" s="2275" t="s">
        <v>989</v>
      </c>
      <c r="B313" s="2276"/>
      <c r="C313" s="1677"/>
      <c r="D313" s="1677"/>
      <c r="E313" s="1677"/>
      <c r="F313" s="1677"/>
      <c r="G313" s="1677"/>
      <c r="H313" s="1677"/>
      <c r="I313" s="1677"/>
      <c r="J313" s="1677"/>
      <c r="K313" s="1696">
        <f>'Revenues 9-14'!H268-'Expenditures 15-22'!K312</f>
        <v>-203902</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8" t="s">
        <v>148</v>
      </c>
      <c r="B315" s="2289"/>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90" t="s">
        <v>892</v>
      </c>
      <c r="B317" s="2289"/>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11005</v>
      </c>
      <c r="F320" s="1574"/>
      <c r="G320" s="1574"/>
      <c r="H320" s="1574"/>
      <c r="I320" s="1574"/>
      <c r="J320" s="1574"/>
      <c r="K320" s="1672">
        <f t="shared" ref="K320:K327" si="24">SUM(C320:J320)</f>
        <v>11005</v>
      </c>
      <c r="L320" s="1574">
        <v>13000</v>
      </c>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v>11005</v>
      </c>
      <c r="M321" s="539"/>
      <c r="N321" s="539"/>
    </row>
    <row r="322" spans="1:14" s="548" customFormat="1" x14ac:dyDescent="0.2">
      <c r="A322" s="1289" t="s">
        <v>236</v>
      </c>
      <c r="B322" s="567" t="s">
        <v>282</v>
      </c>
      <c r="C322" s="1574"/>
      <c r="D322" s="1574"/>
      <c r="E322" s="1574"/>
      <c r="F322" s="1574"/>
      <c r="G322" s="1574"/>
      <c r="H322" s="1574"/>
      <c r="I322" s="1574"/>
      <c r="J322" s="1574"/>
      <c r="K322" s="1672">
        <f t="shared" si="24"/>
        <v>0</v>
      </c>
      <c r="L322" s="1574"/>
      <c r="M322" s="539"/>
      <c r="N322" s="539"/>
    </row>
    <row r="323" spans="1:14" s="548" customFormat="1" x14ac:dyDescent="0.2">
      <c r="A323" s="1289" t="s">
        <v>697</v>
      </c>
      <c r="B323" s="567" t="s">
        <v>283</v>
      </c>
      <c r="C323" s="1574"/>
      <c r="D323" s="1574"/>
      <c r="E323" s="1574">
        <v>22553</v>
      </c>
      <c r="F323" s="1574"/>
      <c r="G323" s="1574"/>
      <c r="H323" s="1574"/>
      <c r="I323" s="1574"/>
      <c r="J323" s="1574"/>
      <c r="K323" s="1672">
        <f t="shared" si="24"/>
        <v>22553</v>
      </c>
      <c r="L323" s="1574">
        <v>22000</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v>3188</v>
      </c>
      <c r="F325" s="1574"/>
      <c r="G325" s="1574"/>
      <c r="H325" s="1574"/>
      <c r="I325" s="1574"/>
      <c r="J325" s="1574"/>
      <c r="K325" s="1672">
        <f t="shared" si="24"/>
        <v>3188</v>
      </c>
      <c r="L325" s="1574">
        <v>6000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1369</v>
      </c>
      <c r="F327" s="1574"/>
      <c r="G327" s="1574"/>
      <c r="H327" s="1574"/>
      <c r="I327" s="1574"/>
      <c r="J327" s="1574"/>
      <c r="K327" s="1672">
        <f t="shared" si="24"/>
        <v>1369</v>
      </c>
      <c r="L327" s="1574">
        <v>4000</v>
      </c>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38115</v>
      </c>
      <c r="F330" s="1674">
        <f t="shared" si="25"/>
        <v>0</v>
      </c>
      <c r="G330" s="1674">
        <f t="shared" si="25"/>
        <v>0</v>
      </c>
      <c r="H330" s="1674">
        <f t="shared" si="25"/>
        <v>0</v>
      </c>
      <c r="I330" s="1674">
        <f t="shared" si="25"/>
        <v>0</v>
      </c>
      <c r="J330" s="1674">
        <f t="shared" si="25"/>
        <v>0</v>
      </c>
      <c r="K330" s="1674">
        <f>SUM(K319:K329)</f>
        <v>38115</v>
      </c>
      <c r="L330" s="1674">
        <f>SUM(L319:L329)</f>
        <v>56005</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0</v>
      </c>
      <c r="D342" s="1674">
        <f>SUM(D330)</f>
        <v>0</v>
      </c>
      <c r="E342" s="1674">
        <f>SUM(E330)</f>
        <v>38115</v>
      </c>
      <c r="F342" s="1674">
        <f>SUM(F330)</f>
        <v>0</v>
      </c>
      <c r="G342" s="1674">
        <f>SUM(G330)</f>
        <v>0</v>
      </c>
      <c r="H342" s="1674">
        <f>SUM(H330,H334,H340)</f>
        <v>0</v>
      </c>
      <c r="I342" s="1674">
        <f>SUM(I330)</f>
        <v>0</v>
      </c>
      <c r="J342" s="1674">
        <f>SUM(J330)</f>
        <v>0</v>
      </c>
      <c r="K342" s="1674">
        <f>SUM(K330,K334,K340)</f>
        <v>38115</v>
      </c>
      <c r="L342" s="1681">
        <f>SUM(L330,L334,L340,L341)</f>
        <v>56005</v>
      </c>
    </row>
    <row r="343" spans="1:14" ht="12.75" customHeight="1" thickTop="1" x14ac:dyDescent="0.2">
      <c r="A343" s="2277" t="s">
        <v>989</v>
      </c>
      <c r="B343" s="2278"/>
      <c r="C343" s="1673"/>
      <c r="D343" s="1673"/>
      <c r="E343" s="1673"/>
      <c r="F343" s="1673"/>
      <c r="G343" s="1673"/>
      <c r="H343" s="1673"/>
      <c r="I343" s="1673"/>
      <c r="J343" s="1673"/>
      <c r="K343" s="1689">
        <f>'Revenues 9-14'!J268-'Expenditures 15-22'!K342</f>
        <v>31735</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7" t="s">
        <v>960</v>
      </c>
      <c r="B345" s="2268"/>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v>1200</v>
      </c>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0</v>
      </c>
      <c r="F350" s="1674">
        <f t="shared" si="26"/>
        <v>0</v>
      </c>
      <c r="G350" s="1674">
        <f t="shared" si="26"/>
        <v>0</v>
      </c>
      <c r="H350" s="1674">
        <f t="shared" si="26"/>
        <v>0</v>
      </c>
      <c r="I350" s="1674">
        <f t="shared" si="26"/>
        <v>0</v>
      </c>
      <c r="J350" s="1674">
        <f t="shared" si="26"/>
        <v>0</v>
      </c>
      <c r="K350" s="1674">
        <f t="shared" si="26"/>
        <v>0</v>
      </c>
      <c r="L350" s="1674">
        <f t="shared" si="26"/>
        <v>1200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0</v>
      </c>
      <c r="F352" s="1674">
        <f t="shared" si="27"/>
        <v>0</v>
      </c>
      <c r="G352" s="1674">
        <f t="shared" si="27"/>
        <v>0</v>
      </c>
      <c r="H352" s="1674">
        <f t="shared" si="27"/>
        <v>0</v>
      </c>
      <c r="I352" s="1674">
        <f t="shared" si="27"/>
        <v>0</v>
      </c>
      <c r="J352" s="1674">
        <f t="shared" si="27"/>
        <v>0</v>
      </c>
      <c r="K352" s="1674">
        <f t="shared" si="27"/>
        <v>0</v>
      </c>
      <c r="L352" s="1674">
        <f t="shared" si="27"/>
        <v>1200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0</v>
      </c>
      <c r="F367" s="1674">
        <f t="shared" si="28"/>
        <v>0</v>
      </c>
      <c r="G367" s="1674">
        <f t="shared" si="28"/>
        <v>0</v>
      </c>
      <c r="H367" s="1674">
        <f t="shared" si="28"/>
        <v>0</v>
      </c>
      <c r="I367" s="1674">
        <f t="shared" si="28"/>
        <v>0</v>
      </c>
      <c r="J367" s="1674">
        <f t="shared" si="28"/>
        <v>0</v>
      </c>
      <c r="K367" s="1674">
        <f t="shared" si="28"/>
        <v>0</v>
      </c>
      <c r="L367" s="1674">
        <f t="shared" si="28"/>
        <v>1200</v>
      </c>
    </row>
    <row r="368" spans="1:14" ht="13.5" thickTop="1" x14ac:dyDescent="0.2">
      <c r="A368" s="2264" t="s">
        <v>989</v>
      </c>
      <c r="B368" s="2265"/>
      <c r="C368" s="1694"/>
      <c r="D368" s="1694"/>
      <c r="E368" s="1677"/>
      <c r="F368" s="1677"/>
      <c r="G368" s="1677"/>
      <c r="H368" s="1677"/>
      <c r="I368" s="1677"/>
      <c r="J368" s="1676"/>
      <c r="K368" s="1672">
        <f>'Revenues 9-14'!K268-'Expenditures 15-22'!K367</f>
        <v>7819</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&amp;F&amp;CThe notes are an intergral part of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20" sqref="E20"/>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91"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2"/>
      <c r="B3" s="1294"/>
      <c r="C3" s="1295"/>
      <c r="D3" s="1296" t="s">
        <v>254</v>
      </c>
      <c r="E3" s="1295"/>
      <c r="F3" s="1296" t="s">
        <v>255</v>
      </c>
    </row>
    <row r="4" spans="1:8" ht="13.7" customHeight="1" x14ac:dyDescent="0.2">
      <c r="A4" s="579" t="s">
        <v>1145</v>
      </c>
      <c r="B4" s="1721">
        <f>'Revenues 9-14'!C5</f>
        <v>182070</v>
      </c>
      <c r="C4" s="1722">
        <v>0</v>
      </c>
      <c r="D4" s="1723">
        <f>B4-C4</f>
        <v>182070</v>
      </c>
      <c r="E4" s="1722">
        <v>185401</v>
      </c>
      <c r="F4" s="1723">
        <f>E4-C4</f>
        <v>185401</v>
      </c>
    </row>
    <row r="5" spans="1:8" ht="13.7" customHeight="1" x14ac:dyDescent="0.2">
      <c r="A5" s="579" t="s">
        <v>865</v>
      </c>
      <c r="B5" s="1724">
        <f>'Revenues 9-14'!D5</f>
        <v>38904</v>
      </c>
      <c r="C5" s="1664">
        <v>0</v>
      </c>
      <c r="D5" s="1725">
        <f t="shared" ref="D5:D18" si="0">B5-C5</f>
        <v>38904</v>
      </c>
      <c r="E5" s="1664">
        <v>39616</v>
      </c>
      <c r="F5" s="1725">
        <f>E5-C5</f>
        <v>39616</v>
      </c>
    </row>
    <row r="6" spans="1:8" ht="13.7" customHeight="1" x14ac:dyDescent="0.2">
      <c r="A6" s="579" t="s">
        <v>408</v>
      </c>
      <c r="B6" s="1724">
        <f>'Revenues 9-14'!E5</f>
        <v>62100</v>
      </c>
      <c r="C6" s="1664">
        <v>0</v>
      </c>
      <c r="D6" s="1725">
        <f t="shared" si="0"/>
        <v>62100</v>
      </c>
      <c r="E6" s="1664">
        <v>63672</v>
      </c>
      <c r="F6" s="1725">
        <f t="shared" ref="F6:F18" si="1">E6-C6</f>
        <v>63672</v>
      </c>
    </row>
    <row r="7" spans="1:8" ht="13.7" customHeight="1" x14ac:dyDescent="0.2">
      <c r="A7" s="579" t="s">
        <v>154</v>
      </c>
      <c r="B7" s="1724">
        <f>'Revenues 9-14'!F5</f>
        <v>18674</v>
      </c>
      <c r="C7" s="1664">
        <v>0</v>
      </c>
      <c r="D7" s="1725">
        <f t="shared" si="0"/>
        <v>18674</v>
      </c>
      <c r="E7" s="1664">
        <v>19015</v>
      </c>
      <c r="F7" s="1725">
        <f t="shared" si="1"/>
        <v>19015</v>
      </c>
    </row>
    <row r="8" spans="1:8" ht="13.7" customHeight="1" x14ac:dyDescent="0.2">
      <c r="A8" s="579" t="s">
        <v>1169</v>
      </c>
      <c r="B8" s="1724">
        <f>'Revenues 9-14'!G5</f>
        <v>39989</v>
      </c>
      <c r="C8" s="1664">
        <v>0</v>
      </c>
      <c r="D8" s="1725">
        <f t="shared" si="0"/>
        <v>39989</v>
      </c>
      <c r="E8" s="1664">
        <v>41821</v>
      </c>
      <c r="F8" s="1725">
        <f t="shared" si="1"/>
        <v>41821</v>
      </c>
    </row>
    <row r="9" spans="1:8" ht="13.7" customHeight="1" x14ac:dyDescent="0.2">
      <c r="A9" s="579" t="s">
        <v>405</v>
      </c>
      <c r="B9" s="1724">
        <f>'Revenues 9-14'!H5</f>
        <v>0</v>
      </c>
      <c r="C9" s="1664">
        <v>0</v>
      </c>
      <c r="D9" s="1725">
        <f t="shared" si="0"/>
        <v>0</v>
      </c>
      <c r="E9" s="1664">
        <v>0</v>
      </c>
      <c r="F9" s="1725">
        <f t="shared" si="1"/>
        <v>0</v>
      </c>
    </row>
    <row r="10" spans="1:8" ht="13.7" customHeight="1" x14ac:dyDescent="0.2">
      <c r="A10" s="579" t="s">
        <v>404</v>
      </c>
      <c r="B10" s="1724">
        <f>'Revenues 9-14'!I5</f>
        <v>7781</v>
      </c>
      <c r="C10" s="1664">
        <v>0</v>
      </c>
      <c r="D10" s="1725">
        <f t="shared" si="0"/>
        <v>7781</v>
      </c>
      <c r="E10" s="1664">
        <v>7923</v>
      </c>
      <c r="F10" s="1725">
        <f t="shared" si="1"/>
        <v>7923</v>
      </c>
    </row>
    <row r="11" spans="1:8" x14ac:dyDescent="0.2">
      <c r="A11" s="579" t="s">
        <v>406</v>
      </c>
      <c r="B11" s="1724">
        <f>'Revenues 9-14'!J5</f>
        <v>69531</v>
      </c>
      <c r="C11" s="1664">
        <v>0</v>
      </c>
      <c r="D11" s="1725">
        <f t="shared" si="0"/>
        <v>69531</v>
      </c>
      <c r="E11" s="1664">
        <v>76501</v>
      </c>
      <c r="F11" s="1725">
        <f t="shared" si="1"/>
        <v>76501</v>
      </c>
    </row>
    <row r="12" spans="1:8" ht="13.7" customHeight="1" x14ac:dyDescent="0.2">
      <c r="A12" s="579" t="s">
        <v>156</v>
      </c>
      <c r="B12" s="1724">
        <f>'Revenues 9-14'!K5</f>
        <v>7781</v>
      </c>
      <c r="C12" s="1664">
        <v>0</v>
      </c>
      <c r="D12" s="1725">
        <f t="shared" si="0"/>
        <v>7781</v>
      </c>
      <c r="E12" s="1664">
        <v>7923</v>
      </c>
      <c r="F12" s="1725">
        <f t="shared" si="1"/>
        <v>7923</v>
      </c>
    </row>
    <row r="13" spans="1:8" ht="13.7" customHeight="1" x14ac:dyDescent="0.2">
      <c r="A13" s="579" t="s">
        <v>930</v>
      </c>
      <c r="B13" s="1724">
        <f>SUM('Revenues 9-14'!C6:D6)</f>
        <v>7781</v>
      </c>
      <c r="C13" s="1664">
        <v>0</v>
      </c>
      <c r="D13" s="1725">
        <f t="shared" si="0"/>
        <v>7781</v>
      </c>
      <c r="E13" s="1664">
        <v>7923</v>
      </c>
      <c r="F13" s="1725">
        <f t="shared" si="1"/>
        <v>7923</v>
      </c>
    </row>
    <row r="14" spans="1:8" ht="13.7" customHeight="1" x14ac:dyDescent="0.2">
      <c r="A14" s="579" t="s">
        <v>407</v>
      </c>
      <c r="B14" s="1724">
        <f>SUM('Revenues 9-14'!C7:D7,'Revenues 9-14'!F7:H7)</f>
        <v>3112</v>
      </c>
      <c r="C14" s="1664">
        <v>0</v>
      </c>
      <c r="D14" s="1725">
        <f t="shared" si="0"/>
        <v>3112</v>
      </c>
      <c r="E14" s="1664">
        <v>3169</v>
      </c>
      <c r="F14" s="1725">
        <f t="shared" si="1"/>
        <v>3169</v>
      </c>
    </row>
    <row r="15" spans="1:8" ht="13.7" customHeight="1" x14ac:dyDescent="0.2">
      <c r="A15" s="579" t="s">
        <v>1148</v>
      </c>
      <c r="B15" s="1724">
        <f>SUM('Revenues 9-14'!D9:E9,'Revenues 9-14'!H9)</f>
        <v>0</v>
      </c>
      <c r="C15" s="1664">
        <v>0</v>
      </c>
      <c r="D15" s="1725">
        <f t="shared" si="0"/>
        <v>0</v>
      </c>
      <c r="E15" s="1664">
        <v>0</v>
      </c>
      <c r="F15" s="1725">
        <f t="shared" si="1"/>
        <v>0</v>
      </c>
    </row>
    <row r="16" spans="1:8" ht="13.7" customHeight="1" x14ac:dyDescent="0.2">
      <c r="A16" s="579" t="s">
        <v>1149</v>
      </c>
      <c r="B16" s="1724">
        <f>'Revenues 9-14'!G8</f>
        <v>49987</v>
      </c>
      <c r="C16" s="1664">
        <v>0</v>
      </c>
      <c r="D16" s="1725">
        <f t="shared" si="0"/>
        <v>49987</v>
      </c>
      <c r="E16" s="1664">
        <v>51001</v>
      </c>
      <c r="F16" s="1725">
        <f t="shared" si="1"/>
        <v>51001</v>
      </c>
    </row>
    <row r="17" spans="1:6" ht="13.7" customHeight="1" x14ac:dyDescent="0.2">
      <c r="A17" s="579" t="s">
        <v>1150</v>
      </c>
      <c r="B17" s="1724">
        <f>'Revenues 9-14'!C10</f>
        <v>0</v>
      </c>
      <c r="C17" s="1664">
        <v>0</v>
      </c>
      <c r="D17" s="1725">
        <f t="shared" si="0"/>
        <v>0</v>
      </c>
      <c r="E17" s="1664">
        <v>0</v>
      </c>
      <c r="F17" s="1725">
        <f t="shared" si="1"/>
        <v>0</v>
      </c>
    </row>
    <row r="18" spans="1:6" ht="13.7" customHeight="1" x14ac:dyDescent="0.2">
      <c r="A18" s="579" t="s">
        <v>757</v>
      </c>
      <c r="B18" s="1724">
        <f>SUM('Revenues 9-14'!C11:K11)</f>
        <v>0</v>
      </c>
      <c r="C18" s="1664">
        <v>0</v>
      </c>
      <c r="D18" s="1725">
        <f t="shared" si="0"/>
        <v>0</v>
      </c>
      <c r="E18" s="1664">
        <v>0</v>
      </c>
      <c r="F18" s="1725">
        <f t="shared" si="1"/>
        <v>0</v>
      </c>
    </row>
    <row r="19" spans="1:6" ht="13.7" customHeight="1" thickBot="1" x14ac:dyDescent="0.25">
      <c r="A19" s="1432" t="s">
        <v>1151</v>
      </c>
      <c r="B19" s="1726">
        <f>SUM(B4:B18)</f>
        <v>487710</v>
      </c>
      <c r="C19" s="1726">
        <f>SUM(C4:C18)</f>
        <v>0</v>
      </c>
      <c r="D19" s="1726">
        <f>SUM(D4:D18)</f>
        <v>487710</v>
      </c>
      <c r="E19" s="1726">
        <f>SUM(E4:E18)</f>
        <v>503965</v>
      </c>
      <c r="F19" s="1726">
        <f>SUM(F4:F18)</f>
        <v>503965</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31" colorId="8" zoomScale="110" zoomScaleNormal="110" workbookViewId="0">
      <selection activeCell="J37" sqref="J37"/>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3" t="s">
        <v>625</v>
      </c>
      <c r="B1" s="2311"/>
      <c r="C1" s="585"/>
    </row>
    <row r="2" spans="1:7" ht="33.75" x14ac:dyDescent="0.2">
      <c r="A2" s="2318" t="s">
        <v>1779</v>
      </c>
      <c r="B2" s="2319"/>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20" t="s">
        <v>1104</v>
      </c>
      <c r="B3" s="2321"/>
      <c r="C3" s="2314"/>
      <c r="D3" s="2315"/>
      <c r="E3" s="2315"/>
      <c r="F3" s="2316"/>
    </row>
    <row r="4" spans="1:7" ht="12.75" customHeight="1" thickBot="1" x14ac:dyDescent="0.25">
      <c r="A4" s="2308" t="s">
        <v>626</v>
      </c>
      <c r="B4" s="2309"/>
      <c r="C4" s="1656"/>
      <c r="D4" s="1656"/>
      <c r="E4" s="1656"/>
      <c r="F4" s="1732">
        <f>SUM(C4+D4)-E4</f>
        <v>0</v>
      </c>
    </row>
    <row r="5" spans="1:7" ht="15.75" customHeight="1" thickTop="1" x14ac:dyDescent="0.2">
      <c r="A5" s="2312" t="s">
        <v>1101</v>
      </c>
      <c r="B5" s="2307"/>
      <c r="C5" s="2301"/>
      <c r="D5" s="2302"/>
      <c r="E5" s="2302"/>
      <c r="F5" s="2303"/>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4" t="s">
        <v>627</v>
      </c>
      <c r="B15" s="2305"/>
      <c r="C15" s="1732">
        <f>SUM(C6:C14)</f>
        <v>0</v>
      </c>
      <c r="D15" s="1732">
        <f>SUM(D6:D14)</f>
        <v>0</v>
      </c>
      <c r="E15" s="1732">
        <f>SUM(E6:E14)</f>
        <v>0</v>
      </c>
      <c r="F15" s="1732">
        <f>SUM(F6:F14)</f>
        <v>0</v>
      </c>
      <c r="G15" s="473"/>
    </row>
    <row r="16" spans="1:7" s="197" customFormat="1" ht="15.75" customHeight="1" thickTop="1" x14ac:dyDescent="0.2">
      <c r="A16" s="2317" t="s">
        <v>1102</v>
      </c>
      <c r="B16" s="2307"/>
      <c r="C16" s="2301"/>
      <c r="D16" s="2302"/>
      <c r="E16" s="2302"/>
      <c r="F16" s="2303"/>
    </row>
    <row r="17" spans="1:11" ht="12.75" customHeight="1" thickBot="1" x14ac:dyDescent="0.25">
      <c r="A17" s="2299" t="s">
        <v>64</v>
      </c>
      <c r="B17" s="2300"/>
      <c r="C17" s="1733"/>
      <c r="D17" s="1664"/>
      <c r="E17" s="1733"/>
      <c r="F17" s="1732">
        <f>SUM(C17+D17)-E17</f>
        <v>0</v>
      </c>
    </row>
    <row r="18" spans="1:11" ht="12.75" customHeight="1" thickTop="1" thickBot="1" x14ac:dyDescent="0.25">
      <c r="A18" s="2299" t="s">
        <v>6</v>
      </c>
      <c r="B18" s="2300"/>
      <c r="C18" s="1733"/>
      <c r="D18" s="1664"/>
      <c r="E18" s="1733"/>
      <c r="F18" s="1732">
        <f>SUM(C18+D18)-E18</f>
        <v>0</v>
      </c>
    </row>
    <row r="19" spans="1:11" ht="12.75" customHeight="1" thickTop="1" thickBot="1" x14ac:dyDescent="0.25">
      <c r="A19" s="2299" t="s">
        <v>385</v>
      </c>
      <c r="B19" s="2300"/>
      <c r="C19" s="1733"/>
      <c r="D19" s="1664"/>
      <c r="E19" s="1733"/>
      <c r="F19" s="1732">
        <f>SUM(C19+D19)-E19</f>
        <v>0</v>
      </c>
    </row>
    <row r="20" spans="1:11" ht="12.75" customHeight="1" thickTop="1" thickBot="1" x14ac:dyDescent="0.25">
      <c r="A20" s="2299" t="s">
        <v>445</v>
      </c>
      <c r="B20" s="2300"/>
      <c r="C20" s="1733"/>
      <c r="D20" s="1664"/>
      <c r="E20" s="1733"/>
      <c r="F20" s="1732">
        <f>SUM(C20+D20)-E20</f>
        <v>0</v>
      </c>
    </row>
    <row r="21" spans="1:11" ht="14.25" thickTop="1" thickBot="1" x14ac:dyDescent="0.25">
      <c r="A21" s="2304" t="s">
        <v>628</v>
      </c>
      <c r="B21" s="2305"/>
      <c r="C21" s="1732">
        <f>SUM(C17:C20)</f>
        <v>0</v>
      </c>
      <c r="D21" s="1732">
        <f>SUM(D17:D20)</f>
        <v>0</v>
      </c>
      <c r="E21" s="1732">
        <f>SUM(E17:E20)</f>
        <v>0</v>
      </c>
      <c r="F21" s="1732">
        <f>SUM(F17:F20)</f>
        <v>0</v>
      </c>
      <c r="G21" s="473"/>
    </row>
    <row r="22" spans="1:11" ht="15.75" customHeight="1" thickTop="1" x14ac:dyDescent="0.2">
      <c r="A22" s="2306" t="s">
        <v>1103</v>
      </c>
      <c r="B22" s="2307"/>
      <c r="C22" s="2301"/>
      <c r="D22" s="2302"/>
      <c r="E22" s="2302"/>
      <c r="F22" s="2303"/>
    </row>
    <row r="23" spans="1:11" ht="13.5" thickBot="1" x14ac:dyDescent="0.25">
      <c r="A23" s="2308" t="s">
        <v>629</v>
      </c>
      <c r="B23" s="2309"/>
      <c r="C23" s="1656"/>
      <c r="D23" s="1656"/>
      <c r="E23" s="1656"/>
      <c r="F23" s="1732">
        <f>SUM(C23+D23)-E23</f>
        <v>0</v>
      </c>
      <c r="G23" s="473"/>
    </row>
    <row r="24" spans="1:11" ht="15.75" customHeight="1" thickTop="1" x14ac:dyDescent="0.2">
      <c r="A24" s="2306" t="s">
        <v>2006</v>
      </c>
      <c r="B24" s="2307"/>
      <c r="C24" s="2301"/>
      <c r="D24" s="2302"/>
      <c r="E24" s="2302"/>
      <c r="F24" s="2303"/>
    </row>
    <row r="25" spans="1:11" ht="13.5" thickBot="1" x14ac:dyDescent="0.25">
      <c r="A25" s="2308" t="s">
        <v>2007</v>
      </c>
      <c r="B25" s="2309"/>
      <c r="C25" s="1656"/>
      <c r="D25" s="1656"/>
      <c r="E25" s="1656"/>
      <c r="F25" s="1732">
        <f>SUM(C25+D25)-E25</f>
        <v>0</v>
      </c>
      <c r="G25" s="473"/>
    </row>
    <row r="26" spans="1:11" ht="15.75" customHeight="1" thickTop="1" x14ac:dyDescent="0.2">
      <c r="A26" s="2312" t="s">
        <v>652</v>
      </c>
      <c r="B26" s="2307"/>
      <c r="C26" s="589"/>
      <c r="D26" s="589"/>
      <c r="E26" s="589"/>
      <c r="F26" s="590"/>
    </row>
    <row r="27" spans="1:11" ht="13.5" thickBot="1" x14ac:dyDescent="0.25">
      <c r="A27" s="2304" t="s">
        <v>1061</v>
      </c>
      <c r="B27" s="2305"/>
      <c r="C27" s="1664"/>
      <c r="D27" s="1664"/>
      <c r="E27" s="1664"/>
      <c r="F27" s="1732">
        <f>SUM(C27+D27)-E27</f>
        <v>0</v>
      </c>
      <c r="G27" s="473"/>
    </row>
    <row r="28" spans="1:11" ht="7.5" customHeight="1" thickTop="1" x14ac:dyDescent="0.2">
      <c r="A28" s="489"/>
    </row>
    <row r="29" spans="1:11" ht="23.25" customHeight="1" x14ac:dyDescent="0.2">
      <c r="A29" s="2310" t="s">
        <v>578</v>
      </c>
      <c r="B29" s="2311"/>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c r="B31" s="595"/>
      <c r="C31" s="1734"/>
      <c r="D31" s="1735"/>
      <c r="E31" s="1734"/>
      <c r="F31" s="1734"/>
      <c r="G31" s="1734"/>
      <c r="H31" s="1734"/>
      <c r="I31" s="1736">
        <f>((E31+F31)-H31)+G31</f>
        <v>0</v>
      </c>
      <c r="J31" s="1734"/>
      <c r="K31" s="596"/>
    </row>
    <row r="32" spans="1:11" ht="12" customHeight="1" x14ac:dyDescent="0.2">
      <c r="A32" s="594" t="s">
        <v>2067</v>
      </c>
      <c r="B32" s="595">
        <v>43510</v>
      </c>
      <c r="C32" s="1734">
        <v>104000</v>
      </c>
      <c r="D32" s="1735">
        <v>1</v>
      </c>
      <c r="E32" s="1734">
        <v>104000</v>
      </c>
      <c r="F32" s="1734"/>
      <c r="G32" s="1734"/>
      <c r="H32" s="1734">
        <v>48000</v>
      </c>
      <c r="I32" s="1736">
        <f>((E32+F32)-H32)+G32</f>
        <v>56000</v>
      </c>
      <c r="J32" s="1734">
        <v>26174</v>
      </c>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t="s">
        <v>2068</v>
      </c>
      <c r="B34" s="595">
        <v>43510</v>
      </c>
      <c r="C34" s="1734">
        <v>84000</v>
      </c>
      <c r="D34" s="1735">
        <v>1</v>
      </c>
      <c r="E34" s="1734">
        <v>84000</v>
      </c>
      <c r="F34" s="1734"/>
      <c r="G34" s="1734"/>
      <c r="H34" s="1734"/>
      <c r="I34" s="1736">
        <f t="shared" si="1"/>
        <v>84000</v>
      </c>
      <c r="J34" s="1734">
        <v>84000</v>
      </c>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t="s">
        <v>2069</v>
      </c>
      <c r="B36" s="595">
        <v>43622</v>
      </c>
      <c r="C36" s="1734">
        <v>100150</v>
      </c>
      <c r="D36" s="1735">
        <v>7</v>
      </c>
      <c r="E36" s="1734">
        <v>100150</v>
      </c>
      <c r="F36" s="1734"/>
      <c r="G36" s="1734"/>
      <c r="H36" s="1734">
        <v>33333</v>
      </c>
      <c r="I36" s="1736">
        <f t="shared" si="1"/>
        <v>66817</v>
      </c>
      <c r="J36" s="1734">
        <v>66817</v>
      </c>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288150</v>
      </c>
      <c r="D49" s="1742"/>
      <c r="E49" s="1736">
        <f t="shared" ref="E49:J49" si="2">SUM(E31:E48)</f>
        <v>288150</v>
      </c>
      <c r="F49" s="1736">
        <f t="shared" si="2"/>
        <v>0</v>
      </c>
      <c r="G49" s="1736">
        <f t="shared" si="2"/>
        <v>0</v>
      </c>
      <c r="H49" s="1736">
        <f t="shared" si="2"/>
        <v>81333</v>
      </c>
      <c r="I49" s="1736">
        <f t="shared" si="2"/>
        <v>206817</v>
      </c>
      <c r="J49" s="1736">
        <f t="shared" si="2"/>
        <v>176991</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3" t="s">
        <v>580</v>
      </c>
      <c r="C52" s="2294"/>
      <c r="D52" s="2294"/>
      <c r="E52" s="603" t="s">
        <v>840</v>
      </c>
      <c r="F52" s="2295" t="s">
        <v>2070</v>
      </c>
      <c r="G52" s="2296"/>
      <c r="H52" s="596"/>
      <c r="I52" s="596"/>
      <c r="J52" s="600"/>
    </row>
    <row r="53" spans="1:11" ht="11.25" customHeight="1" x14ac:dyDescent="0.2">
      <c r="A53" s="604" t="s">
        <v>907</v>
      </c>
      <c r="B53" s="605" t="s">
        <v>945</v>
      </c>
      <c r="C53" s="600"/>
      <c r="D53" s="597"/>
      <c r="E53" s="603" t="s">
        <v>494</v>
      </c>
      <c r="F53" s="2297"/>
      <c r="G53" s="2298"/>
      <c r="H53" s="596"/>
      <c r="I53" s="596"/>
      <c r="J53" s="600"/>
    </row>
    <row r="54" spans="1:11" ht="11.25" customHeight="1" x14ac:dyDescent="0.2">
      <c r="A54" s="606" t="s">
        <v>908</v>
      </c>
      <c r="B54" s="601" t="s">
        <v>946</v>
      </c>
      <c r="C54" s="600"/>
      <c r="D54" s="597"/>
      <c r="E54" s="603" t="s">
        <v>495</v>
      </c>
      <c r="F54" s="2297"/>
      <c r="G54" s="2298"/>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topLeftCell="A4" colorId="8" zoomScale="110" zoomScaleNormal="110" workbookViewId="0">
      <selection activeCell="J20" sqref="J20"/>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22" t="s">
        <v>851</v>
      </c>
      <c r="B1" s="2323"/>
      <c r="C1" s="2323"/>
      <c r="D1" s="2323"/>
      <c r="E1" s="2323"/>
      <c r="F1" s="2323"/>
      <c r="G1" s="2324"/>
      <c r="H1" s="1298"/>
      <c r="I1" s="614"/>
      <c r="J1" s="400"/>
    </row>
    <row r="2" spans="1:11" ht="26.25" x14ac:dyDescent="0.2">
      <c r="A2" s="2341" t="s">
        <v>1658</v>
      </c>
      <c r="B2" s="2342"/>
      <c r="C2" s="2342"/>
      <c r="D2" s="2342"/>
      <c r="E2" s="2343"/>
      <c r="F2" s="615" t="s">
        <v>898</v>
      </c>
      <c r="G2" s="616" t="s">
        <v>1655</v>
      </c>
      <c r="H2" s="616" t="s">
        <v>407</v>
      </c>
      <c r="I2" s="616" t="s">
        <v>1148</v>
      </c>
      <c r="J2" s="616" t="s">
        <v>1789</v>
      </c>
      <c r="K2" s="616" t="s">
        <v>137</v>
      </c>
    </row>
    <row r="3" spans="1:11" x14ac:dyDescent="0.2">
      <c r="A3" s="2344" t="str">
        <f>"Cash Basis Fund Balance as of July 1, "&amp;'AFR20'!E2-1</f>
        <v>Cash Basis Fund Balance as of July 1, 2019</v>
      </c>
      <c r="B3" s="2345"/>
      <c r="C3" s="2345"/>
      <c r="D3" s="2345"/>
      <c r="E3" s="2346"/>
      <c r="F3" s="617"/>
      <c r="G3" s="1744"/>
      <c r="H3" s="1744">
        <v>0</v>
      </c>
      <c r="I3" s="1744"/>
      <c r="J3" s="1745">
        <v>32406</v>
      </c>
      <c r="K3" s="1745"/>
    </row>
    <row r="4" spans="1:11" x14ac:dyDescent="0.2">
      <c r="A4" s="2347" t="s">
        <v>366</v>
      </c>
      <c r="B4" s="2348"/>
      <c r="C4" s="2348"/>
      <c r="D4" s="2348"/>
      <c r="E4" s="2294"/>
      <c r="F4" s="620"/>
      <c r="G4" s="1746"/>
      <c r="H4" s="1747"/>
      <c r="I4" s="1746"/>
      <c r="J4" s="1748"/>
      <c r="K4" s="1748"/>
    </row>
    <row r="5" spans="1:11" x14ac:dyDescent="0.2">
      <c r="A5" s="2325" t="s">
        <v>1060</v>
      </c>
      <c r="B5" s="2326"/>
      <c r="C5" s="2326"/>
      <c r="D5" s="2326"/>
      <c r="E5" s="2327"/>
      <c r="F5" s="622" t="s">
        <v>843</v>
      </c>
      <c r="G5" s="1749"/>
      <c r="H5" s="1744">
        <v>3112</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v>71039</v>
      </c>
      <c r="K8" s="1748"/>
    </row>
    <row r="9" spans="1:11" x14ac:dyDescent="0.2">
      <c r="A9" s="629" t="s">
        <v>137</v>
      </c>
      <c r="B9" s="630"/>
      <c r="C9" s="630"/>
      <c r="D9" s="630"/>
      <c r="E9" s="631"/>
      <c r="F9" s="628" t="s">
        <v>848</v>
      </c>
      <c r="G9" s="1753"/>
      <c r="H9" s="1749"/>
      <c r="I9" s="1749"/>
      <c r="J9" s="1752"/>
      <c r="K9" s="1745"/>
    </row>
    <row r="10" spans="1:11" x14ac:dyDescent="0.2">
      <c r="A10" s="2325" t="s">
        <v>1790</v>
      </c>
      <c r="B10" s="2326"/>
      <c r="C10" s="2326"/>
      <c r="D10" s="2326"/>
      <c r="E10" s="2328"/>
      <c r="F10" s="633" t="s">
        <v>857</v>
      </c>
      <c r="G10" s="1753"/>
      <c r="H10" s="1754"/>
      <c r="I10" s="1744"/>
      <c r="J10" s="1745"/>
      <c r="K10" s="1745"/>
    </row>
    <row r="11" spans="1:11" x14ac:dyDescent="0.2">
      <c r="A11" s="2325" t="s">
        <v>159</v>
      </c>
      <c r="B11" s="2326"/>
      <c r="C11" s="2326"/>
      <c r="D11" s="2326"/>
      <c r="E11" s="2327"/>
      <c r="F11" s="622" t="s">
        <v>847</v>
      </c>
      <c r="G11" s="1749"/>
      <c r="H11" s="1744"/>
      <c r="I11" s="1744"/>
      <c r="J11" s="1745"/>
      <c r="K11" s="1751"/>
    </row>
    <row r="12" spans="1:11" ht="13.5" thickBot="1" x14ac:dyDescent="0.25">
      <c r="A12" s="2352" t="s">
        <v>899</v>
      </c>
      <c r="B12" s="2353"/>
      <c r="C12" s="2353"/>
      <c r="D12" s="2353"/>
      <c r="E12" s="2354"/>
      <c r="F12" s="1433"/>
      <c r="G12" s="1755">
        <f>SUM(G5:G11)</f>
        <v>0</v>
      </c>
      <c r="H12" s="1755">
        <f>SUM(H5:H11)</f>
        <v>3112</v>
      </c>
      <c r="I12" s="1755">
        <f>SUM(I5:I11)</f>
        <v>0</v>
      </c>
      <c r="J12" s="1755">
        <f>SUM(J5:J11)</f>
        <v>71039</v>
      </c>
      <c r="K12" s="1755">
        <f>SUM(K5:K11)</f>
        <v>0</v>
      </c>
    </row>
    <row r="13" spans="1:11" ht="13.5" thickTop="1" x14ac:dyDescent="0.2">
      <c r="A13" s="2349" t="s">
        <v>367</v>
      </c>
      <c r="B13" s="2350"/>
      <c r="C13" s="2350"/>
      <c r="D13" s="2350"/>
      <c r="E13" s="2351"/>
      <c r="F13" s="634"/>
      <c r="G13" s="1756"/>
      <c r="H13" s="1757"/>
      <c r="I13" s="1758"/>
      <c r="J13" s="1758"/>
      <c r="K13" s="1758"/>
    </row>
    <row r="14" spans="1:11" x14ac:dyDescent="0.2">
      <c r="A14" s="2332" t="s">
        <v>453</v>
      </c>
      <c r="B14" s="2332"/>
      <c r="C14" s="2332"/>
      <c r="D14" s="2332"/>
      <c r="E14" s="2333"/>
      <c r="F14" s="635" t="s">
        <v>849</v>
      </c>
      <c r="G14" s="1753"/>
      <c r="H14" s="1744">
        <v>3112</v>
      </c>
      <c r="I14" s="1749"/>
      <c r="J14" s="1751"/>
      <c r="K14" s="1745"/>
    </row>
    <row r="15" spans="1:11" x14ac:dyDescent="0.2">
      <c r="A15" s="2326" t="s">
        <v>4</v>
      </c>
      <c r="B15" s="2326"/>
      <c r="C15" s="2326"/>
      <c r="D15" s="2326"/>
      <c r="E15" s="2327"/>
      <c r="F15" s="635" t="s">
        <v>850</v>
      </c>
      <c r="G15" s="1749"/>
      <c r="H15" s="1744"/>
      <c r="I15" s="1744"/>
      <c r="J15" s="1745">
        <v>38005</v>
      </c>
      <c r="K15" s="1745"/>
    </row>
    <row r="16" spans="1:11" x14ac:dyDescent="0.2">
      <c r="A16" s="2326" t="s">
        <v>295</v>
      </c>
      <c r="B16" s="2326"/>
      <c r="C16" s="2326"/>
      <c r="D16" s="2326"/>
      <c r="E16" s="2327"/>
      <c r="F16" s="635" t="s">
        <v>917</v>
      </c>
      <c r="G16" s="1750"/>
      <c r="H16" s="1746"/>
      <c r="I16" s="1746"/>
      <c r="J16" s="1748"/>
      <c r="K16" s="1748"/>
    </row>
    <row r="17" spans="1:15" x14ac:dyDescent="0.2">
      <c r="A17" s="2359" t="s">
        <v>929</v>
      </c>
      <c r="B17" s="2359"/>
      <c r="C17" s="2359"/>
      <c r="D17" s="2359"/>
      <c r="E17" s="2360"/>
      <c r="F17" s="636"/>
      <c r="G17" s="1759"/>
      <c r="H17" s="1760"/>
      <c r="I17" s="1760"/>
      <c r="J17" s="1761"/>
      <c r="K17" s="1762"/>
    </row>
    <row r="18" spans="1:15" x14ac:dyDescent="0.2">
      <c r="A18" s="2336" t="s">
        <v>365</v>
      </c>
      <c r="B18" s="2337"/>
      <c r="C18" s="2337"/>
      <c r="D18" s="2337"/>
      <c r="E18" s="2338"/>
      <c r="F18" s="635" t="s">
        <v>926</v>
      </c>
      <c r="G18" s="1753"/>
      <c r="H18" s="1753"/>
      <c r="I18" s="1753"/>
      <c r="J18" s="1745">
        <v>5056</v>
      </c>
      <c r="K18" s="1763"/>
    </row>
    <row r="19" spans="1:15" ht="21.75" customHeight="1" x14ac:dyDescent="0.2">
      <c r="A19" s="2334" t="s">
        <v>1786</v>
      </c>
      <c r="B19" s="2334"/>
      <c r="C19" s="2334"/>
      <c r="D19" s="2334"/>
      <c r="E19" s="2335"/>
      <c r="F19" s="635" t="s">
        <v>927</v>
      </c>
      <c r="G19" s="1753"/>
      <c r="H19" s="1753"/>
      <c r="I19" s="1753"/>
      <c r="J19" s="1745">
        <v>60384</v>
      </c>
      <c r="K19" s="1763"/>
    </row>
    <row r="20" spans="1:15" x14ac:dyDescent="0.2">
      <c r="A20" s="2336" t="s">
        <v>1791</v>
      </c>
      <c r="B20" s="2337"/>
      <c r="C20" s="2337"/>
      <c r="D20" s="2337"/>
      <c r="E20" s="2338"/>
      <c r="F20" s="635" t="s">
        <v>928</v>
      </c>
      <c r="G20" s="1753"/>
      <c r="H20" s="1753"/>
      <c r="I20" s="1753"/>
      <c r="J20" s="1745"/>
      <c r="K20" s="1763"/>
    </row>
    <row r="21" spans="1:15" ht="13.5" thickBot="1" x14ac:dyDescent="0.25">
      <c r="A21" s="2355" t="s">
        <v>633</v>
      </c>
      <c r="B21" s="2355"/>
      <c r="C21" s="2355"/>
      <c r="D21" s="2355"/>
      <c r="E21" s="2355"/>
      <c r="F21" s="1434"/>
      <c r="G21" s="1760"/>
      <c r="H21" s="1764"/>
      <c r="I21" s="1764"/>
      <c r="J21" s="1765">
        <f>SUM(J18:J20)</f>
        <v>65440</v>
      </c>
      <c r="K21" s="1761"/>
    </row>
    <row r="22" spans="1:15" ht="13.5" thickTop="1" x14ac:dyDescent="0.2">
      <c r="A22" s="2326" t="s">
        <v>1792</v>
      </c>
      <c r="B22" s="2326"/>
      <c r="C22" s="2326"/>
      <c r="D22" s="2326"/>
      <c r="E22" s="2327"/>
      <c r="F22" s="635" t="s">
        <v>857</v>
      </c>
      <c r="G22" s="1753"/>
      <c r="H22" s="1744"/>
      <c r="I22" s="1744"/>
      <c r="J22" s="1766"/>
      <c r="K22" s="1745"/>
    </row>
    <row r="23" spans="1:15" ht="13.5" thickBot="1" x14ac:dyDescent="0.25">
      <c r="A23" s="2356" t="s">
        <v>900</v>
      </c>
      <c r="B23" s="2355"/>
      <c r="C23" s="2355"/>
      <c r="D23" s="2355"/>
      <c r="E23" s="2355"/>
      <c r="F23" s="1436"/>
      <c r="G23" s="1755">
        <f>SUM(G14:G16,G21,G22)</f>
        <v>0</v>
      </c>
      <c r="H23" s="1755">
        <f>SUM(H14:H16,H21,H22)</f>
        <v>3112</v>
      </c>
      <c r="I23" s="1755">
        <f>SUM(I14:I16,I21,I22)</f>
        <v>0</v>
      </c>
      <c r="J23" s="1755">
        <f>SUM(J14:J16,J21,J22)</f>
        <v>103445</v>
      </c>
      <c r="K23" s="1755">
        <f>SUM(K14:K16,K21,K22)</f>
        <v>0</v>
      </c>
      <c r="M23" s="1846"/>
      <c r="N23" s="1846"/>
      <c r="O23" s="1846"/>
    </row>
    <row r="24" spans="1:15" ht="14.25" thickTop="1" thickBot="1" x14ac:dyDescent="0.25">
      <c r="A24" s="2357" t="str">
        <f>"Ending Cash Basis Fund Balance as of June 30, "&amp;'AFR20'!E2</f>
        <v>Ending Cash Basis Fund Balance as of June 30, 2020</v>
      </c>
      <c r="B24" s="2358"/>
      <c r="C24" s="2358"/>
      <c r="D24" s="2358"/>
      <c r="E24" s="2358"/>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29"/>
      <c r="I31" s="2330"/>
      <c r="J31" s="2330"/>
      <c r="K31" s="2330"/>
    </row>
    <row r="32" spans="1:15" x14ac:dyDescent="0.2">
      <c r="A32" s="649"/>
      <c r="B32" s="232"/>
      <c r="C32" s="232"/>
      <c r="D32" s="232"/>
      <c r="E32" s="645"/>
      <c r="F32" s="651" t="s">
        <v>537</v>
      </c>
      <c r="G32" s="618"/>
      <c r="H32" s="2331"/>
      <c r="I32" s="2330"/>
      <c r="J32" s="2330"/>
      <c r="K32" s="2330"/>
    </row>
    <row r="33" spans="1:11" ht="1.5" customHeight="1" x14ac:dyDescent="0.2">
      <c r="A33" s="652" t="s">
        <v>1159</v>
      </c>
      <c r="B33" s="341"/>
      <c r="C33" s="341"/>
      <c r="D33" s="341"/>
      <c r="E33" s="341"/>
      <c r="F33" s="341"/>
      <c r="G33" s="653"/>
      <c r="H33" s="2331"/>
      <c r="I33" s="2330"/>
      <c r="J33" s="2330"/>
      <c r="K33" s="2330"/>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6" t="s">
        <v>538</v>
      </c>
      <c r="B41" s="2339"/>
      <c r="C41" s="2339"/>
      <c r="D41" s="2339"/>
      <c r="E41" s="2339"/>
      <c r="F41" s="2340"/>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J13" sqref="J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3" t="s">
        <v>1875</v>
      </c>
      <c r="B1" s="2364"/>
      <c r="C1" s="2365"/>
      <c r="D1" s="666"/>
      <c r="E1" s="667"/>
      <c r="F1" s="667"/>
      <c r="G1" s="668"/>
      <c r="H1" s="669"/>
      <c r="I1" s="670"/>
      <c r="J1" s="2361"/>
      <c r="K1" s="2362"/>
      <c r="L1" s="2362"/>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22962</v>
      </c>
      <c r="D5" s="1770">
        <v>0</v>
      </c>
      <c r="E5" s="1770"/>
      <c r="F5" s="1765">
        <f>(C5+D5)-E5</f>
        <v>22962</v>
      </c>
      <c r="G5" s="676"/>
      <c r="H5" s="680"/>
      <c r="I5" s="680"/>
      <c r="J5" s="680"/>
      <c r="K5" s="637"/>
      <c r="L5" s="1442">
        <f>F5-K5</f>
        <v>22962</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3483386</v>
      </c>
      <c r="D8" s="1771">
        <v>0</v>
      </c>
      <c r="E8" s="1771">
        <v>52205</v>
      </c>
      <c r="F8" s="1765">
        <f>(C8+D8)-E8</f>
        <v>3431181</v>
      </c>
      <c r="G8" s="681">
        <v>50</v>
      </c>
      <c r="H8" s="619">
        <v>1370168</v>
      </c>
      <c r="I8" s="619">
        <v>68625</v>
      </c>
      <c r="J8" s="619">
        <v>52205</v>
      </c>
      <c r="K8" s="1442">
        <f>(H8+I8)-J8</f>
        <v>1386588</v>
      </c>
      <c r="L8" s="1442">
        <f>F8-K8</f>
        <v>2044593</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325709</v>
      </c>
      <c r="D10" s="1772">
        <v>206443</v>
      </c>
      <c r="E10" s="1772"/>
      <c r="F10" s="1773">
        <f>(C10+D10)-E10</f>
        <v>532152</v>
      </c>
      <c r="G10" s="681">
        <v>20</v>
      </c>
      <c r="H10" s="683">
        <v>51218</v>
      </c>
      <c r="I10" s="683">
        <v>26608</v>
      </c>
      <c r="J10" s="683"/>
      <c r="K10" s="1442">
        <f>(H10+I10)-J10</f>
        <v>77826</v>
      </c>
      <c r="L10" s="1442">
        <f>F10-K10</f>
        <v>454326</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198224</v>
      </c>
      <c r="D12" s="1771">
        <v>28308</v>
      </c>
      <c r="E12" s="1771">
        <v>2500</v>
      </c>
      <c r="F12" s="1765">
        <f>(C12+D12)-E12</f>
        <v>224032</v>
      </c>
      <c r="G12" s="681">
        <v>10</v>
      </c>
      <c r="H12" s="619">
        <v>90650</v>
      </c>
      <c r="I12" s="619">
        <v>22400</v>
      </c>
      <c r="J12" s="619">
        <v>2500</v>
      </c>
      <c r="K12" s="1442">
        <f>(H12+I12)-J12</f>
        <v>110550</v>
      </c>
      <c r="L12" s="1442">
        <f>F12-K12</f>
        <v>113482</v>
      </c>
    </row>
    <row r="13" spans="1:14" ht="14.25" thickTop="1" thickBot="1" x14ac:dyDescent="0.25">
      <c r="A13" s="684" t="s">
        <v>1112</v>
      </c>
      <c r="B13" s="679">
        <v>252</v>
      </c>
      <c r="C13" s="1771">
        <v>139622</v>
      </c>
      <c r="D13" s="1771">
        <v>9768</v>
      </c>
      <c r="E13" s="1771"/>
      <c r="F13" s="1765">
        <f>(C13+D13)-E13</f>
        <v>149390</v>
      </c>
      <c r="G13" s="681">
        <v>5</v>
      </c>
      <c r="H13" s="619">
        <v>107272</v>
      </c>
      <c r="I13" s="619">
        <v>14297</v>
      </c>
      <c r="J13" s="619"/>
      <c r="K13" s="1442">
        <f>(H13+I13)-J13</f>
        <v>121569</v>
      </c>
      <c r="L13" s="1442">
        <f>F13-K13</f>
        <v>27821</v>
      </c>
    </row>
    <row r="14" spans="1:14" ht="14.25" thickTop="1" thickBot="1" x14ac:dyDescent="0.25">
      <c r="A14" s="684" t="s">
        <v>1113</v>
      </c>
      <c r="B14" s="679">
        <v>253</v>
      </c>
      <c r="C14" s="1745">
        <v>31067</v>
      </c>
      <c r="D14" s="1745">
        <v>9341</v>
      </c>
      <c r="E14" s="1745"/>
      <c r="F14" s="1765">
        <f>(C14+D14)-E14</f>
        <v>40408</v>
      </c>
      <c r="G14" s="681">
        <v>3</v>
      </c>
      <c r="H14" s="619">
        <v>10356</v>
      </c>
      <c r="I14" s="619">
        <v>13470</v>
      </c>
      <c r="J14" s="619"/>
      <c r="K14" s="1442">
        <f>(H14+I14)-J14</f>
        <v>23826</v>
      </c>
      <c r="L14" s="1442">
        <f>F14-K14</f>
        <v>16582</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4200970</v>
      </c>
      <c r="D16" s="1765">
        <f>SUM(D3,D5:D6,D8:D10,D12:D15)</f>
        <v>253860</v>
      </c>
      <c r="E16" s="1765">
        <f>SUM(E3,E5:E6,E8:E10,E12:E15)</f>
        <v>54705</v>
      </c>
      <c r="F16" s="1765">
        <f>SUM(F3,F5:F6,F8:F10,F12:F15)</f>
        <v>4400125</v>
      </c>
      <c r="G16" s="681"/>
      <c r="H16" s="1435">
        <f>SUM(H3,H6,H8:H10,H12:H14,)</f>
        <v>1629664</v>
      </c>
      <c r="I16" s="1435">
        <f>SUM(I3,I6,I8:I10,I12:I14,)</f>
        <v>145400</v>
      </c>
      <c r="J16" s="1435">
        <f>SUM(J3,J6,J8:J10,J12:J14,)</f>
        <v>54705</v>
      </c>
      <c r="K16" s="1435">
        <f>(H16+I16)-J16</f>
        <v>1720359</v>
      </c>
      <c r="L16" s="1435">
        <f>F16-K16</f>
        <v>2679766</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145400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27" colorId="8" zoomScale="110" zoomScaleNormal="11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9" t="str">
        <f>"ESTIMATED OPERATING EXPENSE PER PUPIL (OEPP)/PER CAPITA TUITION CHARGE (PCTC) COMPUTATIONS ("&amp;'AFR20'!E2-1&amp;" - "&amp;'AFR20'!E2&amp;")"</f>
        <v>ESTIMATED OPERATING EXPENSE PER PUPIL (OEPP)/PER CAPITA TUITION CHARGE (PCTC) COMPUTATIONS (2019 - 2020)</v>
      </c>
      <c r="B1" s="2370"/>
      <c r="C1" s="2370"/>
      <c r="D1" s="2370"/>
      <c r="E1" s="2370"/>
      <c r="F1" s="2371"/>
      <c r="G1" s="691"/>
      <c r="I1" s="701"/>
    </row>
    <row r="2" spans="1:9" ht="15" customHeight="1" thickBot="1" x14ac:dyDescent="0.25">
      <c r="A2" s="2372" t="s">
        <v>474</v>
      </c>
      <c r="B2" s="2373"/>
      <c r="C2" s="2373"/>
      <c r="D2" s="2373"/>
      <c r="E2" s="2373"/>
      <c r="F2" s="2374"/>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5"/>
      <c r="B5" s="2376"/>
      <c r="C5" s="2376"/>
      <c r="D5" s="2376"/>
      <c r="E5" s="2376"/>
      <c r="F5" s="2376"/>
    </row>
    <row r="6" spans="1:9" ht="13.5" customHeight="1" thickBot="1" x14ac:dyDescent="0.25">
      <c r="A6" s="2366" t="s">
        <v>1095</v>
      </c>
      <c r="B6" s="2367"/>
      <c r="C6" s="2367"/>
      <c r="D6" s="2367"/>
      <c r="E6" s="2367"/>
      <c r="F6" s="2368"/>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2428708</v>
      </c>
      <c r="G8" s="701"/>
    </row>
    <row r="9" spans="1:9" x14ac:dyDescent="0.2">
      <c r="A9" s="705" t="s">
        <v>457</v>
      </c>
      <c r="B9" s="706" t="s">
        <v>1848</v>
      </c>
      <c r="C9" s="707"/>
      <c r="D9" s="705" t="s">
        <v>498</v>
      </c>
      <c r="E9" s="704"/>
      <c r="F9" s="1775">
        <f>'Expenditures 15-22'!K151</f>
        <v>79813</v>
      </c>
      <c r="G9" s="708"/>
    </row>
    <row r="10" spans="1:9" x14ac:dyDescent="0.2">
      <c r="A10" s="705" t="s">
        <v>496</v>
      </c>
      <c r="B10" s="706" t="s">
        <v>1849</v>
      </c>
      <c r="C10" s="707"/>
      <c r="D10" s="705" t="s">
        <v>498</v>
      </c>
      <c r="E10" s="704"/>
      <c r="F10" s="1775">
        <f>'Expenditures 15-22'!K174</f>
        <v>102248</v>
      </c>
      <c r="G10" s="708"/>
    </row>
    <row r="11" spans="1:9" x14ac:dyDescent="0.2">
      <c r="A11" s="705" t="s">
        <v>458</v>
      </c>
      <c r="B11" s="706" t="s">
        <v>1850</v>
      </c>
      <c r="C11" s="707"/>
      <c r="D11" s="705" t="s">
        <v>498</v>
      </c>
      <c r="E11" s="704"/>
      <c r="F11" s="1775">
        <f>'Expenditures 15-22'!K210</f>
        <v>174456</v>
      </c>
      <c r="G11" s="708"/>
    </row>
    <row r="12" spans="1:9" x14ac:dyDescent="0.2">
      <c r="A12" s="705" t="s">
        <v>459</v>
      </c>
      <c r="B12" s="706" t="s">
        <v>1851</v>
      </c>
      <c r="C12" s="707"/>
      <c r="D12" s="705" t="s">
        <v>498</v>
      </c>
      <c r="E12" s="704"/>
      <c r="F12" s="1775">
        <f>'Expenditures 15-22'!K295</f>
        <v>96359</v>
      </c>
      <c r="G12" s="708"/>
    </row>
    <row r="13" spans="1:9" x14ac:dyDescent="0.2">
      <c r="A13" s="705" t="s">
        <v>106</v>
      </c>
      <c r="B13" s="706" t="s">
        <v>1852</v>
      </c>
      <c r="C13" s="707"/>
      <c r="D13" s="705" t="s">
        <v>498</v>
      </c>
      <c r="E13" s="704"/>
      <c r="F13" s="1775">
        <f>'Expenditures 15-22'!K342</f>
        <v>38115</v>
      </c>
      <c r="G13" s="709"/>
    </row>
    <row r="14" spans="1:9" ht="12" customHeight="1" thickBot="1" x14ac:dyDescent="0.25">
      <c r="A14" s="1443"/>
      <c r="B14" s="1444"/>
      <c r="C14" s="1445"/>
      <c r="D14" s="1446" t="s">
        <v>498</v>
      </c>
      <c r="E14" s="1447" t="s">
        <v>952</v>
      </c>
      <c r="F14" s="1776">
        <f>SUM(F8:F13)</f>
        <v>2919699</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75431</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1002</v>
      </c>
      <c r="G52" s="701"/>
    </row>
    <row r="53" spans="1:7" x14ac:dyDescent="0.2">
      <c r="A53" s="705" t="s">
        <v>456</v>
      </c>
      <c r="B53" s="705" t="s">
        <v>1458</v>
      </c>
      <c r="C53" s="724">
        <f>'Expenditures 15-22'!B102</f>
        <v>4000</v>
      </c>
      <c r="D53" s="723" t="str">
        <f>'Expenditures 15-22'!A102</f>
        <v>Total Payments to Other Govt Units</v>
      </c>
      <c r="E53" s="704"/>
      <c r="F53" s="1782">
        <f>'Expenditures 15-22'!K102</f>
        <v>526841</v>
      </c>
      <c r="G53" s="701"/>
    </row>
    <row r="54" spans="1:7" x14ac:dyDescent="0.2">
      <c r="A54" s="705" t="s">
        <v>456</v>
      </c>
      <c r="B54" s="705" t="s">
        <v>1459</v>
      </c>
      <c r="C54" s="724" t="s">
        <v>975</v>
      </c>
      <c r="D54" s="720" t="s">
        <v>1086</v>
      </c>
      <c r="E54" s="704"/>
      <c r="F54" s="1782">
        <f>'Expenditures 15-22'!G114</f>
        <v>47417</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17260</v>
      </c>
      <c r="G57" s="701"/>
    </row>
    <row r="58" spans="1:7" x14ac:dyDescent="0.2">
      <c r="A58" s="705" t="s">
        <v>457</v>
      </c>
      <c r="B58" s="705" t="s">
        <v>1854</v>
      </c>
      <c r="C58" s="721" t="s">
        <v>975</v>
      </c>
      <c r="D58" s="720" t="s">
        <v>1086</v>
      </c>
      <c r="E58" s="704"/>
      <c r="F58" s="1784">
        <f>'Expenditures 15-22'!G151</f>
        <v>0</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81333</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4326</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12902</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766512</v>
      </c>
      <c r="G77" s="701"/>
    </row>
    <row r="78" spans="1:9" s="728" customFormat="1" ht="12" customHeight="1" thickTop="1" thickBot="1" x14ac:dyDescent="0.25">
      <c r="A78" s="1450"/>
      <c r="B78" s="1448"/>
      <c r="C78" s="1445"/>
      <c r="D78" s="1449" t="s">
        <v>2012</v>
      </c>
      <c r="E78" s="1447"/>
      <c r="F78" s="1788">
        <f>(F14-F77)</f>
        <v>2153187</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211.35</v>
      </c>
      <c r="G79" s="733"/>
      <c r="H79" s="705"/>
      <c r="I79" s="705"/>
    </row>
    <row r="80" spans="1:9" s="728" customFormat="1" ht="12" customHeight="1" thickBot="1" x14ac:dyDescent="0.25">
      <c r="A80" s="1452"/>
      <c r="B80" s="1448"/>
      <c r="C80" s="1445"/>
      <c r="D80" s="1449" t="s">
        <v>2013</v>
      </c>
      <c r="E80" s="1447" t="s">
        <v>952</v>
      </c>
      <c r="F80" s="1790">
        <f>IF(F79&gt;0,F78/F79," Complete Line 79")</f>
        <v>10187.77856635912</v>
      </c>
      <c r="G80" s="705"/>
    </row>
    <row r="81" spans="1:7" s="728" customFormat="1" ht="8.25" customHeight="1" thickTop="1" x14ac:dyDescent="0.2">
      <c r="A81" s="734"/>
      <c r="B81" s="705"/>
      <c r="C81" s="707"/>
      <c r="D81" s="735"/>
      <c r="E81" s="704"/>
      <c r="F81" s="1791"/>
      <c r="G81" s="705"/>
    </row>
    <row r="82" spans="1:7" s="728" customFormat="1" ht="12" thickBot="1" x14ac:dyDescent="0.25">
      <c r="A82" s="2366" t="s">
        <v>1096</v>
      </c>
      <c r="B82" s="2367"/>
      <c r="C82" s="2367"/>
      <c r="D82" s="2367"/>
      <c r="E82" s="2367"/>
      <c r="F82" s="2368"/>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1021</v>
      </c>
      <c r="G95" s="745"/>
    </row>
    <row r="96" spans="1:7" x14ac:dyDescent="0.2">
      <c r="A96" s="741" t="s">
        <v>139</v>
      </c>
      <c r="B96" s="741" t="s">
        <v>174</v>
      </c>
      <c r="C96" s="743">
        <v>1700</v>
      </c>
      <c r="D96" s="751" t="str">
        <f>'Revenues 9-14'!A82</f>
        <v>Total District/School Activity Income</v>
      </c>
      <c r="E96" s="739"/>
      <c r="F96" s="1793">
        <f>SUM('Revenues 9-14'!C82,'Revenues 9-14'!D82)</f>
        <v>1563</v>
      </c>
      <c r="G96" s="745"/>
    </row>
    <row r="97" spans="1:7" x14ac:dyDescent="0.2">
      <c r="A97" s="741" t="s">
        <v>456</v>
      </c>
      <c r="B97" s="741" t="s">
        <v>175</v>
      </c>
      <c r="C97" s="743">
        <f>'Revenues 9-14'!B84</f>
        <v>1811</v>
      </c>
      <c r="D97" s="744" t="str">
        <f>'Revenues 9-14'!A84</f>
        <v>Rentals - Regular Textbooks</v>
      </c>
      <c r="E97" s="739"/>
      <c r="F97" s="1793">
        <f>'Revenues 9-14'!C84</f>
        <v>195</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43162</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60573</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0</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2168</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0</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152670</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0</v>
      </c>
      <c r="G121" s="763"/>
    </row>
    <row r="122" spans="1:7" x14ac:dyDescent="0.2">
      <c r="A122" s="760" t="s">
        <v>497</v>
      </c>
      <c r="B122" s="760" t="s">
        <v>1926</v>
      </c>
      <c r="C122" s="761">
        <f>'Revenues 9-14'!B168</f>
        <v>3999</v>
      </c>
      <c r="D122" s="762" t="s">
        <v>540</v>
      </c>
      <c r="E122" s="764"/>
      <c r="F122" s="1793">
        <f>SUM('Revenues 9-14'!C168:G168,'Revenues 9-14'!J168)</f>
        <v>6149</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182321</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145638</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84510</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2603</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4446</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5600</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1885</v>
      </c>
      <c r="C172" s="1531">
        <v>3100</v>
      </c>
      <c r="D172" s="1532" t="s">
        <v>1887</v>
      </c>
      <c r="E172" s="739"/>
      <c r="F172" s="1794">
        <v>76455</v>
      </c>
      <c r="G172" s="760"/>
    </row>
    <row r="173" spans="1:7" x14ac:dyDescent="0.2">
      <c r="A173" s="1529" t="s">
        <v>659</v>
      </c>
      <c r="B173" s="1530" t="s">
        <v>1885</v>
      </c>
      <c r="C173" s="1531">
        <v>3300</v>
      </c>
      <c r="D173" s="1532" t="s">
        <v>1888</v>
      </c>
      <c r="E173" s="739"/>
      <c r="F173" s="1794">
        <v>265</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769339</v>
      </c>
    </row>
    <row r="176" spans="1:7" ht="12" customHeight="1" x14ac:dyDescent="0.2">
      <c r="A176" s="1443"/>
      <c r="B176" s="1453"/>
      <c r="C176" s="1454"/>
      <c r="D176" s="1455" t="s">
        <v>2014</v>
      </c>
      <c r="E176" s="1456"/>
      <c r="F176" s="1793">
        <f>'PCTC-OEPP 27-28'!F78-F175</f>
        <v>1383848</v>
      </c>
    </row>
    <row r="177" spans="1:9" ht="12" customHeight="1" x14ac:dyDescent="0.2">
      <c r="A177" s="1443"/>
      <c r="B177" s="1453"/>
      <c r="C177" s="1454"/>
      <c r="D177" s="1455" t="s">
        <v>1794</v>
      </c>
      <c r="E177" s="1456"/>
      <c r="F177" s="1793">
        <f>'Cap Outlay Deprec 26'!I18</f>
        <v>145400</v>
      </c>
    </row>
    <row r="178" spans="1:9" ht="12" customHeight="1" x14ac:dyDescent="0.2">
      <c r="A178" s="1443"/>
      <c r="B178" s="1453"/>
      <c r="C178" s="1454"/>
      <c r="D178" s="1455" t="s">
        <v>2015</v>
      </c>
      <c r="E178" s="1456"/>
      <c r="F178" s="1793">
        <f>F176+F177</f>
        <v>1529248</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211.35</v>
      </c>
      <c r="G179" s="763"/>
      <c r="I179" s="701"/>
    </row>
    <row r="180" spans="1:9" ht="12" customHeight="1" thickBot="1" x14ac:dyDescent="0.25">
      <c r="A180" s="1443"/>
      <c r="B180" s="1457"/>
      <c r="C180" s="1454"/>
      <c r="D180" s="1455" t="s">
        <v>2017</v>
      </c>
      <c r="E180" s="1456" t="s">
        <v>1528</v>
      </c>
      <c r="F180" s="1798">
        <f>F178/F179</f>
        <v>7235.6186420629292</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7"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topLeftCell="A7" zoomScaleNormal="100" workbookViewId="0">
      <selection activeCell="D20" sqref="D20"/>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80" t="s">
        <v>1795</v>
      </c>
      <c r="B4" s="2381"/>
      <c r="C4" s="2381"/>
      <c r="D4" s="2381"/>
      <c r="E4" s="2381"/>
      <c r="F4" s="2382"/>
    </row>
    <row r="5" spans="1:6" x14ac:dyDescent="0.25">
      <c r="A5" s="2383"/>
      <c r="B5" s="2384"/>
      <c r="C5" s="2384"/>
      <c r="D5" s="2384"/>
      <c r="E5" s="2384"/>
      <c r="F5" s="2385"/>
    </row>
    <row r="6" spans="1:6" ht="18.75" x14ac:dyDescent="0.25">
      <c r="A6" s="1867" t="s">
        <v>1796</v>
      </c>
      <c r="B6" s="1868"/>
      <c r="C6" s="1869"/>
      <c r="D6" s="1869"/>
      <c r="E6" s="1869"/>
      <c r="F6" s="1870"/>
    </row>
    <row r="7" spans="1:6" ht="47.25" customHeight="1" x14ac:dyDescent="0.25">
      <c r="A7" s="2386" t="s">
        <v>1985</v>
      </c>
      <c r="B7" s="2387"/>
      <c r="C7" s="2387"/>
      <c r="D7" s="2387"/>
      <c r="E7" s="2387"/>
      <c r="F7" s="2388"/>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9" t="s">
        <v>1981</v>
      </c>
      <c r="B10" s="2390"/>
      <c r="C10" s="2390"/>
      <c r="D10" s="2390"/>
      <c r="E10" s="2390"/>
      <c r="F10" s="2391"/>
    </row>
    <row r="11" spans="1:6" ht="33" customHeight="1" x14ac:dyDescent="0.25">
      <c r="A11" s="2386" t="s">
        <v>1986</v>
      </c>
      <c r="B11" s="2387"/>
      <c r="C11" s="2387"/>
      <c r="D11" s="2387"/>
      <c r="E11" s="2387"/>
      <c r="F11" s="2388"/>
    </row>
    <row r="12" spans="1:6" ht="15" customHeight="1" x14ac:dyDescent="0.25">
      <c r="A12" s="1873" t="s">
        <v>1982</v>
      </c>
      <c r="B12" s="1874"/>
      <c r="C12" s="1875"/>
      <c r="D12" s="1875"/>
      <c r="E12" s="1875"/>
      <c r="F12" s="1876"/>
    </row>
    <row r="13" spans="1:6" ht="17.25" customHeight="1" x14ac:dyDescent="0.25">
      <c r="A13" s="2386" t="s">
        <v>1983</v>
      </c>
      <c r="B13" s="2387"/>
      <c r="C13" s="2387"/>
      <c r="D13" s="2387"/>
      <c r="E13" s="2387"/>
      <c r="F13" s="2388"/>
    </row>
    <row r="14" spans="1:6" ht="15" customHeight="1" x14ac:dyDescent="0.25">
      <c r="A14" s="1873" t="s">
        <v>1800</v>
      </c>
      <c r="B14" s="1874"/>
      <c r="C14" s="1875"/>
      <c r="D14" s="1875"/>
      <c r="E14" s="1875"/>
      <c r="F14" s="1876"/>
    </row>
    <row r="15" spans="1:6" ht="32.25" customHeight="1" x14ac:dyDescent="0.25">
      <c r="A15" s="237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8"/>
      <c r="C15" s="2378"/>
      <c r="D15" s="2378"/>
      <c r="E15" s="2378"/>
      <c r="F15" s="2379"/>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1914"/>
      <c r="B18" s="1908"/>
      <c r="C18" s="1915"/>
      <c r="D18" s="1886"/>
      <c r="E18" s="1906">
        <f t="shared" ref="E18:E81" si="0">IF(D18&lt;25000,D18,"25,000")</f>
        <v>0</v>
      </c>
      <c r="F18" s="1906" t="str">
        <f t="shared" ref="F18:F81" si="1">IF(D18&gt;=25000,(D18-E18),"0")</f>
        <v>0</v>
      </c>
      <c r="G18" s="1887"/>
    </row>
    <row r="19" spans="1:7" x14ac:dyDescent="0.25">
      <c r="A19" s="2038" t="s">
        <v>2118</v>
      </c>
      <c r="B19" s="1908">
        <v>102100300</v>
      </c>
      <c r="C19" s="2039" t="s">
        <v>2119</v>
      </c>
      <c r="D19" s="1886">
        <v>35400</v>
      </c>
      <c r="E19" s="1906" t="str">
        <f t="shared" si="0"/>
        <v>25,000</v>
      </c>
      <c r="F19" s="1906">
        <f t="shared" si="1"/>
        <v>10400</v>
      </c>
    </row>
    <row r="20" spans="1:7" ht="30" x14ac:dyDescent="0.25">
      <c r="A20" s="2038" t="s">
        <v>2120</v>
      </c>
      <c r="B20" s="1908">
        <v>402550300</v>
      </c>
      <c r="C20" s="2039" t="s">
        <v>2121</v>
      </c>
      <c r="D20" s="1886">
        <v>173776</v>
      </c>
      <c r="E20" s="1906" t="str">
        <f t="shared" si="0"/>
        <v>25,000</v>
      </c>
      <c r="F20" s="1906">
        <f t="shared" si="1"/>
        <v>148776</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209176</v>
      </c>
      <c r="E142" s="1893">
        <f>SUM(E18:E141)</f>
        <v>0</v>
      </c>
      <c r="F142" s="1894">
        <f>SUM(F18:F141)</f>
        <v>159176</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&amp;LPage 29&amp;RPage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4" colorId="8" zoomScale="110" zoomScaleNormal="110" workbookViewId="0">
      <selection activeCell="E10" sqref="E10"/>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2" t="s">
        <v>1660</v>
      </c>
      <c r="B5" s="2393"/>
      <c r="C5" s="2393"/>
      <c r="D5" s="2393"/>
      <c r="E5" s="2393"/>
      <c r="F5" s="2393"/>
      <c r="G5" s="2394"/>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v>0</v>
      </c>
      <c r="F7" s="805"/>
      <c r="G7" s="806"/>
      <c r="H7" s="157"/>
      <c r="I7" s="157"/>
    </row>
    <row r="8" spans="1:13" s="542" customFormat="1" ht="12" customHeight="1" x14ac:dyDescent="0.2">
      <c r="A8" s="802" t="s">
        <v>129</v>
      </c>
      <c r="B8" s="803"/>
      <c r="C8" s="803"/>
      <c r="D8" s="804"/>
      <c r="E8" s="1800">
        <v>0</v>
      </c>
      <c r="F8" s="805"/>
      <c r="G8" s="806"/>
      <c r="H8" s="157"/>
      <c r="I8" s="157"/>
    </row>
    <row r="9" spans="1:13" s="542" customFormat="1" ht="12" customHeight="1" x14ac:dyDescent="0.2">
      <c r="A9" s="802" t="s">
        <v>130</v>
      </c>
      <c r="B9" s="803"/>
      <c r="C9" s="803"/>
      <c r="D9" s="804"/>
      <c r="E9" s="1800">
        <v>0</v>
      </c>
      <c r="F9" s="805"/>
      <c r="G9" s="806"/>
      <c r="H9" s="157"/>
      <c r="I9" s="157"/>
    </row>
    <row r="10" spans="1:13" s="542" customFormat="1" ht="12" customHeight="1" x14ac:dyDescent="0.2">
      <c r="A10" s="802" t="s">
        <v>1894</v>
      </c>
      <c r="B10" s="803"/>
      <c r="C10" s="807"/>
      <c r="D10" s="804"/>
      <c r="E10" s="1800">
        <v>0</v>
      </c>
      <c r="F10" s="805"/>
      <c r="G10" s="806"/>
      <c r="H10" s="157"/>
      <c r="I10" s="157"/>
    </row>
    <row r="11" spans="1:13" s="542" customFormat="1" ht="22.5" customHeight="1" x14ac:dyDescent="0.2">
      <c r="A11" s="239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8"/>
      <c r="C11" s="2398"/>
      <c r="D11" s="2399"/>
      <c r="E11" s="1801">
        <v>10792</v>
      </c>
      <c r="F11" s="805"/>
      <c r="G11" s="808"/>
      <c r="H11" s="178"/>
      <c r="I11" s="178"/>
      <c r="J11" s="1853"/>
      <c r="K11" s="1853"/>
      <c r="L11" s="1853"/>
      <c r="M11" s="1853"/>
    </row>
    <row r="12" spans="1:13" s="542" customFormat="1" ht="12" customHeight="1" x14ac:dyDescent="0.2">
      <c r="A12" s="802" t="s">
        <v>131</v>
      </c>
      <c r="B12" s="803"/>
      <c r="C12" s="803"/>
      <c r="D12" s="804"/>
      <c r="E12" s="1800">
        <v>0</v>
      </c>
      <c r="F12" s="805"/>
      <c r="G12" s="806"/>
      <c r="H12" s="157"/>
      <c r="I12" s="157"/>
    </row>
    <row r="13" spans="1:13" s="542" customFormat="1" ht="12" customHeight="1" x14ac:dyDescent="0.2">
      <c r="A13" s="802" t="s">
        <v>201</v>
      </c>
      <c r="B13" s="803"/>
      <c r="C13" s="803"/>
      <c r="D13" s="804"/>
      <c r="E13" s="1800">
        <v>0</v>
      </c>
      <c r="F13" s="805"/>
      <c r="G13" s="806"/>
      <c r="H13" s="157"/>
      <c r="I13" s="157"/>
    </row>
    <row r="14" spans="1:13" s="542" customFormat="1" ht="12" customHeight="1" x14ac:dyDescent="0.2">
      <c r="A14" s="802" t="s">
        <v>202</v>
      </c>
      <c r="B14" s="803"/>
      <c r="C14" s="803"/>
      <c r="D14" s="804"/>
      <c r="E14" s="1800">
        <v>2370</v>
      </c>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1208127</v>
      </c>
      <c r="F19" s="1802"/>
      <c r="G19" s="1804">
        <f>'Expenditures 15-22'!K33-SUM('Expenditures 15-22'!G33,'Expenditures 15-22'!I33)+'Expenditures 15-22'!D229</f>
        <v>1208127</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176375</v>
      </c>
      <c r="F21" s="1805"/>
      <c r="G21" s="1808">
        <f>'Expenditures 15-22'!K42-SUM('Expenditures 15-22'!G42,'Expenditures 15-22'!I42)+'Expenditures 15-22'!K120-SUM('Expenditures 15-22'!G120,'Expenditures 15-22'!I120)+'Expenditures 15-22'!K180-SUM('Expenditures 15-22'!G180,'Expenditures 15-22'!I180)+'Expenditures 15-22'!D238</f>
        <v>176375</v>
      </c>
      <c r="H21" s="817"/>
      <c r="I21" s="157"/>
    </row>
    <row r="22" spans="1:9" s="542" customFormat="1" ht="12" customHeight="1" x14ac:dyDescent="0.2">
      <c r="A22" s="824" t="s">
        <v>560</v>
      </c>
      <c r="B22" s="825"/>
      <c r="C22" s="823">
        <v>2200</v>
      </c>
      <c r="D22" s="1805"/>
      <c r="E22" s="1807">
        <f>'Expenditures 15-22'!K47-SUM('Expenditures 15-22'!G47,'Expenditures 15-22'!I47)+'Expenditures 15-22'!D243</f>
        <v>20704</v>
      </c>
      <c r="F22" s="1805"/>
      <c r="G22" s="1808">
        <f>'Expenditures 15-22'!K47-SUM('Expenditures 15-22'!G47,'Expenditures 15-22'!I47)+'Expenditures 15-22'!D243</f>
        <v>20704</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94107</v>
      </c>
      <c r="F23" s="1805"/>
      <c r="G23" s="1807">
        <f>'Expenditures 15-22'!K53-SUM('Expenditures 15-22'!G53,'Expenditures 15-22'!I53)+'Expenditures 15-22'!D257+'Expenditures 15-22'!K330-SUM('Expenditures 15-22'!G330,'Expenditures 15-22'!I330)</f>
        <v>94107</v>
      </c>
      <c r="H23" s="817"/>
      <c r="I23" s="157"/>
    </row>
    <row r="24" spans="1:9" s="542" customFormat="1" ht="12" customHeight="1" x14ac:dyDescent="0.2">
      <c r="A24" s="824" t="s">
        <v>562</v>
      </c>
      <c r="B24" s="825"/>
      <c r="C24" s="823">
        <v>2400</v>
      </c>
      <c r="D24" s="1805"/>
      <c r="E24" s="1807">
        <f>'Expenditures 15-22'!K57-SUM('Expenditures 15-22'!G57,'Expenditures 15-22'!I57)+'Expenditures 15-22'!D261</f>
        <v>162271</v>
      </c>
      <c r="F24" s="1805"/>
      <c r="G24" s="1808">
        <f>'Expenditures 15-22'!K57-SUM('Expenditures 15-22'!G57,'Expenditures 15-22'!I57)+'Expenditures 15-22'!D261</f>
        <v>162271</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7525</v>
      </c>
      <c r="E26" s="1807">
        <f>'Expenditures 15-22'!K122-SUM('Expenditures 15-22'!G122,'Expenditures 15-22'!I122)+E7</f>
        <v>0</v>
      </c>
      <c r="F26" s="1807">
        <f>'Expenditures 15-22'!K59-SUM('Expenditures 15-22'!G59,'Expenditures 15-22'!I59)+'Expenditures 15-22'!D263-E7</f>
        <v>7525</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47319</v>
      </c>
      <c r="E27" s="1807">
        <f>E8</f>
        <v>0</v>
      </c>
      <c r="F27" s="1807">
        <f>'Expenditures 15-22'!K60-SUM('Expenditures 15-22'!G60,'Expenditures 15-22'!I60)+'Expenditures 15-22'!D264-E8</f>
        <v>47319</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169329</v>
      </c>
      <c r="F28" s="1809">
        <f>'Expenditures 15-22'!K61-SUM('Expenditures 15-22'!G61,'Expenditures 15-22'!I61)+'Expenditures 15-22'!K124-SUM('Expenditures 15-22'!G124,'Expenditures 15-22'!I124)+'Expenditures 15-22'!D266-E9</f>
        <v>169329</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174458</v>
      </c>
      <c r="F29" s="1805"/>
      <c r="G29" s="1808">
        <f>'Expenditures 15-22'!K62-SUM('Expenditures 15-22'!G62,'Expenditures 15-22'!I62)+'Expenditures 15-22'!K125-SUM('Expenditures 15-22'!G125,'Expenditures 15-22'!I125)+'Expenditures 15-22'!K182-SUM('Expenditures 15-22'!G182,'Expenditures 15-22'!I182)+'Expenditures 15-22'!D267</f>
        <v>174458</v>
      </c>
      <c r="H29" s="815"/>
    </row>
    <row r="30" spans="1:9" ht="12" customHeight="1" x14ac:dyDescent="0.2">
      <c r="A30" s="824" t="s">
        <v>100</v>
      </c>
      <c r="B30" s="827"/>
      <c r="C30" s="823">
        <v>2560</v>
      </c>
      <c r="D30" s="1805"/>
      <c r="E30" s="1807">
        <f>'Expenditures 15-22'!K63-SUM('Expenditures 15-22'!G63,'Expenditures 15-22'!I63)+'Expenditures 15-22'!D268-E10</f>
        <v>149444</v>
      </c>
      <c r="F30" s="1805"/>
      <c r="G30" s="1807">
        <f>'Expenditures 15-22'!K63-SUM('Expenditures 15-22'!G63,'Expenditures 15-22'!I63)+'Expenditures 15-22'!D268-E10</f>
        <v>149444</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2370</v>
      </c>
      <c r="F37" s="1807">
        <f>'Expenditures 15-22'!K71-SUM('Expenditures 15-22'!G71,'Expenditures 15-22'!I71)+'Expenditures 15-22'!D276-E14</f>
        <v>0</v>
      </c>
      <c r="G37" s="1807">
        <f>E14</f>
        <v>2370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1002</v>
      </c>
      <c r="F39" s="1805"/>
      <c r="G39" s="1807">
        <f>'Expenditures 15-22'!K75-SUM('Expenditures 15-22'!G75,'Expenditures 15-22'!I75)+'Expenditures 15-22'!K130-SUM('Expenditures 15-22'!G130,'Expenditures 15-22'!I130)+'Expenditures 15-22'!K185-SUM('Expenditures 15-22'!G185,'Expenditures 15-22'!I185)+'Expenditures 15-22'!D280</f>
        <v>1002</v>
      </c>
    </row>
    <row r="40" spans="1:7" ht="12" customHeight="1" x14ac:dyDescent="0.2">
      <c r="A40" s="820" t="s">
        <v>1798</v>
      </c>
      <c r="B40" s="821"/>
      <c r="C40" s="823"/>
      <c r="D40" s="1805"/>
      <c r="E40" s="1809">
        <f>-'Contracts Paid in CY 29'!F142</f>
        <v>-159176</v>
      </c>
      <c r="F40" s="1805"/>
      <c r="G40" s="1809">
        <f>-'Contracts Paid in CY 29'!F142</f>
        <v>-159176</v>
      </c>
    </row>
    <row r="41" spans="1:7" ht="12" customHeight="1" x14ac:dyDescent="0.2">
      <c r="A41" s="828" t="s">
        <v>155</v>
      </c>
      <c r="B41" s="829"/>
      <c r="C41" s="830"/>
      <c r="D41" s="1809">
        <f>SUM(D19:D39)</f>
        <v>54844</v>
      </c>
      <c r="E41" s="1809">
        <f>SUM(E19:E40)</f>
        <v>1999011</v>
      </c>
      <c r="F41" s="1809">
        <f>SUM(F19:F39)</f>
        <v>224173</v>
      </c>
      <c r="G41" s="1809">
        <f>SUM(G19:G40)</f>
        <v>1829682</v>
      </c>
    </row>
    <row r="42" spans="1:7" x14ac:dyDescent="0.2">
      <c r="A42" s="817"/>
      <c r="B42" s="157"/>
      <c r="C42" s="831"/>
      <c r="D42" s="2395" t="s">
        <v>519</v>
      </c>
      <c r="E42" s="2396"/>
      <c r="F42" s="832" t="s">
        <v>520</v>
      </c>
      <c r="G42" s="833"/>
    </row>
    <row r="43" spans="1:7" ht="12" customHeight="1" x14ac:dyDescent="0.2">
      <c r="A43" s="817"/>
      <c r="B43" s="157"/>
      <c r="C43" s="831"/>
      <c r="D43" s="1458" t="s">
        <v>470</v>
      </c>
      <c r="E43" s="1810">
        <f>D41</f>
        <v>54844</v>
      </c>
      <c r="F43" s="1458" t="s">
        <v>470</v>
      </c>
      <c r="G43" s="1810">
        <f>F41</f>
        <v>224173</v>
      </c>
    </row>
    <row r="44" spans="1:7" ht="12" customHeight="1" x14ac:dyDescent="0.2">
      <c r="A44" s="817"/>
      <c r="B44" s="157"/>
      <c r="C44" s="831"/>
      <c r="D44" s="1458" t="s">
        <v>471</v>
      </c>
      <c r="E44" s="1810">
        <f>E41</f>
        <v>1999011</v>
      </c>
      <c r="F44" s="1458" t="s">
        <v>471</v>
      </c>
      <c r="G44" s="1810">
        <f>G41</f>
        <v>1829682</v>
      </c>
    </row>
    <row r="45" spans="1:7" ht="12" customHeight="1" x14ac:dyDescent="0.2">
      <c r="A45" s="817"/>
      <c r="B45" s="157"/>
      <c r="C45" s="157"/>
      <c r="D45" s="1459" t="s">
        <v>999</v>
      </c>
      <c r="E45" s="1811">
        <f>(E43/E44)</f>
        <v>2.7435566887826029E-2</v>
      </c>
      <c r="F45" s="1459" t="s">
        <v>999</v>
      </c>
      <c r="G45" s="1811">
        <f>(G43/G44)</f>
        <v>0.12252019749880033</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topLeftCell="A15" zoomScale="110" zoomScaleNormal="110" workbookViewId="0">
      <selection activeCell="F45" sqref="F45"/>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4" t="s">
        <v>1363</v>
      </c>
      <c r="B1" s="2414"/>
      <c r="C1" s="2414"/>
      <c r="D1" s="2414"/>
      <c r="E1" s="2414"/>
      <c r="F1" s="2414"/>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5" t="s">
        <v>1529</v>
      </c>
      <c r="B5" s="2416"/>
      <c r="C5" s="2417"/>
      <c r="D5" s="2417"/>
      <c r="E5" s="2417"/>
      <c r="F5" s="2417"/>
      <c r="G5" s="1507"/>
      <c r="L5" s="1507"/>
      <c r="M5" s="1855"/>
      <c r="N5" s="1855"/>
      <c r="O5" s="1855"/>
    </row>
    <row r="6" spans="1:15" ht="12" customHeight="1" x14ac:dyDescent="0.25">
      <c r="A6" s="1480"/>
      <c r="B6" s="1481"/>
      <c r="C6" s="2418" t="str">
        <f>COVER!A17</f>
        <v xml:space="preserve">  Pleasant Hill SD 69</v>
      </c>
      <c r="D6" s="2418"/>
      <c r="E6" s="2418"/>
      <c r="F6" s="1482"/>
      <c r="G6" s="1507"/>
      <c r="L6" s="1507"/>
      <c r="M6" s="1855"/>
      <c r="N6" s="1855"/>
      <c r="O6" s="1855"/>
    </row>
    <row r="7" spans="1:15" ht="11.25" customHeight="1" thickBot="1" x14ac:dyDescent="0.3">
      <c r="A7" s="1480"/>
      <c r="B7" s="1481"/>
      <c r="C7" s="2419">
        <f>COVER!A13</f>
        <v>48072069002</v>
      </c>
      <c r="D7" s="2419"/>
      <c r="E7" s="2419"/>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t="s">
        <v>2060</v>
      </c>
      <c r="D14" s="1495" t="s">
        <v>2060</v>
      </c>
      <c r="E14" s="1498"/>
      <c r="F14" s="1497" t="s">
        <v>2071</v>
      </c>
      <c r="G14" s="1507"/>
      <c r="H14" s="1507">
        <f t="shared" si="0"/>
        <v>5</v>
      </c>
      <c r="I14" s="1507">
        <f t="shared" si="1"/>
        <v>5</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t="s">
        <v>2060</v>
      </c>
      <c r="D16" s="1495" t="s">
        <v>2060</v>
      </c>
      <c r="E16" s="1498"/>
      <c r="F16" s="1497" t="s">
        <v>2072</v>
      </c>
      <c r="G16" s="1507"/>
      <c r="H16" s="1507">
        <f t="shared" si="0"/>
        <v>5</v>
      </c>
      <c r="I16" s="1507">
        <f t="shared" si="1"/>
        <v>5</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t="s">
        <v>2060</v>
      </c>
      <c r="D19" s="1495" t="s">
        <v>2060</v>
      </c>
      <c r="E19" s="1498"/>
      <c r="F19" s="1497" t="s">
        <v>2073</v>
      </c>
      <c r="G19" s="1507"/>
      <c r="H19" s="1507">
        <f t="shared" si="0"/>
        <v>5</v>
      </c>
      <c r="I19" s="1507">
        <f t="shared" si="1"/>
        <v>5</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t="s">
        <v>2060</v>
      </c>
      <c r="D21" s="1495" t="s">
        <v>2060</v>
      </c>
      <c r="E21" s="1498"/>
      <c r="F21" s="1497" t="s">
        <v>2072</v>
      </c>
      <c r="G21" s="1507"/>
      <c r="H21" s="1507">
        <f t="shared" si="0"/>
        <v>5</v>
      </c>
      <c r="I21" s="1507">
        <f t="shared" si="1"/>
        <v>5</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t="s">
        <v>2060</v>
      </c>
      <c r="D25" s="1495" t="s">
        <v>2060</v>
      </c>
      <c r="E25" s="1498"/>
      <c r="F25" s="1497" t="s">
        <v>2071</v>
      </c>
      <c r="G25" s="1507"/>
      <c r="H25" s="1507">
        <f t="shared" si="0"/>
        <v>5</v>
      </c>
      <c r="I25" s="1507">
        <f t="shared" si="1"/>
        <v>5</v>
      </c>
      <c r="J25" s="1507">
        <f t="shared" si="2"/>
        <v>0</v>
      </c>
      <c r="L25" s="1507"/>
      <c r="M25" s="1855"/>
      <c r="N25" s="1855"/>
      <c r="O25" s="1855"/>
    </row>
    <row r="26" spans="1:15" ht="12" customHeight="1" x14ac:dyDescent="0.2">
      <c r="A26" s="1493" t="s">
        <v>1517</v>
      </c>
      <c r="B26" s="1494"/>
      <c r="C26" s="1495" t="s">
        <v>2060</v>
      </c>
      <c r="D26" s="1495" t="s">
        <v>2060</v>
      </c>
      <c r="E26" s="1498"/>
      <c r="F26" s="1497" t="s">
        <v>2074</v>
      </c>
      <c r="G26" s="1507"/>
      <c r="H26" s="1507">
        <f t="shared" si="0"/>
        <v>5</v>
      </c>
      <c r="I26" s="1507">
        <f t="shared" si="1"/>
        <v>5</v>
      </c>
      <c r="J26" s="1507">
        <f t="shared" si="2"/>
        <v>0</v>
      </c>
      <c r="L26" s="1507"/>
      <c r="M26" s="1855"/>
      <c r="N26" s="1855"/>
      <c r="O26" s="1855"/>
    </row>
    <row r="27" spans="1:15" ht="18.75" x14ac:dyDescent="0.2">
      <c r="A27" s="1493" t="s">
        <v>1518</v>
      </c>
      <c r="B27" s="1494"/>
      <c r="C27" s="1495" t="s">
        <v>2060</v>
      </c>
      <c r="D27" s="1495" t="s">
        <v>2060</v>
      </c>
      <c r="E27" s="1498"/>
      <c r="F27" s="1497" t="s">
        <v>2072</v>
      </c>
      <c r="G27" s="1507"/>
      <c r="H27" s="1507">
        <f t="shared" si="0"/>
        <v>5</v>
      </c>
      <c r="I27" s="1507">
        <f t="shared" si="1"/>
        <v>5</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t="s">
        <v>2060</v>
      </c>
      <c r="D29" s="1495" t="s">
        <v>2060</v>
      </c>
      <c r="E29" s="1498"/>
      <c r="F29" s="1497" t="s">
        <v>2072</v>
      </c>
      <c r="G29" s="1507"/>
      <c r="H29" s="1507">
        <f t="shared" si="0"/>
        <v>5</v>
      </c>
      <c r="I29" s="1507">
        <f t="shared" si="1"/>
        <v>5</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40</v>
      </c>
      <c r="I34" s="1507">
        <f>SUM(I11:I32)</f>
        <v>40</v>
      </c>
      <c r="J34" s="1507">
        <f>SUM(J11:J32)</f>
        <v>0</v>
      </c>
      <c r="K34" s="1507">
        <f>SUM(H34:J34)</f>
        <v>80</v>
      </c>
      <c r="L34" s="1507"/>
      <c r="M34" s="1855"/>
      <c r="N34" s="1855"/>
      <c r="O34" s="1855"/>
    </row>
    <row r="35" spans="1:15" ht="12" customHeight="1" x14ac:dyDescent="0.2">
      <c r="A35" s="1500" t="s">
        <v>1376</v>
      </c>
      <c r="B35" s="1501"/>
      <c r="C35" s="2420"/>
      <c r="D35" s="2420"/>
      <c r="E35" s="2420"/>
      <c r="F35" s="2421"/>
    </row>
    <row r="36" spans="1:15" ht="12" customHeight="1" x14ac:dyDescent="0.2">
      <c r="A36" s="2403"/>
      <c r="B36" s="2404"/>
      <c r="C36" s="2404"/>
      <c r="D36" s="2404"/>
      <c r="E36" s="2404"/>
      <c r="F36" s="2405"/>
    </row>
    <row r="37" spans="1:15" ht="12" customHeight="1" x14ac:dyDescent="0.2">
      <c r="A37" s="2403"/>
      <c r="B37" s="2404"/>
      <c r="C37" s="2404"/>
      <c r="D37" s="2404"/>
      <c r="E37" s="2404"/>
      <c r="F37" s="2405"/>
    </row>
    <row r="38" spans="1:15" ht="12" customHeight="1" x14ac:dyDescent="0.2">
      <c r="A38" s="2406"/>
      <c r="B38" s="2407"/>
      <c r="C38" s="2407"/>
      <c r="D38" s="2407"/>
      <c r="E38" s="2407"/>
      <c r="F38" s="2408"/>
    </row>
    <row r="39" spans="1:15" ht="4.5" hidden="1" customHeight="1" x14ac:dyDescent="0.2">
      <c r="A39" s="1502"/>
      <c r="B39" s="1502"/>
      <c r="C39" s="1502"/>
      <c r="D39" s="1502"/>
      <c r="E39" s="1502"/>
      <c r="F39" s="1502"/>
    </row>
    <row r="40" spans="1:15" s="1499" customFormat="1" ht="12" customHeight="1" x14ac:dyDescent="0.25">
      <c r="A40" s="1503" t="s">
        <v>1375</v>
      </c>
      <c r="B40" s="1504"/>
      <c r="C40" s="2409"/>
      <c r="D40" s="2409"/>
      <c r="E40" s="2409"/>
      <c r="F40" s="2410"/>
      <c r="H40" s="1508"/>
      <c r="I40" s="1508"/>
      <c r="J40" s="1508"/>
      <c r="K40" s="1508"/>
    </row>
    <row r="41" spans="1:15" s="1499" customFormat="1" ht="12" customHeight="1" x14ac:dyDescent="0.25">
      <c r="A41" s="2411" t="s">
        <v>2075</v>
      </c>
      <c r="B41" s="2412"/>
      <c r="C41" s="2412"/>
      <c r="D41" s="2412"/>
      <c r="E41" s="2412"/>
      <c r="F41" s="2413"/>
      <c r="H41" s="1508"/>
      <c r="I41" s="1508"/>
      <c r="J41" s="1508"/>
      <c r="K41" s="1508"/>
    </row>
    <row r="42" spans="1:15" s="1499" customFormat="1" ht="12" customHeight="1" x14ac:dyDescent="0.25">
      <c r="A42" s="2411" t="s">
        <v>2076</v>
      </c>
      <c r="B42" s="2412"/>
      <c r="C42" s="2412"/>
      <c r="D42" s="2412"/>
      <c r="E42" s="2412"/>
      <c r="F42" s="2413"/>
      <c r="H42" s="1508"/>
      <c r="I42" s="1508"/>
      <c r="J42" s="1508"/>
      <c r="K42" s="1508"/>
    </row>
    <row r="43" spans="1:15" s="1499" customFormat="1" ht="15" x14ac:dyDescent="0.25">
      <c r="A43" s="2400"/>
      <c r="B43" s="2401"/>
      <c r="C43" s="2401"/>
      <c r="D43" s="2401"/>
      <c r="E43" s="2401"/>
      <c r="F43" s="2402"/>
      <c r="H43" s="1508"/>
      <c r="I43" s="1508"/>
      <c r="J43" s="1508"/>
      <c r="K43" s="1508"/>
    </row>
    <row r="44" spans="1:15" s="1499" customFormat="1" ht="12" hidden="1" customHeight="1" x14ac:dyDescent="0.25">
      <c r="A44" s="2400"/>
      <c r="B44" s="2401"/>
      <c r="C44" s="2401"/>
      <c r="D44" s="2401"/>
      <c r="E44" s="2401"/>
      <c r="F44" s="2402"/>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3" orientation="landscape" r:id="rId1"/>
  <headerFooter>
    <oddHeader>&amp;LPage 31&amp;RPage 31</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zoomScaleNormal="100" workbookViewId="0">
      <selection activeCell="M23" sqref="M23"/>
    </sheetView>
  </sheetViews>
  <sheetFormatPr defaultColWidth="9.140625" defaultRowHeight="12.75" x14ac:dyDescent="0.2"/>
  <cols>
    <col min="1" max="1" width="2.85546875" style="1923" customWidth="1"/>
    <col min="2" max="2" width="3" style="1923" customWidth="1"/>
    <col min="3" max="3" width="48.5703125" style="1923" customWidth="1"/>
    <col min="4" max="4" width="7.42578125" style="1923" customWidth="1"/>
    <col min="5" max="5" width="11.28515625" style="1923" customWidth="1"/>
    <col min="6" max="6" width="10.85546875" style="1923" customWidth="1"/>
    <col min="7" max="8" width="9.140625" style="1923"/>
    <col min="9" max="9" width="11.140625" style="1923" customWidth="1"/>
    <col min="10" max="10" width="10.85546875" style="1923" customWidth="1"/>
    <col min="11" max="11" width="9.140625" style="1923"/>
    <col min="12" max="12" width="14.140625" style="1923" customWidth="1"/>
    <col min="13" max="13" width="9.140625" style="1923"/>
    <col min="14" max="14" width="18.7109375" style="1923" customWidth="1"/>
    <col min="15" max="16384" width="9.140625" style="1923"/>
  </cols>
  <sheetData>
    <row r="1" spans="1:14" x14ac:dyDescent="0.2">
      <c r="A1" s="1981"/>
      <c r="B1" s="1982"/>
      <c r="C1" s="1982"/>
      <c r="D1" s="1982"/>
      <c r="E1" s="1982"/>
      <c r="F1" s="1982"/>
      <c r="G1" s="1997" t="s">
        <v>402</v>
      </c>
      <c r="H1" s="1998"/>
      <c r="I1" s="1982"/>
      <c r="J1" s="1982"/>
      <c r="K1" s="1982"/>
      <c r="L1" s="1982"/>
      <c r="M1" s="1982"/>
      <c r="N1" s="1983"/>
    </row>
    <row r="2" spans="1:14" x14ac:dyDescent="0.2">
      <c r="A2" s="1999"/>
      <c r="B2" s="838"/>
      <c r="C2" s="838"/>
      <c r="D2" s="838"/>
      <c r="E2" s="838"/>
      <c r="F2" s="838"/>
      <c r="G2" s="1925" t="s">
        <v>2002</v>
      </c>
      <c r="H2" s="1922"/>
      <c r="I2" s="838"/>
      <c r="J2" s="838"/>
      <c r="K2" s="838"/>
      <c r="L2" s="838"/>
      <c r="M2" s="838"/>
      <c r="N2" s="2000"/>
    </row>
    <row r="3" spans="1:14" x14ac:dyDescent="0.2">
      <c r="A3" s="1999"/>
      <c r="B3" s="838"/>
      <c r="C3" s="838"/>
      <c r="D3" s="838"/>
      <c r="E3" s="838"/>
      <c r="F3" s="838"/>
      <c r="G3" s="1925" t="s">
        <v>403</v>
      </c>
      <c r="H3" s="838"/>
      <c r="I3" s="838"/>
      <c r="J3" s="838"/>
      <c r="K3" s="838"/>
      <c r="L3" s="838"/>
      <c r="M3" s="838"/>
      <c r="N3" s="2000"/>
    </row>
    <row r="4" spans="1:14" x14ac:dyDescent="0.2">
      <c r="A4" s="1999"/>
      <c r="B4" s="838"/>
      <c r="C4" s="838"/>
      <c r="D4" s="838"/>
      <c r="E4" s="838"/>
      <c r="F4" s="838"/>
      <c r="G4" s="1925" t="s">
        <v>863</v>
      </c>
      <c r="H4" s="838"/>
      <c r="I4" s="838"/>
      <c r="J4" s="838"/>
      <c r="K4" s="838"/>
      <c r="L4" s="838"/>
      <c r="M4" s="838"/>
      <c r="N4" s="2000"/>
    </row>
    <row r="5" spans="1:14" x14ac:dyDescent="0.2">
      <c r="A5" s="1999"/>
      <c r="B5" s="838"/>
      <c r="C5" s="838"/>
      <c r="D5" s="838"/>
      <c r="E5" s="838"/>
      <c r="F5" s="1925"/>
      <c r="G5" s="1925"/>
      <c r="H5" s="838"/>
      <c r="I5" s="838"/>
      <c r="J5" s="838"/>
      <c r="K5" s="838"/>
      <c r="L5" s="838"/>
      <c r="M5" s="838"/>
      <c r="N5" s="2000"/>
    </row>
    <row r="6" spans="1:14" x14ac:dyDescent="0.2">
      <c r="A6" s="2001" t="s">
        <v>667</v>
      </c>
      <c r="B6" s="1377"/>
      <c r="C6" s="1377"/>
      <c r="D6" s="1377"/>
      <c r="E6" s="1378"/>
      <c r="F6" s="1924"/>
      <c r="G6" s="1925"/>
      <c r="H6" s="838"/>
      <c r="I6" s="1926" t="s">
        <v>1021</v>
      </c>
      <c r="J6" s="2440" t="str">
        <f>COVER!A17</f>
        <v xml:space="preserve">  Pleasant Hill SD 69</v>
      </c>
      <c r="K6" s="2440"/>
      <c r="L6" s="2454"/>
      <c r="M6" s="838"/>
      <c r="N6" s="2000"/>
    </row>
    <row r="7" spans="1:14" x14ac:dyDescent="0.2">
      <c r="A7" s="2455" t="s">
        <v>864</v>
      </c>
      <c r="B7" s="2456"/>
      <c r="C7" s="2456"/>
      <c r="D7" s="2456"/>
      <c r="E7" s="2457"/>
      <c r="F7" s="839"/>
      <c r="G7" s="838"/>
      <c r="H7" s="838"/>
      <c r="I7" s="1926" t="s">
        <v>369</v>
      </c>
      <c r="J7" s="2442">
        <f>COVER!A13</f>
        <v>48072069002</v>
      </c>
      <c r="K7" s="2442"/>
      <c r="L7" s="2442"/>
      <c r="M7" s="838"/>
      <c r="N7" s="2000"/>
    </row>
    <row r="8" spans="1:14" x14ac:dyDescent="0.2">
      <c r="A8" s="2002"/>
      <c r="B8" s="1927"/>
      <c r="C8" s="1927"/>
      <c r="D8" s="1927"/>
      <c r="E8" s="1928"/>
      <c r="F8" s="1929"/>
      <c r="G8" s="1912"/>
      <c r="H8" s="1912"/>
      <c r="I8" s="1912"/>
      <c r="J8" s="1912"/>
      <c r="K8" s="1912"/>
      <c r="L8" s="1912"/>
      <c r="M8" s="838"/>
      <c r="N8" s="2000"/>
    </row>
    <row r="9" spans="1:14" x14ac:dyDescent="0.2">
      <c r="A9" s="2003"/>
      <c r="B9" s="840"/>
      <c r="C9" s="840"/>
      <c r="D9" s="841"/>
      <c r="E9" s="1930" t="s">
        <v>2018</v>
      </c>
      <c r="F9" s="1857"/>
      <c r="G9" s="1857"/>
      <c r="H9" s="1857"/>
      <c r="I9" s="1931" t="s">
        <v>2019</v>
      </c>
      <c r="J9" s="1857"/>
      <c r="K9" s="1857"/>
      <c r="L9" s="1858"/>
      <c r="M9" s="838"/>
      <c r="N9" s="2000"/>
    </row>
    <row r="10" spans="1:14" x14ac:dyDescent="0.2">
      <c r="A10" s="2004"/>
      <c r="B10" s="1932"/>
      <c r="C10" s="1933"/>
      <c r="D10" s="1934"/>
      <c r="E10" s="1935" t="s">
        <v>422</v>
      </c>
      <c r="F10" s="1936" t="s">
        <v>423</v>
      </c>
      <c r="G10" s="1937" t="s">
        <v>429</v>
      </c>
      <c r="H10" s="1938"/>
      <c r="I10" s="1936" t="s">
        <v>422</v>
      </c>
      <c r="J10" s="1936" t="s">
        <v>423</v>
      </c>
      <c r="K10" s="1937" t="s">
        <v>429</v>
      </c>
      <c r="L10" s="1936"/>
      <c r="M10" s="838"/>
      <c r="N10" s="2000"/>
    </row>
    <row r="11" spans="1:14" ht="51" x14ac:dyDescent="0.2">
      <c r="A11" s="2458" t="s">
        <v>478</v>
      </c>
      <c r="B11" s="2459"/>
      <c r="C11" s="2460"/>
      <c r="D11" s="1939" t="s">
        <v>866</v>
      </c>
      <c r="E11" s="1939" t="s">
        <v>64</v>
      </c>
      <c r="F11" s="1939" t="s">
        <v>6</v>
      </c>
      <c r="G11" s="1940" t="s">
        <v>2020</v>
      </c>
      <c r="H11" s="1941" t="s">
        <v>155</v>
      </c>
      <c r="I11" s="1939" t="s">
        <v>64</v>
      </c>
      <c r="J11" s="1939" t="s">
        <v>6</v>
      </c>
      <c r="K11" s="1940" t="s">
        <v>2001</v>
      </c>
      <c r="L11" s="1941" t="s">
        <v>155</v>
      </c>
      <c r="M11" s="838"/>
      <c r="N11" s="2000"/>
    </row>
    <row r="12" spans="1:14" x14ac:dyDescent="0.2">
      <c r="A12" s="2005">
        <v>1</v>
      </c>
      <c r="B12" s="1942" t="s">
        <v>813</v>
      </c>
      <c r="C12" s="842"/>
      <c r="D12" s="1943">
        <v>2320</v>
      </c>
      <c r="E12" s="1946">
        <f>'Expenditures 15-22'!K50</f>
        <v>41489</v>
      </c>
      <c r="F12" s="1944"/>
      <c r="G12" s="1970">
        <f>G68</f>
        <v>0</v>
      </c>
      <c r="H12" s="1946">
        <f t="shared" ref="H12:H18" si="0">SUM(E12:G12)</f>
        <v>41489</v>
      </c>
      <c r="I12" s="1945">
        <v>43708</v>
      </c>
      <c r="J12" s="1944"/>
      <c r="K12" s="1945">
        <v>0</v>
      </c>
      <c r="L12" s="1946">
        <f t="shared" ref="L12:L18" si="1">SUM(I12:K12)</f>
        <v>43708</v>
      </c>
      <c r="M12" s="838"/>
      <c r="N12" s="2000"/>
    </row>
    <row r="13" spans="1:14" x14ac:dyDescent="0.2">
      <c r="A13" s="2005">
        <v>2</v>
      </c>
      <c r="B13" s="1942" t="s">
        <v>42</v>
      </c>
      <c r="C13" s="842"/>
      <c r="D13" s="1943">
        <v>2330</v>
      </c>
      <c r="E13" s="1946">
        <f>'Expenditures 15-22'!K51</f>
        <v>0</v>
      </c>
      <c r="F13" s="1944"/>
      <c r="G13" s="1970">
        <f>H68</f>
        <v>0</v>
      </c>
      <c r="H13" s="1946">
        <f t="shared" si="0"/>
        <v>0</v>
      </c>
      <c r="I13" s="1945">
        <v>0</v>
      </c>
      <c r="J13" s="1944"/>
      <c r="K13" s="1945">
        <v>0</v>
      </c>
      <c r="L13" s="1946">
        <f t="shared" si="1"/>
        <v>0</v>
      </c>
      <c r="M13" s="838"/>
      <c r="N13" s="2000"/>
    </row>
    <row r="14" spans="1:14" x14ac:dyDescent="0.2">
      <c r="A14" s="2005">
        <v>3</v>
      </c>
      <c r="B14" s="1942" t="s">
        <v>43</v>
      </c>
      <c r="C14" s="842"/>
      <c r="D14" s="1947">
        <v>2490</v>
      </c>
      <c r="E14" s="1946">
        <f>'Expenditures 15-22'!K56</f>
        <v>0</v>
      </c>
      <c r="F14" s="1944"/>
      <c r="G14" s="1970">
        <f>I68</f>
        <v>0</v>
      </c>
      <c r="H14" s="1946">
        <f t="shared" si="0"/>
        <v>0</v>
      </c>
      <c r="I14" s="1945">
        <v>0</v>
      </c>
      <c r="J14" s="1944"/>
      <c r="K14" s="1945">
        <v>0</v>
      </c>
      <c r="L14" s="1946">
        <f t="shared" si="1"/>
        <v>0</v>
      </c>
      <c r="M14" s="838"/>
      <c r="N14" s="2000"/>
    </row>
    <row r="15" spans="1:14" x14ac:dyDescent="0.2">
      <c r="A15" s="2005">
        <v>4</v>
      </c>
      <c r="B15" s="1942" t="s">
        <v>1059</v>
      </c>
      <c r="C15" s="842"/>
      <c r="D15" s="1943">
        <v>2510</v>
      </c>
      <c r="E15" s="1946">
        <f>'Expenditures 15-22'!K59</f>
        <v>7525</v>
      </c>
      <c r="F15" s="1946">
        <f>'Expenditures 15-22'!K122</f>
        <v>0</v>
      </c>
      <c r="G15" s="1970">
        <f>J68</f>
        <v>0</v>
      </c>
      <c r="H15" s="1946">
        <f t="shared" si="0"/>
        <v>7525</v>
      </c>
      <c r="I15" s="1945">
        <v>7000</v>
      </c>
      <c r="J15" s="1945">
        <v>0</v>
      </c>
      <c r="K15" s="1945">
        <v>0</v>
      </c>
      <c r="L15" s="1946">
        <f t="shared" si="1"/>
        <v>7000</v>
      </c>
      <c r="M15" s="838"/>
      <c r="N15" s="2000"/>
    </row>
    <row r="16" spans="1:14" x14ac:dyDescent="0.2">
      <c r="A16" s="2005">
        <v>5</v>
      </c>
      <c r="B16" s="1942" t="s">
        <v>101</v>
      </c>
      <c r="C16" s="842"/>
      <c r="D16" s="1943">
        <v>2570</v>
      </c>
      <c r="E16" s="1946">
        <f>'Expenditures 15-22'!K64</f>
        <v>0</v>
      </c>
      <c r="F16" s="1944"/>
      <c r="G16" s="1970">
        <f>K68</f>
        <v>0</v>
      </c>
      <c r="H16" s="1946">
        <f t="shared" si="0"/>
        <v>0</v>
      </c>
      <c r="I16" s="1945">
        <v>0</v>
      </c>
      <c r="J16" s="1944"/>
      <c r="K16" s="1945">
        <v>0</v>
      </c>
      <c r="L16" s="1946">
        <f t="shared" si="1"/>
        <v>0</v>
      </c>
      <c r="M16" s="838"/>
      <c r="N16" s="2000"/>
    </row>
    <row r="17" spans="1:14" x14ac:dyDescent="0.2">
      <c r="A17" s="2005">
        <v>6</v>
      </c>
      <c r="B17" s="1942" t="s">
        <v>1051</v>
      </c>
      <c r="C17" s="842"/>
      <c r="D17" s="1943">
        <v>2610</v>
      </c>
      <c r="E17" s="1946">
        <f>'Expenditures 15-22'!K67</f>
        <v>0</v>
      </c>
      <c r="F17" s="1944"/>
      <c r="G17" s="1970">
        <f>L68</f>
        <v>0</v>
      </c>
      <c r="H17" s="1946">
        <f t="shared" si="0"/>
        <v>0</v>
      </c>
      <c r="I17" s="1945">
        <v>0</v>
      </c>
      <c r="J17" s="1944"/>
      <c r="K17" s="1945">
        <v>0</v>
      </c>
      <c r="L17" s="1946">
        <f t="shared" si="1"/>
        <v>0</v>
      </c>
      <c r="M17" s="838"/>
      <c r="N17" s="2000"/>
    </row>
    <row r="18" spans="1:14" ht="26.25" customHeight="1" x14ac:dyDescent="0.2">
      <c r="A18" s="2006">
        <v>7</v>
      </c>
      <c r="B18" s="2461" t="s">
        <v>7</v>
      </c>
      <c r="C18" s="2462"/>
      <c r="D18" s="2463"/>
      <c r="E18" s="1948">
        <v>0</v>
      </c>
      <c r="F18" s="1948">
        <v>0</v>
      </c>
      <c r="G18" s="1945">
        <v>0</v>
      </c>
      <c r="H18" s="1949">
        <f t="shared" si="0"/>
        <v>0</v>
      </c>
      <c r="I18" s="1945">
        <v>0</v>
      </c>
      <c r="J18" s="1945">
        <v>0</v>
      </c>
      <c r="K18" s="1945">
        <v>0</v>
      </c>
      <c r="L18" s="1946">
        <f t="shared" si="1"/>
        <v>0</v>
      </c>
      <c r="M18" s="838"/>
      <c r="N18" s="2000"/>
    </row>
    <row r="19" spans="1:14" ht="13.5" thickBot="1" x14ac:dyDescent="0.25">
      <c r="A19" s="2005">
        <v>8</v>
      </c>
      <c r="B19" s="1950" t="s">
        <v>1151</v>
      </c>
      <c r="C19" s="838"/>
      <c r="D19" s="1951"/>
      <c r="E19" s="1952">
        <f t="shared" ref="E19:L19" si="2">SUM(E12:E17)-E18</f>
        <v>49014</v>
      </c>
      <c r="F19" s="1952">
        <f t="shared" si="2"/>
        <v>0</v>
      </c>
      <c r="G19" s="1952">
        <f t="shared" ref="G19" si="3">SUM(G12:G17)-G18</f>
        <v>0</v>
      </c>
      <c r="H19" s="1952">
        <f t="shared" si="2"/>
        <v>49014</v>
      </c>
      <c r="I19" s="1952">
        <f t="shared" si="2"/>
        <v>50708</v>
      </c>
      <c r="J19" s="1952">
        <f t="shared" si="2"/>
        <v>0</v>
      </c>
      <c r="K19" s="1952">
        <f t="shared" si="2"/>
        <v>0</v>
      </c>
      <c r="L19" s="1952">
        <f t="shared" si="2"/>
        <v>50708</v>
      </c>
      <c r="M19" s="838"/>
      <c r="N19" s="2000"/>
    </row>
    <row r="20" spans="1:14" ht="13.5" thickTop="1" x14ac:dyDescent="0.2">
      <c r="A20" s="2005">
        <v>9</v>
      </c>
      <c r="B20" s="2464" t="s">
        <v>2021</v>
      </c>
      <c r="C20" s="2464"/>
      <c r="D20" s="2465"/>
      <c r="E20" s="1953"/>
      <c r="F20" s="1953"/>
      <c r="G20" s="1953"/>
      <c r="H20" s="1953"/>
      <c r="I20" s="1953"/>
      <c r="J20" s="1953"/>
      <c r="K20" s="1953"/>
      <c r="L20" s="1954">
        <f>IF(AND(H19&gt;0,L19&gt;0),(((L19-H19)/H19)),"Enter Budget Data")</f>
        <v>3.4561553841759497E-2</v>
      </c>
      <c r="M20" s="838"/>
      <c r="N20" s="2000"/>
    </row>
    <row r="21" spans="1:14" x14ac:dyDescent="0.2">
      <c r="A21" s="2007" t="s">
        <v>194</v>
      </c>
      <c r="B21" s="2008" t="s">
        <v>2046</v>
      </c>
      <c r="C21" s="838"/>
      <c r="D21" s="1955"/>
      <c r="E21" s="1956"/>
      <c r="F21" s="1957"/>
      <c r="G21" s="1957"/>
      <c r="H21" s="1957"/>
      <c r="I21" s="1957"/>
      <c r="J21" s="1957"/>
      <c r="K21" s="1957"/>
      <c r="L21" s="1958"/>
      <c r="M21" s="838"/>
      <c r="N21" s="2000"/>
    </row>
    <row r="22" spans="1:14" x14ac:dyDescent="0.2">
      <c r="A22" s="1999"/>
      <c r="B22" s="2009"/>
      <c r="C22" s="838"/>
      <c r="D22" s="838"/>
      <c r="E22" s="838"/>
      <c r="F22" s="838"/>
      <c r="G22" s="838"/>
      <c r="H22" s="838"/>
      <c r="I22" s="838"/>
      <c r="J22" s="838"/>
      <c r="K22" s="838"/>
      <c r="L22" s="838"/>
      <c r="M22" s="838"/>
      <c r="N22" s="2000"/>
    </row>
    <row r="23" spans="1:14" x14ac:dyDescent="0.2">
      <c r="A23" s="2010" t="s">
        <v>132</v>
      </c>
      <c r="B23" s="2009"/>
      <c r="C23" s="838"/>
      <c r="D23" s="838"/>
      <c r="E23" s="838"/>
      <c r="F23" s="838"/>
      <c r="G23" s="838"/>
      <c r="H23" s="838"/>
      <c r="I23" s="838"/>
      <c r="J23" s="838"/>
      <c r="K23" s="838"/>
      <c r="L23" s="838"/>
      <c r="M23" s="838"/>
      <c r="N23" s="2000"/>
    </row>
    <row r="24" spans="1:14" x14ac:dyDescent="0.2">
      <c r="A24" s="2011" t="s">
        <v>2022</v>
      </c>
      <c r="B24" s="2012"/>
      <c r="C24" s="2013"/>
      <c r="D24" s="2013"/>
      <c r="E24" s="2013"/>
      <c r="F24" s="2013"/>
      <c r="G24" s="2013"/>
      <c r="H24" s="2013"/>
      <c r="I24" s="2013"/>
      <c r="J24" s="2013"/>
      <c r="K24" s="2013"/>
      <c r="L24" s="838"/>
      <c r="M24" s="838"/>
      <c r="N24" s="2000"/>
    </row>
    <row r="25" spans="1:14" x14ac:dyDescent="0.2">
      <c r="A25" s="2011" t="s">
        <v>2023</v>
      </c>
      <c r="B25" s="2012"/>
      <c r="C25" s="2013"/>
      <c r="D25" s="2013"/>
      <c r="E25" s="2013"/>
      <c r="F25" s="2013"/>
      <c r="G25" s="2013"/>
      <c r="H25" s="2013"/>
      <c r="I25" s="2013"/>
      <c r="J25" s="2013"/>
      <c r="K25" s="2013"/>
      <c r="L25" s="838"/>
      <c r="M25" s="838"/>
      <c r="N25" s="2000"/>
    </row>
    <row r="26" spans="1:14" x14ac:dyDescent="0.2">
      <c r="A26" s="2014"/>
      <c r="B26" s="2009"/>
      <c r="C26" s="838"/>
      <c r="D26" s="838"/>
      <c r="E26" s="838"/>
      <c r="F26" s="838"/>
      <c r="G26" s="838"/>
      <c r="H26" s="838"/>
      <c r="I26" s="838"/>
      <c r="J26" s="838"/>
      <c r="K26" s="838"/>
      <c r="L26" s="838"/>
      <c r="M26" s="838"/>
      <c r="N26" s="2000"/>
    </row>
    <row r="27" spans="1:14" x14ac:dyDescent="0.2">
      <c r="A27" s="1999"/>
      <c r="B27" s="2009"/>
      <c r="C27" s="2466"/>
      <c r="D27" s="2466"/>
      <c r="E27" s="843"/>
      <c r="F27" s="2467"/>
      <c r="G27" s="2467"/>
      <c r="H27" s="2467"/>
      <c r="I27" s="838"/>
      <c r="J27" s="838"/>
      <c r="K27" s="838"/>
      <c r="L27" s="838"/>
      <c r="M27" s="838"/>
      <c r="N27" s="2000"/>
    </row>
    <row r="28" spans="1:14" x14ac:dyDescent="0.2">
      <c r="A28" s="1999"/>
      <c r="B28" s="2009"/>
      <c r="C28" s="1959" t="s">
        <v>1026</v>
      </c>
      <c r="D28" s="844"/>
      <c r="E28" s="1960"/>
      <c r="F28" s="2468" t="s">
        <v>1492</v>
      </c>
      <c r="G28" s="2468"/>
      <c r="H28" s="2468"/>
      <c r="I28" s="838"/>
      <c r="J28" s="838"/>
      <c r="K28" s="838"/>
      <c r="L28" s="838"/>
      <c r="M28" s="838"/>
      <c r="N28" s="2000"/>
    </row>
    <row r="29" spans="1:14" x14ac:dyDescent="0.2">
      <c r="A29" s="1999"/>
      <c r="B29" s="2009"/>
      <c r="C29" s="2469"/>
      <c r="D29" s="2469"/>
      <c r="E29" s="845"/>
      <c r="F29" s="2469"/>
      <c r="G29" s="2469"/>
      <c r="H29" s="2469"/>
      <c r="I29" s="838"/>
      <c r="J29" s="838"/>
      <c r="K29" s="838"/>
      <c r="L29" s="838"/>
      <c r="M29" s="838"/>
      <c r="N29" s="2000"/>
    </row>
    <row r="30" spans="1:14" x14ac:dyDescent="0.2">
      <c r="A30" s="1999"/>
      <c r="B30" s="2009"/>
      <c r="C30" s="1962" t="s">
        <v>1544</v>
      </c>
      <c r="D30" s="838"/>
      <c r="E30" s="1961"/>
      <c r="F30" s="2453" t="s">
        <v>1493</v>
      </c>
      <c r="G30" s="2453"/>
      <c r="H30" s="2453"/>
      <c r="I30" s="838"/>
      <c r="J30" s="838"/>
      <c r="K30" s="838"/>
      <c r="L30" s="838"/>
      <c r="M30" s="838"/>
      <c r="N30" s="2000"/>
    </row>
    <row r="31" spans="1:14" x14ac:dyDescent="0.2">
      <c r="A31" s="1999"/>
      <c r="B31" s="2009"/>
      <c r="C31" s="2015"/>
      <c r="D31" s="838"/>
      <c r="E31" s="1955"/>
      <c r="F31" s="1956"/>
      <c r="G31" s="1956"/>
      <c r="H31" s="1956"/>
      <c r="I31" s="838"/>
      <c r="J31" s="838"/>
      <c r="K31" s="838"/>
      <c r="L31" s="838"/>
      <c r="M31" s="838"/>
      <c r="N31" s="2000"/>
    </row>
    <row r="32" spans="1:14" x14ac:dyDescent="0.2">
      <c r="A32" s="1999"/>
      <c r="B32" s="2016" t="s">
        <v>1027</v>
      </c>
      <c r="C32" s="838"/>
      <c r="D32" s="838"/>
      <c r="E32" s="838"/>
      <c r="F32" s="838"/>
      <c r="G32" s="838"/>
      <c r="H32" s="838"/>
      <c r="I32" s="838"/>
      <c r="J32" s="838"/>
      <c r="K32" s="838"/>
      <c r="L32" s="838"/>
      <c r="M32" s="838"/>
      <c r="N32" s="2000"/>
    </row>
    <row r="33" spans="1:14" x14ac:dyDescent="0.2">
      <c r="A33" s="1999"/>
      <c r="B33" s="2017"/>
      <c r="C33" s="838"/>
      <c r="D33" s="838"/>
      <c r="E33" s="838"/>
      <c r="F33" s="838"/>
      <c r="G33" s="838"/>
      <c r="H33" s="838"/>
      <c r="I33" s="838"/>
      <c r="J33" s="838"/>
      <c r="K33" s="838"/>
      <c r="L33" s="838"/>
      <c r="M33" s="838"/>
      <c r="N33" s="2000"/>
    </row>
    <row r="34" spans="1:14" x14ac:dyDescent="0.2">
      <c r="A34" s="1999"/>
      <c r="B34" s="846"/>
      <c r="C34" s="2430" t="s">
        <v>2024</v>
      </c>
      <c r="D34" s="2431"/>
      <c r="E34" s="2431"/>
      <c r="F34" s="2431"/>
      <c r="G34" s="2431"/>
      <c r="H34" s="2431"/>
      <c r="I34" s="2431"/>
      <c r="J34" s="2431"/>
      <c r="K34" s="2018"/>
      <c r="L34" s="838"/>
      <c r="M34" s="838"/>
      <c r="N34" s="2000"/>
    </row>
    <row r="35" spans="1:14" x14ac:dyDescent="0.2">
      <c r="A35" s="1999"/>
      <c r="B35" s="838"/>
      <c r="C35" s="2431"/>
      <c r="D35" s="2431"/>
      <c r="E35" s="2431"/>
      <c r="F35" s="2431"/>
      <c r="G35" s="2431"/>
      <c r="H35" s="2431"/>
      <c r="I35" s="2431"/>
      <c r="J35" s="2431"/>
      <c r="K35" s="2018"/>
      <c r="L35" s="838"/>
      <c r="M35" s="838"/>
      <c r="N35" s="2000"/>
    </row>
    <row r="36" spans="1:14" x14ac:dyDescent="0.2">
      <c r="A36" s="1999"/>
      <c r="B36" s="838"/>
      <c r="C36" s="2019"/>
      <c r="D36" s="838"/>
      <c r="E36" s="838"/>
      <c r="F36" s="838"/>
      <c r="G36" s="838"/>
      <c r="H36" s="838"/>
      <c r="I36" s="838"/>
      <c r="J36" s="838"/>
      <c r="K36" s="838"/>
      <c r="L36" s="838"/>
      <c r="M36" s="838"/>
      <c r="N36" s="2000"/>
    </row>
    <row r="37" spans="1:14" x14ac:dyDescent="0.2">
      <c r="A37" s="1999"/>
      <c r="B37" s="846"/>
      <c r="C37" s="2430" t="s">
        <v>2025</v>
      </c>
      <c r="D37" s="2431"/>
      <c r="E37" s="2431"/>
      <c r="F37" s="2431"/>
      <c r="G37" s="2431"/>
      <c r="H37" s="2431"/>
      <c r="I37" s="2431"/>
      <c r="J37" s="2431"/>
      <c r="K37" s="2018"/>
      <c r="L37" s="2020"/>
      <c r="M37" s="838"/>
      <c r="N37" s="2000"/>
    </row>
    <row r="38" spans="1:14" x14ac:dyDescent="0.2">
      <c r="A38" s="1999"/>
      <c r="B38" s="838"/>
      <c r="C38" s="2431"/>
      <c r="D38" s="2431"/>
      <c r="E38" s="2431"/>
      <c r="F38" s="2431"/>
      <c r="G38" s="2431"/>
      <c r="H38" s="2431"/>
      <c r="I38" s="2431"/>
      <c r="J38" s="2431"/>
      <c r="K38" s="2018"/>
      <c r="L38" s="2020"/>
      <c r="M38" s="838"/>
      <c r="N38" s="2000"/>
    </row>
    <row r="39" spans="1:14" x14ac:dyDescent="0.2">
      <c r="A39" s="1999"/>
      <c r="B39" s="838"/>
      <c r="C39" s="2019"/>
      <c r="D39" s="838"/>
      <c r="E39" s="1963"/>
      <c r="F39" s="1964"/>
      <c r="G39" s="1964"/>
      <c r="H39" s="1963"/>
      <c r="I39" s="838"/>
      <c r="J39" s="838"/>
      <c r="K39" s="838"/>
      <c r="L39" s="838"/>
      <c r="M39" s="838"/>
      <c r="N39" s="2000"/>
    </row>
    <row r="40" spans="1:14" x14ac:dyDescent="0.2">
      <c r="A40" s="1999"/>
      <c r="B40" s="846"/>
      <c r="C40" s="2432" t="s">
        <v>2026</v>
      </c>
      <c r="D40" s="2433"/>
      <c r="E40" s="2433"/>
      <c r="F40" s="2433"/>
      <c r="G40" s="2433"/>
      <c r="H40" s="2433"/>
      <c r="I40" s="2433"/>
      <c r="J40" s="2433"/>
      <c r="K40" s="1965"/>
      <c r="L40" s="838"/>
      <c r="M40" s="838"/>
      <c r="N40" s="2000"/>
    </row>
    <row r="41" spans="1:14" x14ac:dyDescent="0.2">
      <c r="A41" s="1999"/>
      <c r="B41" s="838"/>
      <c r="C41" s="2021"/>
      <c r="D41" s="2021"/>
      <c r="E41" s="2021"/>
      <c r="F41" s="2021"/>
      <c r="G41" s="2021"/>
      <c r="H41" s="2021"/>
      <c r="I41" s="2021"/>
      <c r="J41" s="2021"/>
      <c r="K41" s="2021"/>
      <c r="L41" s="838"/>
      <c r="M41" s="838"/>
      <c r="N41" s="2000"/>
    </row>
    <row r="42" spans="1:14" ht="13.5" thickBot="1" x14ac:dyDescent="0.25">
      <c r="A42" s="2022"/>
      <c r="B42" s="2023"/>
      <c r="C42" s="2023"/>
      <c r="D42" s="2023"/>
      <c r="E42" s="2023"/>
      <c r="F42" s="2023"/>
      <c r="G42" s="2023"/>
      <c r="H42" s="2023"/>
      <c r="I42" s="2023"/>
      <c r="J42" s="2023"/>
      <c r="K42" s="2023"/>
      <c r="L42" s="2023"/>
      <c r="M42" s="2023"/>
      <c r="N42" s="2024"/>
    </row>
    <row r="43" spans="1:14" ht="27" thickBot="1" x14ac:dyDescent="0.45">
      <c r="A43" s="2434" t="s">
        <v>2027</v>
      </c>
      <c r="B43" s="2435"/>
      <c r="C43" s="2435"/>
      <c r="D43" s="2435"/>
      <c r="E43" s="2435"/>
      <c r="F43" s="2435"/>
      <c r="G43" s="2435"/>
      <c r="H43" s="2435"/>
      <c r="I43" s="2435"/>
      <c r="J43" s="2435"/>
      <c r="K43" s="2435"/>
      <c r="L43" s="2435"/>
      <c r="M43" s="2435"/>
      <c r="N43" s="2436"/>
    </row>
    <row r="44" spans="1:14" x14ac:dyDescent="0.2">
      <c r="A44" s="1984"/>
      <c r="B44" s="1985"/>
      <c r="C44" s="1985"/>
      <c r="D44" s="1985"/>
      <c r="E44" s="1985"/>
      <c r="F44" s="1985"/>
      <c r="G44" s="1985"/>
      <c r="H44" s="1985"/>
      <c r="I44" s="1985"/>
      <c r="J44" s="1985"/>
      <c r="K44" s="1985"/>
      <c r="L44" s="1985"/>
      <c r="M44" s="1985"/>
      <c r="N44" s="1986"/>
    </row>
    <row r="45" spans="1:14" x14ac:dyDescent="0.2">
      <c r="A45" s="1984" t="s">
        <v>2028</v>
      </c>
      <c r="B45" s="1985"/>
      <c r="C45" s="1985"/>
      <c r="D45" s="1985"/>
      <c r="E45" s="1985"/>
      <c r="F45" s="1985"/>
      <c r="G45" s="1985"/>
      <c r="H45" s="1985"/>
      <c r="I45" s="1985"/>
      <c r="J45" s="1985"/>
      <c r="K45" s="1985"/>
      <c r="L45" s="1985"/>
      <c r="M45" s="1985"/>
      <c r="N45" s="1986"/>
    </row>
    <row r="46" spans="1:14" x14ac:dyDescent="0.2">
      <c r="A46" s="2437" t="s">
        <v>2029</v>
      </c>
      <c r="B46" s="2438"/>
      <c r="C46" s="2438"/>
      <c r="D46" s="2438"/>
      <c r="E46" s="2438"/>
      <c r="F46" s="2438"/>
      <c r="G46" s="2438"/>
      <c r="H46" s="2438"/>
      <c r="I46" s="2438"/>
      <c r="J46" s="2438"/>
      <c r="K46" s="2438"/>
      <c r="L46" s="2438"/>
      <c r="M46" s="2438"/>
      <c r="N46" s="2439"/>
    </row>
    <row r="47" spans="1:14" x14ac:dyDescent="0.2">
      <c r="A47" s="2437"/>
      <c r="B47" s="2438"/>
      <c r="C47" s="2438"/>
      <c r="D47" s="2438"/>
      <c r="E47" s="2438"/>
      <c r="F47" s="2438"/>
      <c r="G47" s="2438"/>
      <c r="H47" s="2438"/>
      <c r="I47" s="2438"/>
      <c r="J47" s="2438"/>
      <c r="K47" s="2438"/>
      <c r="L47" s="2438"/>
      <c r="M47" s="2438"/>
      <c r="N47" s="2439"/>
    </row>
    <row r="48" spans="1:14" x14ac:dyDescent="0.2">
      <c r="A48" s="1987"/>
      <c r="B48" s="1985"/>
      <c r="C48" s="1985"/>
      <c r="D48" s="1988"/>
      <c r="E48" s="1988"/>
      <c r="F48" s="1988"/>
      <c r="G48" s="1988"/>
      <c r="H48" s="1988"/>
      <c r="I48" s="1988"/>
      <c r="J48" s="1988"/>
      <c r="K48" s="1988"/>
      <c r="L48" s="1988"/>
      <c r="M48" s="1988"/>
      <c r="N48" s="1989"/>
    </row>
    <row r="49" spans="1:14" s="2029" customFormat="1" ht="15.75" x14ac:dyDescent="0.25">
      <c r="A49" s="2030" t="s">
        <v>2045</v>
      </c>
      <c r="B49" s="2026"/>
      <c r="C49" s="2026"/>
      <c r="D49" s="2027"/>
      <c r="E49" s="2027"/>
      <c r="F49" s="2027"/>
      <c r="G49" s="2027"/>
      <c r="H49" s="2027"/>
      <c r="I49" s="2027"/>
      <c r="J49" s="2027"/>
      <c r="K49" s="2027"/>
      <c r="L49" s="2027"/>
      <c r="M49" s="2027"/>
      <c r="N49" s="2028"/>
    </row>
    <row r="50" spans="1:14" ht="15" x14ac:dyDescent="0.25">
      <c r="A50" s="2030" t="s">
        <v>2044</v>
      </c>
      <c r="B50" s="1985"/>
      <c r="C50" s="1985"/>
      <c r="D50" s="1985"/>
      <c r="E50" s="1985"/>
      <c r="F50" s="1985"/>
      <c r="G50" s="1985"/>
      <c r="H50" s="1985"/>
      <c r="I50" s="1985"/>
      <c r="J50" s="1985"/>
      <c r="K50" s="1985"/>
      <c r="L50" s="1985"/>
      <c r="M50" s="1985"/>
      <c r="N50" s="1986"/>
    </row>
    <row r="51" spans="1:14" x14ac:dyDescent="0.2">
      <c r="A51" s="1984"/>
      <c r="B51" s="1985"/>
      <c r="C51" s="1985"/>
      <c r="D51" s="1985"/>
      <c r="E51" s="1985"/>
      <c r="F51" s="1985"/>
      <c r="G51" s="1985"/>
      <c r="H51" s="1985"/>
      <c r="I51" s="1985"/>
      <c r="J51" s="1985"/>
      <c r="K51" s="1985"/>
      <c r="L51" s="1985"/>
      <c r="M51" s="1985"/>
      <c r="N51" s="1986"/>
    </row>
    <row r="52" spans="1:14" x14ac:dyDescent="0.2">
      <c r="A52" s="1984"/>
      <c r="B52" s="1985"/>
      <c r="C52" s="1985"/>
      <c r="D52" s="1985"/>
      <c r="E52" s="1985"/>
      <c r="F52" s="1985"/>
      <c r="G52" s="1985"/>
      <c r="H52" s="1985"/>
      <c r="I52" s="1985"/>
      <c r="J52" s="1985"/>
      <c r="K52" s="1926" t="s">
        <v>1021</v>
      </c>
      <c r="L52" s="2440" t="str">
        <f>J6</f>
        <v xml:space="preserve">  Pleasant Hill SD 69</v>
      </c>
      <c r="M52" s="2440"/>
      <c r="N52" s="2441"/>
    </row>
    <row r="53" spans="1:14" x14ac:dyDescent="0.2">
      <c r="A53" s="1984"/>
      <c r="B53" s="1985"/>
      <c r="C53" s="1985"/>
      <c r="D53" s="1985"/>
      <c r="E53" s="1985"/>
      <c r="F53" s="1985"/>
      <c r="G53" s="1985"/>
      <c r="H53" s="1985"/>
      <c r="I53" s="1985"/>
      <c r="J53" s="1985"/>
      <c r="K53" s="1926" t="s">
        <v>369</v>
      </c>
      <c r="L53" s="2442">
        <f>J7</f>
        <v>48072069002</v>
      </c>
      <c r="M53" s="2442"/>
      <c r="N53" s="2443"/>
    </row>
    <row r="54" spans="1:14" ht="13.5" thickBot="1" x14ac:dyDescent="0.25">
      <c r="A54" s="1984"/>
      <c r="B54" s="1985"/>
      <c r="C54" s="1985"/>
      <c r="D54" s="1985"/>
      <c r="E54" s="1985"/>
      <c r="F54" s="1985"/>
      <c r="G54" s="1985"/>
      <c r="H54" s="1985"/>
      <c r="I54" s="1985"/>
      <c r="J54" s="1985"/>
      <c r="K54" s="1985"/>
      <c r="L54" s="1985"/>
      <c r="M54" s="1985"/>
      <c r="N54" s="1986"/>
    </row>
    <row r="55" spans="1:14" x14ac:dyDescent="0.2">
      <c r="A55" s="2444"/>
      <c r="B55" s="2445"/>
      <c r="C55" s="2445"/>
      <c r="D55" s="1972"/>
      <c r="E55" s="1972"/>
      <c r="F55" s="1972"/>
      <c r="G55" s="2446" t="s">
        <v>2030</v>
      </c>
      <c r="H55" s="2446"/>
      <c r="I55" s="2446"/>
      <c r="J55" s="2446"/>
      <c r="K55" s="2446"/>
      <c r="L55" s="2446"/>
      <c r="M55" s="2446"/>
      <c r="N55" s="2447"/>
    </row>
    <row r="56" spans="1:14" ht="63.75" x14ac:dyDescent="0.2">
      <c r="A56" s="2448" t="s">
        <v>2031</v>
      </c>
      <c r="B56" s="2449"/>
      <c r="C56" s="2450"/>
      <c r="D56" s="1966" t="s">
        <v>2032</v>
      </c>
      <c r="E56" s="1966" t="s">
        <v>2033</v>
      </c>
      <c r="F56" s="1973"/>
      <c r="G56" s="1966" t="s">
        <v>2034</v>
      </c>
      <c r="H56" s="1966" t="s">
        <v>2035</v>
      </c>
      <c r="I56" s="1966" t="s">
        <v>2036</v>
      </c>
      <c r="J56" s="1966" t="s">
        <v>2037</v>
      </c>
      <c r="K56" s="1966" t="s">
        <v>2038</v>
      </c>
      <c r="L56" s="1966" t="s">
        <v>2039</v>
      </c>
      <c r="M56" s="1966" t="s">
        <v>2040</v>
      </c>
      <c r="N56" s="1967" t="s">
        <v>2047</v>
      </c>
    </row>
    <row r="57" spans="1:14" ht="24.75" customHeight="1" x14ac:dyDescent="0.2">
      <c r="A57" s="2451" t="s">
        <v>296</v>
      </c>
      <c r="B57" s="2452"/>
      <c r="C57" s="2452"/>
      <c r="D57" s="1968">
        <v>2361</v>
      </c>
      <c r="E57" s="1978">
        <f>'Expenditures 15-22'!K319</f>
        <v>0</v>
      </c>
      <c r="F57" s="1974"/>
      <c r="G57" s="2031"/>
      <c r="H57" s="2032"/>
      <c r="I57" s="2032"/>
      <c r="J57" s="2032"/>
      <c r="K57" s="2032"/>
      <c r="L57" s="2032"/>
      <c r="M57" s="2032"/>
      <c r="N57" s="1977">
        <f>IF((SUM(G57:M57))=E57,SUM(G57:M57),"Column N does not agree with Column E")</f>
        <v>0</v>
      </c>
    </row>
    <row r="58" spans="1:14" ht="24" customHeight="1" x14ac:dyDescent="0.2">
      <c r="A58" s="2428" t="s">
        <v>2041</v>
      </c>
      <c r="B58" s="2429"/>
      <c r="C58" s="2429"/>
      <c r="D58" s="1969">
        <v>2362</v>
      </c>
      <c r="E58" s="1979">
        <f>'Expenditures 15-22'!K320</f>
        <v>11005</v>
      </c>
      <c r="F58" s="1974"/>
      <c r="G58" s="2033"/>
      <c r="H58" s="2034"/>
      <c r="I58" s="2034"/>
      <c r="J58" s="2034"/>
      <c r="K58" s="2034"/>
      <c r="L58" s="2034"/>
      <c r="M58" s="2034">
        <v>11005</v>
      </c>
      <c r="N58" s="1977">
        <f>IF((SUM(G58:M58))=E58,SUM(G58:M58),"Column N does not agree with Column E")</f>
        <v>11005</v>
      </c>
    </row>
    <row r="59" spans="1:14" ht="24.75" customHeight="1" x14ac:dyDescent="0.2">
      <c r="A59" s="2422" t="s">
        <v>297</v>
      </c>
      <c r="B59" s="2423"/>
      <c r="C59" s="2423"/>
      <c r="D59" s="1969">
        <v>2363</v>
      </c>
      <c r="E59" s="1979">
        <f>'Expenditures 15-22'!K321</f>
        <v>0</v>
      </c>
      <c r="F59" s="1974"/>
      <c r="G59" s="2033"/>
      <c r="H59" s="2034"/>
      <c r="I59" s="2034"/>
      <c r="J59" s="2034"/>
      <c r="K59" s="2034"/>
      <c r="L59" s="2034"/>
      <c r="M59" s="2034"/>
      <c r="N59" s="1977">
        <f>IF((SUM(G59:M59))=E59,SUM(G59:M59),"Column N does not agree with Column E")</f>
        <v>0</v>
      </c>
    </row>
    <row r="60" spans="1:14" ht="24" customHeight="1" x14ac:dyDescent="0.2">
      <c r="A60" s="2422" t="s">
        <v>236</v>
      </c>
      <c r="B60" s="2423"/>
      <c r="C60" s="2423"/>
      <c r="D60" s="1969">
        <v>2364</v>
      </c>
      <c r="E60" s="1979">
        <f>'Expenditures 15-22'!K322</f>
        <v>0</v>
      </c>
      <c r="F60" s="1974"/>
      <c r="G60" s="2033"/>
      <c r="H60" s="2034"/>
      <c r="I60" s="2034"/>
      <c r="J60" s="2034"/>
      <c r="K60" s="2034"/>
      <c r="L60" s="2034"/>
      <c r="M60" s="2034"/>
      <c r="N60" s="1977">
        <f t="shared" ref="N60:N67" si="4">IF((SUM(G60:M60))=E60,SUM(G60:M60),"Column N does not agree with Column E")</f>
        <v>0</v>
      </c>
    </row>
    <row r="61" spans="1:14" ht="24.75" customHeight="1" x14ac:dyDescent="0.2">
      <c r="A61" s="2422" t="s">
        <v>697</v>
      </c>
      <c r="B61" s="2423"/>
      <c r="C61" s="2423"/>
      <c r="D61" s="1969">
        <v>2365</v>
      </c>
      <c r="E61" s="1979">
        <f>'Expenditures 15-22'!K323</f>
        <v>22553</v>
      </c>
      <c r="F61" s="1974"/>
      <c r="G61" s="2033"/>
      <c r="H61" s="2034"/>
      <c r="I61" s="2034"/>
      <c r="J61" s="2034"/>
      <c r="K61" s="2034"/>
      <c r="L61" s="2034"/>
      <c r="M61" s="2034">
        <v>22553</v>
      </c>
      <c r="N61" s="1977">
        <f t="shared" si="4"/>
        <v>22553</v>
      </c>
    </row>
    <row r="62" spans="1:14" ht="24" customHeight="1" x14ac:dyDescent="0.2">
      <c r="A62" s="2422" t="s">
        <v>237</v>
      </c>
      <c r="B62" s="2423"/>
      <c r="C62" s="2423"/>
      <c r="D62" s="1969">
        <v>2366</v>
      </c>
      <c r="E62" s="1979">
        <f>'Expenditures 15-22'!K324</f>
        <v>0</v>
      </c>
      <c r="F62" s="1974"/>
      <c r="G62" s="2033"/>
      <c r="H62" s="2034"/>
      <c r="I62" s="2034"/>
      <c r="J62" s="2034"/>
      <c r="K62" s="2034"/>
      <c r="L62" s="2034"/>
      <c r="M62" s="2034"/>
      <c r="N62" s="1977">
        <f t="shared" si="4"/>
        <v>0</v>
      </c>
    </row>
    <row r="63" spans="1:14" ht="24" customHeight="1" x14ac:dyDescent="0.2">
      <c r="A63" s="2428" t="s">
        <v>1022</v>
      </c>
      <c r="B63" s="2429"/>
      <c r="C63" s="2429"/>
      <c r="D63" s="1969">
        <v>2367</v>
      </c>
      <c r="E63" s="1979">
        <f>'Expenditures 15-22'!K325</f>
        <v>3188</v>
      </c>
      <c r="F63" s="1974"/>
      <c r="G63" s="2033"/>
      <c r="H63" s="2034"/>
      <c r="I63" s="2034"/>
      <c r="J63" s="2034"/>
      <c r="K63" s="2034"/>
      <c r="L63" s="2034"/>
      <c r="M63" s="2034">
        <v>3188</v>
      </c>
      <c r="N63" s="1977">
        <f t="shared" si="4"/>
        <v>3188</v>
      </c>
    </row>
    <row r="64" spans="1:14" ht="24" customHeight="1" x14ac:dyDescent="0.2">
      <c r="A64" s="2422" t="s">
        <v>1023</v>
      </c>
      <c r="B64" s="2423"/>
      <c r="C64" s="2423"/>
      <c r="D64" s="1969">
        <v>2368</v>
      </c>
      <c r="E64" s="1979">
        <f>'Expenditures 15-22'!K326</f>
        <v>0</v>
      </c>
      <c r="F64" s="1974"/>
      <c r="G64" s="2033"/>
      <c r="H64" s="2034"/>
      <c r="I64" s="2034"/>
      <c r="J64" s="2034"/>
      <c r="K64" s="2034"/>
      <c r="L64" s="2034"/>
      <c r="M64" s="2034"/>
      <c r="N64" s="1977">
        <f t="shared" si="4"/>
        <v>0</v>
      </c>
    </row>
    <row r="65" spans="1:14" ht="24" customHeight="1" x14ac:dyDescent="0.2">
      <c r="A65" s="2422" t="s">
        <v>965</v>
      </c>
      <c r="B65" s="2423"/>
      <c r="C65" s="2423"/>
      <c r="D65" s="1969">
        <v>2369</v>
      </c>
      <c r="E65" s="1979">
        <f>'Expenditures 15-22'!K327</f>
        <v>1369</v>
      </c>
      <c r="F65" s="1974"/>
      <c r="G65" s="2033"/>
      <c r="H65" s="2034"/>
      <c r="I65" s="2034"/>
      <c r="J65" s="2034"/>
      <c r="K65" s="2034"/>
      <c r="L65" s="2034"/>
      <c r="M65" s="2034">
        <v>1369</v>
      </c>
      <c r="N65" s="1977">
        <f t="shared" si="4"/>
        <v>1369</v>
      </c>
    </row>
    <row r="66" spans="1:14" ht="24" customHeight="1" x14ac:dyDescent="0.2">
      <c r="A66" s="2422" t="s">
        <v>469</v>
      </c>
      <c r="B66" s="2423"/>
      <c r="C66" s="2423"/>
      <c r="D66" s="1969">
        <v>2371</v>
      </c>
      <c r="E66" s="1979">
        <f>'Expenditures 15-22'!K328</f>
        <v>0</v>
      </c>
      <c r="F66" s="1974"/>
      <c r="G66" s="2033"/>
      <c r="H66" s="2034"/>
      <c r="I66" s="2034"/>
      <c r="J66" s="2034"/>
      <c r="K66" s="2034"/>
      <c r="L66" s="2034"/>
      <c r="M66" s="2034"/>
      <c r="N66" s="1977">
        <f t="shared" si="4"/>
        <v>0</v>
      </c>
    </row>
    <row r="67" spans="1:14" ht="24.75" customHeight="1" x14ac:dyDescent="0.2">
      <c r="A67" s="2424" t="s">
        <v>2042</v>
      </c>
      <c r="B67" s="2425"/>
      <c r="C67" s="2425"/>
      <c r="D67" s="1971">
        <v>2372</v>
      </c>
      <c r="E67" s="1980">
        <f>'Expenditures 15-22'!K329</f>
        <v>0</v>
      </c>
      <c r="F67" s="1974"/>
      <c r="G67" s="2035"/>
      <c r="H67" s="2036"/>
      <c r="I67" s="2036"/>
      <c r="J67" s="2036"/>
      <c r="K67" s="2036"/>
      <c r="L67" s="2036"/>
      <c r="M67" s="2036"/>
      <c r="N67" s="1977">
        <f t="shared" si="4"/>
        <v>0</v>
      </c>
    </row>
    <row r="68" spans="1:14" x14ac:dyDescent="0.2">
      <c r="A68" s="2426" t="s">
        <v>1151</v>
      </c>
      <c r="B68" s="2427"/>
      <c r="C68" s="2427"/>
      <c r="D68" s="1972"/>
      <c r="E68" s="1976">
        <f>SUM(E57:E67)</f>
        <v>38115</v>
      </c>
      <c r="F68" s="1975"/>
      <c r="G68" s="1976">
        <f t="shared" ref="G68:N68" si="5">SUM(G57:G67)</f>
        <v>0</v>
      </c>
      <c r="H68" s="1976">
        <f t="shared" si="5"/>
        <v>0</v>
      </c>
      <c r="I68" s="1976">
        <f t="shared" si="5"/>
        <v>0</v>
      </c>
      <c r="J68" s="1976">
        <f t="shared" si="5"/>
        <v>0</v>
      </c>
      <c r="K68" s="1976">
        <f t="shared" si="5"/>
        <v>0</v>
      </c>
      <c r="L68" s="1976">
        <f t="shared" si="5"/>
        <v>0</v>
      </c>
      <c r="M68" s="1976">
        <f t="shared" si="5"/>
        <v>38115</v>
      </c>
      <c r="N68" s="1990">
        <f t="shared" si="5"/>
        <v>38115</v>
      </c>
    </row>
    <row r="69" spans="1:14" x14ac:dyDescent="0.2">
      <c r="A69" s="1991"/>
      <c r="B69" s="1992"/>
      <c r="C69" s="1992"/>
      <c r="D69" s="1992"/>
      <c r="E69" s="1992"/>
      <c r="F69" s="1992"/>
      <c r="G69" s="1992"/>
      <c r="H69" s="1992"/>
      <c r="I69" s="1992"/>
      <c r="J69" s="1992"/>
      <c r="K69" s="1992"/>
      <c r="L69" s="1992"/>
      <c r="M69" s="1992"/>
      <c r="N69" s="1993"/>
    </row>
    <row r="70" spans="1:14" ht="15.75" x14ac:dyDescent="0.25">
      <c r="A70" s="2025" t="s">
        <v>2043</v>
      </c>
      <c r="B70" s="1992"/>
      <c r="C70" s="1992"/>
      <c r="D70" s="1992"/>
      <c r="E70" s="1992"/>
      <c r="F70" s="1992"/>
      <c r="G70" s="1992"/>
      <c r="H70" s="1992"/>
      <c r="I70" s="1992"/>
      <c r="J70" s="1992"/>
      <c r="K70" s="1992"/>
      <c r="L70" s="1992"/>
      <c r="M70" s="1992"/>
      <c r="N70" s="1993"/>
    </row>
    <row r="71" spans="1:14" x14ac:dyDescent="0.2">
      <c r="A71" s="1991"/>
      <c r="B71" s="1992"/>
      <c r="C71" s="1992"/>
      <c r="D71" s="1992"/>
      <c r="E71" s="1992"/>
      <c r="F71" s="1992"/>
      <c r="G71" s="1992"/>
      <c r="H71" s="1992"/>
      <c r="I71" s="1992"/>
      <c r="J71" s="1992"/>
      <c r="K71" s="1992"/>
      <c r="L71" s="1992"/>
      <c r="M71" s="1992"/>
      <c r="N71" s="1993"/>
    </row>
    <row r="72" spans="1:14" x14ac:dyDescent="0.2">
      <c r="A72" s="1991"/>
      <c r="B72" s="1992"/>
      <c r="C72" s="1992"/>
      <c r="D72" s="1992"/>
      <c r="E72" s="1992"/>
      <c r="F72" s="1992"/>
      <c r="G72" s="1992"/>
      <c r="H72" s="1992"/>
      <c r="I72" s="1992"/>
      <c r="J72" s="1992"/>
      <c r="K72" s="1992"/>
      <c r="L72" s="1992"/>
      <c r="M72" s="1992"/>
      <c r="N72" s="1993"/>
    </row>
    <row r="73" spans="1:14" x14ac:dyDescent="0.2">
      <c r="A73" s="1991"/>
      <c r="B73" s="1992"/>
      <c r="C73" s="1992"/>
      <c r="D73" s="1992"/>
      <c r="E73" s="1992"/>
      <c r="F73" s="1992"/>
      <c r="G73" s="1992"/>
      <c r="H73" s="1992"/>
      <c r="I73" s="1992"/>
      <c r="J73" s="1992"/>
      <c r="K73" s="1992"/>
      <c r="L73" s="1992"/>
      <c r="M73" s="1992"/>
      <c r="N73" s="1993"/>
    </row>
    <row r="74" spans="1:14" x14ac:dyDescent="0.2">
      <c r="A74" s="1991"/>
      <c r="B74" s="1992"/>
      <c r="C74" s="1992"/>
      <c r="D74" s="1992"/>
      <c r="E74" s="1992"/>
      <c r="F74" s="1992"/>
      <c r="G74" s="1992"/>
      <c r="H74" s="1992"/>
      <c r="I74" s="1992"/>
      <c r="J74" s="1992"/>
      <c r="K74" s="1992"/>
      <c r="L74" s="1992"/>
      <c r="M74" s="1992"/>
      <c r="N74" s="1993"/>
    </row>
    <row r="75" spans="1:14" x14ac:dyDescent="0.2">
      <c r="A75" s="1991"/>
      <c r="B75" s="1992"/>
      <c r="C75" s="1992"/>
      <c r="D75" s="1992"/>
      <c r="E75" s="1992"/>
      <c r="F75" s="1992"/>
      <c r="G75" s="1992"/>
      <c r="H75" s="1992"/>
      <c r="I75" s="1992"/>
      <c r="J75" s="1992"/>
      <c r="K75" s="1992"/>
      <c r="L75" s="1992"/>
      <c r="M75" s="1992"/>
      <c r="N75" s="1993"/>
    </row>
    <row r="76" spans="1:14" x14ac:dyDescent="0.2">
      <c r="A76" s="1991"/>
      <c r="B76" s="1992"/>
      <c r="C76" s="1992"/>
      <c r="D76" s="1992"/>
      <c r="E76" s="1992"/>
      <c r="F76" s="1992"/>
      <c r="G76" s="1992"/>
      <c r="H76" s="1992"/>
      <c r="I76" s="1992"/>
      <c r="J76" s="1992"/>
      <c r="K76" s="1992"/>
      <c r="L76" s="1992"/>
      <c r="M76" s="1992"/>
      <c r="N76" s="1993"/>
    </row>
    <row r="77" spans="1:14" x14ac:dyDescent="0.2">
      <c r="A77" s="1991"/>
      <c r="B77" s="1992"/>
      <c r="C77" s="1992"/>
      <c r="D77" s="1992"/>
      <c r="E77" s="1992"/>
      <c r="F77" s="1992"/>
      <c r="G77" s="1992"/>
      <c r="H77" s="1992"/>
      <c r="I77" s="1992"/>
      <c r="J77" s="1992"/>
      <c r="K77" s="1992"/>
      <c r="L77" s="1992"/>
      <c r="M77" s="1992"/>
      <c r="N77" s="1993"/>
    </row>
    <row r="78" spans="1:14" x14ac:dyDescent="0.2">
      <c r="A78" s="1991"/>
      <c r="B78" s="1992"/>
      <c r="C78" s="1992"/>
      <c r="D78" s="1992"/>
      <c r="E78" s="1992"/>
      <c r="F78" s="1992"/>
      <c r="G78" s="1992"/>
      <c r="H78" s="1992"/>
      <c r="I78" s="1992"/>
      <c r="J78" s="1992"/>
      <c r="K78" s="1992"/>
      <c r="L78" s="1992"/>
      <c r="M78" s="1992"/>
      <c r="N78" s="1993"/>
    </row>
    <row r="79" spans="1:14" x14ac:dyDescent="0.2">
      <c r="A79" s="1991"/>
      <c r="B79" s="1992"/>
      <c r="C79" s="1992"/>
      <c r="D79" s="1992"/>
      <c r="E79" s="1992"/>
      <c r="F79" s="1992"/>
      <c r="G79" s="1992"/>
      <c r="H79" s="1992"/>
      <c r="I79" s="1992"/>
      <c r="J79" s="1992"/>
      <c r="K79" s="1992"/>
      <c r="L79" s="1992"/>
      <c r="M79" s="1992"/>
      <c r="N79" s="1993"/>
    </row>
    <row r="80" spans="1:14" x14ac:dyDescent="0.2">
      <c r="A80" s="1991"/>
      <c r="B80" s="1992"/>
      <c r="C80" s="1992"/>
      <c r="D80" s="1992"/>
      <c r="E80" s="1992"/>
      <c r="F80" s="1992"/>
      <c r="G80" s="1992"/>
      <c r="H80" s="1992"/>
      <c r="I80" s="1992"/>
      <c r="J80" s="1992"/>
      <c r="K80" s="1992"/>
      <c r="L80" s="1992"/>
      <c r="M80" s="1992"/>
      <c r="N80" s="1993"/>
    </row>
    <row r="81" spans="1:14" x14ac:dyDescent="0.2">
      <c r="A81" s="1991"/>
      <c r="B81" s="1992"/>
      <c r="C81" s="1992"/>
      <c r="D81" s="1992"/>
      <c r="E81" s="1992"/>
      <c r="F81" s="1992"/>
      <c r="G81" s="1992"/>
      <c r="H81" s="1992"/>
      <c r="I81" s="1992"/>
      <c r="J81" s="1992"/>
      <c r="K81" s="1992"/>
      <c r="L81" s="1992"/>
      <c r="M81" s="1992"/>
      <c r="N81" s="1993"/>
    </row>
    <row r="82" spans="1:14" x14ac:dyDescent="0.2">
      <c r="A82" s="1991"/>
      <c r="B82" s="1992"/>
      <c r="C82" s="1992"/>
      <c r="D82" s="1992"/>
      <c r="E82" s="1992"/>
      <c r="F82" s="1992"/>
      <c r="G82" s="1992"/>
      <c r="H82" s="1992"/>
      <c r="I82" s="1992"/>
      <c r="J82" s="1992"/>
      <c r="K82" s="1992"/>
      <c r="L82" s="1992"/>
      <c r="M82" s="1992"/>
      <c r="N82" s="1993"/>
    </row>
    <row r="83" spans="1:14" ht="13.5" thickBot="1" x14ac:dyDescent="0.25">
      <c r="A83" s="1994"/>
      <c r="B83" s="1995"/>
      <c r="C83" s="1995"/>
      <c r="D83" s="1995"/>
      <c r="E83" s="1995"/>
      <c r="F83" s="1995"/>
      <c r="G83" s="1995"/>
      <c r="H83" s="1995"/>
      <c r="I83" s="1995"/>
      <c r="J83" s="1995"/>
      <c r="K83" s="1995"/>
      <c r="L83" s="1995"/>
      <c r="M83" s="1995"/>
      <c r="N83" s="1996"/>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&amp;LPage &amp;P&amp;RPage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2"/>
  <sheetViews>
    <sheetView showGridLines="0" zoomScale="110" zoomScaleNormal="110" workbookViewId="0">
      <selection activeCell="B10" sqref="B10"/>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2077</v>
      </c>
    </row>
    <row r="6" spans="1:2" x14ac:dyDescent="0.2">
      <c r="A6" s="847"/>
      <c r="B6" s="307" t="s">
        <v>2079</v>
      </c>
    </row>
    <row r="7" spans="1:2" x14ac:dyDescent="0.2">
      <c r="A7" s="847">
        <v>2</v>
      </c>
      <c r="B7" s="307" t="s">
        <v>2078</v>
      </c>
    </row>
    <row r="8" spans="1:2" x14ac:dyDescent="0.2">
      <c r="A8" s="847"/>
      <c r="B8" s="307" t="s">
        <v>2080</v>
      </c>
    </row>
    <row r="9" spans="1:2" x14ac:dyDescent="0.2">
      <c r="A9" s="847">
        <v>3</v>
      </c>
      <c r="B9" s="307" t="s">
        <v>2081</v>
      </c>
    </row>
    <row r="10" spans="1:2" x14ac:dyDescent="0.2">
      <c r="A10" s="847">
        <v>4</v>
      </c>
    </row>
    <row r="11" spans="1:2" x14ac:dyDescent="0.2">
      <c r="A11" s="848"/>
    </row>
    <row r="12" spans="1:2" x14ac:dyDescent="0.2">
      <c r="A12" s="848"/>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c r="B61" s="253" t="str">
        <f>COVER!A17</f>
        <v xml:space="preserve">  Pleasant Hill SD 69</v>
      </c>
    </row>
    <row r="62" spans="1:2" x14ac:dyDescent="0.2">
      <c r="B62" s="849">
        <f>COVER!A13</f>
        <v>48072069002</v>
      </c>
    </row>
  </sheetData>
  <phoneticPr fontId="17"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7"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8" sqref="B8"/>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70" t="s">
        <v>1665</v>
      </c>
      <c r="B18" s="2470"/>
    </row>
  </sheetData>
  <sheetProtection selectLockedCells="1"/>
  <mergeCells count="1">
    <mergeCell ref="A18:B18"/>
  </mergeCells>
  <phoneticPr fontId="17"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5059" r:id="rId4">
          <objectPr defaultSize="0" r:id="rId5">
            <anchor moveWithCells="1">
              <from>
                <xdr:col>1</xdr:col>
                <xdr:colOff>0</xdr:colOff>
                <xdr:row>7</xdr:row>
                <xdr:rowOff>0</xdr:rowOff>
              </from>
              <to>
                <xdr:col>1</xdr:col>
                <xdr:colOff>914400</xdr:colOff>
                <xdr:row>11</xdr:row>
                <xdr:rowOff>38100</xdr:rowOff>
              </to>
            </anchor>
          </objectPr>
        </oleObject>
      </mc:Choice>
      <mc:Fallback>
        <oleObject progId="Acrobat Document" dvAspect="DVASPECT_ICON" shapeId="4505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1" t="s">
        <v>1669</v>
      </c>
      <c r="B1" s="2472"/>
      <c r="C1" s="2472"/>
      <c r="D1" s="2472"/>
      <c r="E1" s="2472"/>
      <c r="F1" s="2473"/>
    </row>
    <row r="2" spans="1:8" ht="45" customHeight="1" x14ac:dyDescent="0.2">
      <c r="A2" s="2481"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2"/>
      <c r="C2" s="2482"/>
      <c r="D2" s="2482"/>
      <c r="E2" s="2482"/>
      <c r="F2" s="2483"/>
      <c r="G2" s="853"/>
      <c r="H2" s="853"/>
    </row>
    <row r="3" spans="1:8" ht="57" customHeight="1" x14ac:dyDescent="0.2">
      <c r="A3" s="2484" t="s">
        <v>1972</v>
      </c>
      <c r="B3" s="2485"/>
      <c r="C3" s="2485"/>
      <c r="D3" s="2485"/>
      <c r="E3" s="2485"/>
      <c r="F3" s="2486"/>
      <c r="G3" s="853"/>
      <c r="H3" s="853"/>
    </row>
    <row r="4" spans="1:8" ht="14.25" customHeight="1" x14ac:dyDescent="0.2">
      <c r="A4" s="2490"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1"/>
      <c r="C4" s="2491"/>
      <c r="D4" s="2491"/>
      <c r="E4" s="2491"/>
      <c r="F4" s="2492"/>
      <c r="G4" s="853"/>
      <c r="H4" s="853"/>
    </row>
    <row r="5" spans="1:8" ht="14.25" customHeight="1" x14ac:dyDescent="0.2">
      <c r="A5" s="2493"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4"/>
      <c r="C5" s="2494"/>
      <c r="D5" s="2494"/>
      <c r="E5" s="2494"/>
      <c r="F5" s="2495"/>
      <c r="G5" s="853"/>
      <c r="H5" s="853"/>
    </row>
    <row r="6" spans="1:8" s="854" customFormat="1" ht="41.25" customHeight="1" x14ac:dyDescent="0.2">
      <c r="A6" s="2487" t="s">
        <v>1670</v>
      </c>
      <c r="B6" s="2488"/>
      <c r="C6" s="2488"/>
      <c r="D6" s="2488"/>
      <c r="E6" s="2488"/>
      <c r="F6" s="2489"/>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2371108</v>
      </c>
      <c r="C8" s="1813">
        <f>'Acct Summary 7-8'!D8</f>
        <v>135124</v>
      </c>
      <c r="D8" s="1813">
        <f>'Acct Summary 7-8'!F8</f>
        <v>176502</v>
      </c>
      <c r="E8" s="1813">
        <f>'Acct Summary 7-8'!I8</f>
        <v>8183</v>
      </c>
      <c r="F8" s="1813">
        <f>SUM(B8:E8)</f>
        <v>2690917</v>
      </c>
    </row>
    <row r="9" spans="1:8" s="858" customFormat="1" ht="14.25" customHeight="1" thickBot="1" x14ac:dyDescent="0.25">
      <c r="A9" s="857" t="s">
        <v>1353</v>
      </c>
      <c r="B9" s="1814">
        <f>'Acct Summary 7-8'!C17</f>
        <v>2428708</v>
      </c>
      <c r="C9" s="1814">
        <f>'Acct Summary 7-8'!D17</f>
        <v>79813</v>
      </c>
      <c r="D9" s="1814">
        <f>'Acct Summary 7-8'!F17</f>
        <v>174456</v>
      </c>
      <c r="E9" s="1813"/>
      <c r="F9" s="1813">
        <f>SUM(B9:E9)</f>
        <v>2682977</v>
      </c>
    </row>
    <row r="10" spans="1:8" s="858" customFormat="1" ht="14.25" thickTop="1" thickBot="1" x14ac:dyDescent="0.25">
      <c r="A10" s="859" t="s">
        <v>1354</v>
      </c>
      <c r="B10" s="1815">
        <f>(B8-B9)</f>
        <v>-57600</v>
      </c>
      <c r="C10" s="1815">
        <f>(C8-C9)</f>
        <v>55311</v>
      </c>
      <c r="D10" s="1815">
        <f>(D8-D9)</f>
        <v>2046</v>
      </c>
      <c r="E10" s="1814">
        <f>(E8-E9)</f>
        <v>8183</v>
      </c>
      <c r="F10" s="1816">
        <f>SUM(F8-F9)</f>
        <v>7940</v>
      </c>
    </row>
    <row r="11" spans="1:8" s="858" customFormat="1" ht="14.25" thickTop="1" thickBot="1" x14ac:dyDescent="0.25">
      <c r="A11" s="860" t="s">
        <v>1903</v>
      </c>
      <c r="B11" s="1817">
        <f>'Acct Summary 7-8'!C81</f>
        <v>1068751</v>
      </c>
      <c r="C11" s="1817">
        <f>'Acct Summary 7-8'!D81</f>
        <v>119814</v>
      </c>
      <c r="D11" s="1817">
        <f>'Acct Summary 7-8'!F81</f>
        <v>90816</v>
      </c>
      <c r="E11" s="1817">
        <f>'Acct Summary 7-8'!I81</f>
        <v>58409</v>
      </c>
      <c r="F11" s="1818">
        <f>SUM(B11:E11)</f>
        <v>1337790</v>
      </c>
    </row>
    <row r="12" spans="1:8" ht="16.5" customHeight="1" thickTop="1" x14ac:dyDescent="0.2">
      <c r="A12" s="861"/>
      <c r="B12" s="862"/>
      <c r="C12" s="2475" t="str">
        <f>IF(AND(F10&lt;0,F11&gt;=0,ABS(F10*3)&gt;ABS(F11)),A16,IF(AND(F10&lt;0,F11&gt;0,ABS(F10*3)&lt;=ABS(F11)),A17,IF(AND(F10&lt;0,F11&lt;0),A16,IF(F11=0,A19,A18))))</f>
        <v>Balanced - no deficit reduction plan is required.</v>
      </c>
      <c r="D12" s="2476"/>
      <c r="E12" s="2476"/>
      <c r="F12" s="2477"/>
    </row>
    <row r="13" spans="1:8" ht="19.5" customHeight="1" x14ac:dyDescent="0.2">
      <c r="A13" s="863"/>
      <c r="B13" s="864"/>
      <c r="C13" s="2475"/>
      <c r="D13" s="2476"/>
      <c r="E13" s="2476"/>
      <c r="F13" s="2477"/>
      <c r="H13" s="853"/>
    </row>
    <row r="14" spans="1:8" ht="19.5" customHeight="1" x14ac:dyDescent="0.2">
      <c r="A14" s="863"/>
      <c r="B14" s="864"/>
      <c r="C14" s="2475"/>
      <c r="D14" s="2476"/>
      <c r="E14" s="2476"/>
      <c r="F14" s="2477"/>
      <c r="H14" s="853"/>
    </row>
    <row r="15" spans="1:8" ht="17.25" customHeight="1" x14ac:dyDescent="0.2">
      <c r="A15" s="863"/>
      <c r="B15" s="864"/>
      <c r="C15" s="2478"/>
      <c r="D15" s="2479"/>
      <c r="E15" s="2479"/>
      <c r="F15" s="2480"/>
      <c r="H15" s="853"/>
    </row>
    <row r="16" spans="1:8" s="288" customFormat="1" ht="51.75" hidden="1" customHeight="1" x14ac:dyDescent="0.2">
      <c r="A16" s="2474" t="s">
        <v>1666</v>
      </c>
      <c r="B16" s="2474"/>
      <c r="C16" s="2474"/>
      <c r="D16" s="2474"/>
      <c r="E16" s="2474"/>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23" colorId="8" zoomScale="110" zoomScaleNormal="110" workbookViewId="0">
      <selection activeCell="D29" sqref="D2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6" t="s">
        <v>660</v>
      </c>
      <c r="B3" s="2497"/>
      <c r="C3" s="2497"/>
      <c r="D3" s="2498"/>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7" t="s">
        <v>1487</v>
      </c>
      <c r="D7" s="2508"/>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9" t="s">
        <v>1001</v>
      </c>
      <c r="B15" s="2500"/>
      <c r="C15" s="2500"/>
      <c r="D15" s="2501"/>
    </row>
    <row r="16" spans="1:4" s="542" customFormat="1" ht="24" customHeight="1" x14ac:dyDescent="0.2">
      <c r="A16" s="2502" t="s">
        <v>658</v>
      </c>
      <c r="B16" s="2503"/>
      <c r="C16" s="2503"/>
      <c r="D16" s="2504"/>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11" t="s">
        <v>311</v>
      </c>
      <c r="D21" s="2512"/>
    </row>
    <row r="22" spans="1:10" ht="12.75" x14ac:dyDescent="0.2">
      <c r="A22" s="918"/>
      <c r="B22" s="919">
        <v>2</v>
      </c>
      <c r="C22" s="2509" t="s">
        <v>1507</v>
      </c>
      <c r="D22" s="2510"/>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PLEASE CHECK YES or NO.</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3" t="s">
        <v>533</v>
      </c>
      <c r="D43" s="2514"/>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5" t="s">
        <v>779</v>
      </c>
      <c r="D56" s="2506"/>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505" t="s">
        <v>1674</v>
      </c>
      <c r="D70" s="2506"/>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48072069002</v>
      </c>
      <c r="E2" s="1542">
        <v>2020</v>
      </c>
      <c r="F2" s="1542">
        <v>1</v>
      </c>
      <c r="G2" s="1899">
        <v>101000300</v>
      </c>
    </row>
    <row r="3" spans="1:7" ht="15" x14ac:dyDescent="0.25">
      <c r="A3" t="s">
        <v>950</v>
      </c>
      <c r="B3" s="135" t="str">
        <f>COVER!A15</f>
        <v>Peoria</v>
      </c>
      <c r="E3" s="1830" t="s">
        <v>1971</v>
      </c>
      <c r="F3" s="1830" t="s">
        <v>1970</v>
      </c>
      <c r="G3" s="1899">
        <v>101000400</v>
      </c>
    </row>
    <row r="4" spans="1:7" ht="15" x14ac:dyDescent="0.25">
      <c r="A4" t="s">
        <v>1000</v>
      </c>
      <c r="B4" s="135" t="str">
        <f>COVER!A17</f>
        <v xml:space="preserve">  Pleasant Hill SD 69</v>
      </c>
      <c r="E4" s="1828">
        <v>44119</v>
      </c>
      <c r="F4" s="1829">
        <v>44151</v>
      </c>
      <c r="G4" s="1899">
        <v>101000600</v>
      </c>
    </row>
    <row r="5" spans="1:7" ht="15" x14ac:dyDescent="0.25">
      <c r="A5" t="s">
        <v>699</v>
      </c>
      <c r="B5" s="135" t="str">
        <f>COVER!A38</f>
        <v>Lisa Weaver</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Yes</v>
      </c>
      <c r="G14" s="1899">
        <v>402100300</v>
      </c>
    </row>
    <row r="15" spans="1:7" ht="15" x14ac:dyDescent="0.25">
      <c r="A15" t="s">
        <v>573</v>
      </c>
      <c r="B15" s="135" t="str">
        <f>COVER!T23</f>
        <v>066-004769</v>
      </c>
      <c r="G15" s="1899">
        <v>402100400</v>
      </c>
    </row>
    <row r="16" spans="1:7" ht="15" x14ac:dyDescent="0.25">
      <c r="A16" t="s">
        <v>419</v>
      </c>
      <c r="B16" s="135" t="str">
        <f>COVER!T13</f>
        <v>Meister, Hilton, Chitwood &amp; Associates, Inc.</v>
      </c>
      <c r="G16" s="1899">
        <v>402100600</v>
      </c>
    </row>
    <row r="17" spans="1:7" ht="15" x14ac:dyDescent="0.25">
      <c r="A17" t="s">
        <v>878</v>
      </c>
      <c r="B17" s="135" t="str">
        <f>COVER!T15</f>
        <v>Ron Hilton</v>
      </c>
      <c r="G17" s="1899">
        <v>402100800</v>
      </c>
    </row>
    <row r="18" spans="1:7" ht="15" x14ac:dyDescent="0.25">
      <c r="A18" t="s">
        <v>1140</v>
      </c>
      <c r="B18" s="135" t="str">
        <f>COVER!T17</f>
        <v>809 W. Detweiller Drive, Suite 806</v>
      </c>
      <c r="G18" s="1899">
        <v>102200300</v>
      </c>
    </row>
    <row r="19" spans="1:7" ht="15" x14ac:dyDescent="0.25">
      <c r="A19" t="s">
        <v>880</v>
      </c>
      <c r="B19" s="135" t="str">
        <f>COVER!T25</f>
        <v>ron.hilton1@comcast.net</v>
      </c>
      <c r="G19" s="1899">
        <v>102200400</v>
      </c>
    </row>
    <row r="20" spans="1:7" ht="15" x14ac:dyDescent="0.25">
      <c r="A20" t="s">
        <v>881</v>
      </c>
      <c r="B20" s="135" t="str">
        <f>COVER!T19</f>
        <v>Peoria</v>
      </c>
      <c r="G20" s="1899">
        <v>102200600</v>
      </c>
    </row>
    <row r="21" spans="1:7" ht="15" x14ac:dyDescent="0.25">
      <c r="A21" t="s">
        <v>476</v>
      </c>
      <c r="B21" s="135" t="str">
        <f>COVER!X19</f>
        <v>IL</v>
      </c>
      <c r="G21" s="1899">
        <v>102200800</v>
      </c>
    </row>
    <row r="22" spans="1:7" ht="15" x14ac:dyDescent="0.25">
      <c r="A22" t="s">
        <v>882</v>
      </c>
      <c r="B22" s="135">
        <f>COVER!Z19</f>
        <v>61615</v>
      </c>
      <c r="G22" s="1899">
        <v>102300300</v>
      </c>
    </row>
    <row r="23" spans="1:7" ht="15" x14ac:dyDescent="0.25">
      <c r="A23" t="s">
        <v>1142</v>
      </c>
      <c r="B23" s="135" t="str">
        <f>COVER!T21</f>
        <v>(309) 683-0441</v>
      </c>
      <c r="G23" s="1899">
        <v>102300400</v>
      </c>
    </row>
    <row r="24" spans="1:7" ht="15" x14ac:dyDescent="0.25">
      <c r="A24" t="s">
        <v>1141</v>
      </c>
      <c r="B24" s="135">
        <f>COVER!Y21</f>
        <v>0</v>
      </c>
      <c r="G24" s="1899">
        <v>102300600</v>
      </c>
    </row>
    <row r="25" spans="1:7" ht="15" x14ac:dyDescent="0.25">
      <c r="A25" t="s">
        <v>756</v>
      </c>
      <c r="B25" s="135" t="str">
        <f>COVER!B34</f>
        <v>x</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Yes</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806664</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1068836</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85</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85</v>
      </c>
      <c r="C91" s="2" t="s">
        <v>569</v>
      </c>
      <c r="D91" s="2" t="str">
        <f t="shared" si="0"/>
        <v>Error?</v>
      </c>
      <c r="G91" s="1899">
        <v>102640400</v>
      </c>
    </row>
    <row r="92" spans="1:7" ht="15" x14ac:dyDescent="0.25">
      <c r="A92" s="5">
        <v>31</v>
      </c>
      <c r="B92" s="1832">
        <f>'Assets-Liab 5-6'!C39</f>
        <v>1056398</v>
      </c>
      <c r="D92" s="2" t="str">
        <f t="shared" si="0"/>
        <v>Error?</v>
      </c>
      <c r="G92" s="1899">
        <v>102640600</v>
      </c>
    </row>
    <row r="93" spans="1:7" ht="15" x14ac:dyDescent="0.25">
      <c r="A93" s="5">
        <v>32</v>
      </c>
      <c r="B93" s="1832">
        <f>'Assets-Liab 5-6'!C41</f>
        <v>1068836</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19459</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119814</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119814</v>
      </c>
      <c r="D123" s="2" t="str">
        <f t="shared" si="0"/>
        <v>Error?</v>
      </c>
      <c r="G123" s="1899">
        <v>203000400</v>
      </c>
    </row>
    <row r="124" spans="1:7" ht="15" x14ac:dyDescent="0.25">
      <c r="A124" s="5">
        <v>63</v>
      </c>
      <c r="B124" s="1832">
        <f>'Assets-Liab 5-6'!D41</f>
        <v>119814</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29826</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29826</v>
      </c>
      <c r="D140" s="2" t="str">
        <f t="shared" si="1"/>
        <v>Error?</v>
      </c>
    </row>
    <row r="141" spans="1:7" x14ac:dyDescent="0.2">
      <c r="A141" s="5">
        <v>80</v>
      </c>
      <c r="B141" s="1832">
        <f>'Assets-Liab 5-6'!E41</f>
        <v>29826</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16224</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97816</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7000</v>
      </c>
      <c r="C169" s="2" t="s">
        <v>569</v>
      </c>
      <c r="D169" s="2" t="str">
        <f t="shared" si="1"/>
        <v>Error?</v>
      </c>
    </row>
    <row r="170" spans="1:4" x14ac:dyDescent="0.2">
      <c r="A170" s="5">
        <v>109</v>
      </c>
      <c r="B170" s="1832">
        <f>'Assets-Liab 5-6'!F39</f>
        <v>90816</v>
      </c>
      <c r="D170" s="2" t="str">
        <f t="shared" si="1"/>
        <v>Error?</v>
      </c>
    </row>
    <row r="171" spans="1:4" x14ac:dyDescent="0.2">
      <c r="A171" s="5">
        <v>110</v>
      </c>
      <c r="B171" s="1832">
        <f>'Assets-Liab 5-6'!F41</f>
        <v>97816</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2197</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19998</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12976</v>
      </c>
      <c r="D189" s="2" t="str">
        <f t="shared" si="1"/>
        <v>Error?</v>
      </c>
    </row>
    <row r="190" spans="1:4" x14ac:dyDescent="0.2">
      <c r="A190" s="5">
        <v>129</v>
      </c>
      <c r="B190" s="1832">
        <f>'Assets-Liab 5-6'!G41</f>
        <v>19998</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18967</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18967</v>
      </c>
      <c r="D212" s="2" t="str">
        <f t="shared" si="2"/>
        <v>Error?</v>
      </c>
    </row>
    <row r="213" spans="1:4" x14ac:dyDescent="0.2">
      <c r="A213" s="12">
        <v>152</v>
      </c>
      <c r="B213" s="1832">
        <f>'Assets-Liab 5-6'!H41</f>
        <v>18967</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22962</v>
      </c>
      <c r="D273" s="2" t="str">
        <f t="shared" si="3"/>
        <v>Error?</v>
      </c>
    </row>
    <row r="274" spans="1:4" x14ac:dyDescent="0.2">
      <c r="A274" s="5">
        <v>213</v>
      </c>
      <c r="B274" s="1832">
        <f>'Assets-Liab 5-6'!M17</f>
        <v>2044593</v>
      </c>
      <c r="D274" s="2" t="str">
        <f t="shared" si="3"/>
        <v>Error?</v>
      </c>
    </row>
    <row r="275" spans="1:4" x14ac:dyDescent="0.2">
      <c r="A275" s="5">
        <v>214</v>
      </c>
      <c r="B275" s="1832">
        <f>'Assets-Liab 5-6'!M18</f>
        <v>454326</v>
      </c>
      <c r="D275" s="2" t="str">
        <f t="shared" si="3"/>
        <v>Error?</v>
      </c>
    </row>
    <row r="276" spans="1:4" x14ac:dyDescent="0.2">
      <c r="A276" s="5">
        <v>215</v>
      </c>
      <c r="B276" s="1832">
        <f>'Assets-Liab 5-6'!M19</f>
        <v>157885</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2679766</v>
      </c>
      <c r="C279" s="2" t="s">
        <v>569</v>
      </c>
      <c r="D279" s="2" t="str">
        <f t="shared" si="3"/>
        <v>Error?</v>
      </c>
    </row>
    <row r="280" spans="1:4" x14ac:dyDescent="0.2">
      <c r="A280" s="5">
        <v>219</v>
      </c>
      <c r="B280" s="1832">
        <f>'Assets-Liab 5-6'!M40</f>
        <v>2679766</v>
      </c>
      <c r="D280" s="2" t="str">
        <f t="shared" si="3"/>
        <v>Error?</v>
      </c>
    </row>
    <row r="281" spans="1:4" x14ac:dyDescent="0.2">
      <c r="A281" s="5">
        <v>220</v>
      </c>
      <c r="B281" s="1832">
        <f>'Assets-Liab 5-6'!M41</f>
        <v>2679766</v>
      </c>
      <c r="C281" s="2" t="s">
        <v>569</v>
      </c>
      <c r="D281" s="2" t="str">
        <f t="shared" si="3"/>
        <v>Error?</v>
      </c>
    </row>
    <row r="282" spans="1:4" x14ac:dyDescent="0.2">
      <c r="A282" s="5">
        <v>221</v>
      </c>
      <c r="B282" s="1832">
        <f>'Assets-Liab 5-6'!N21</f>
        <v>29826</v>
      </c>
      <c r="D282" s="2" t="str">
        <f t="shared" si="3"/>
        <v>Error?</v>
      </c>
    </row>
    <row r="283" spans="1:4" x14ac:dyDescent="0.2">
      <c r="A283" s="5">
        <v>222</v>
      </c>
      <c r="B283" s="1832">
        <f>'Assets-Liab 5-6'!N22</f>
        <v>176991</v>
      </c>
      <c r="D283" s="2" t="str">
        <f t="shared" si="3"/>
        <v>Error?</v>
      </c>
    </row>
    <row r="284" spans="1:4" x14ac:dyDescent="0.2">
      <c r="A284" s="5">
        <v>223</v>
      </c>
      <c r="B284" s="1832">
        <f>'Assets-Liab 5-6'!N23</f>
        <v>206817</v>
      </c>
      <c r="C284" s="2" t="s">
        <v>569</v>
      </c>
      <c r="D284" s="2" t="str">
        <f t="shared" si="3"/>
        <v>Error?</v>
      </c>
    </row>
    <row r="285" spans="1:4" x14ac:dyDescent="0.2">
      <c r="A285" s="5">
        <v>224</v>
      </c>
      <c r="B285" s="1832">
        <f>'Assets-Liab 5-6'!N36</f>
        <v>206817</v>
      </c>
      <c r="D285" s="2" t="str">
        <f t="shared" si="3"/>
        <v>Error?</v>
      </c>
    </row>
    <row r="286" spans="1:4" x14ac:dyDescent="0.2">
      <c r="A286" s="10">
        <v>225</v>
      </c>
      <c r="B286" s="1832"/>
      <c r="D286" s="2" t="str">
        <f t="shared" si="3"/>
        <v>OK</v>
      </c>
    </row>
    <row r="287" spans="1:4" x14ac:dyDescent="0.2">
      <c r="A287" s="5">
        <v>226</v>
      </c>
      <c r="B287" s="1832">
        <f>'Assets-Liab 5-6'!N37</f>
        <v>206817</v>
      </c>
      <c r="C287" s="2" t="s">
        <v>569</v>
      </c>
      <c r="D287" s="2" t="str">
        <f t="shared" si="3"/>
        <v>Error?</v>
      </c>
    </row>
    <row r="288" spans="1:4" x14ac:dyDescent="0.2">
      <c r="A288" s="5">
        <v>227</v>
      </c>
      <c r="B288" s="1832">
        <f>'Assets-Liab 5-6'!N41</f>
        <v>206817</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723995</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12806</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914652</v>
      </c>
      <c r="C720" s="2" t="s">
        <v>569</v>
      </c>
      <c r="D720" s="2" t="str">
        <f t="shared" si="10"/>
        <v>Error?</v>
      </c>
    </row>
    <row r="721" spans="1:4" x14ac:dyDescent="0.2">
      <c r="A721" s="5">
        <v>660</v>
      </c>
      <c r="B721" s="1832">
        <f>'Expenditures 15-22'!C36</f>
        <v>56707</v>
      </c>
      <c r="D721" s="2" t="str">
        <f t="shared" si="10"/>
        <v>Error?</v>
      </c>
    </row>
    <row r="722" spans="1:4" x14ac:dyDescent="0.2">
      <c r="A722" s="5">
        <v>661</v>
      </c>
      <c r="B722" s="1832">
        <f>'Expenditures 15-22'!C37</f>
        <v>0</v>
      </c>
      <c r="D722" s="2" t="str">
        <f t="shared" si="10"/>
        <v>Error?</v>
      </c>
    </row>
    <row r="723" spans="1:4" x14ac:dyDescent="0.2">
      <c r="A723" s="5">
        <v>662</v>
      </c>
      <c r="B723" s="1832">
        <f>'Expenditures 15-22'!C38</f>
        <v>52369</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109076</v>
      </c>
      <c r="C727" s="2" t="s">
        <v>569</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0</v>
      </c>
      <c r="C731" s="2" t="s">
        <v>569</v>
      </c>
      <c r="D731" s="2" t="str">
        <f t="shared" si="10"/>
        <v>Error?</v>
      </c>
    </row>
    <row r="732" spans="1:4" x14ac:dyDescent="0.2">
      <c r="A732" s="5">
        <v>671</v>
      </c>
      <c r="B732" s="1832">
        <f>'Expenditures 15-22'!C49</f>
        <v>1722</v>
      </c>
      <c r="D732" s="2" t="str">
        <f t="shared" si="10"/>
        <v>Error?</v>
      </c>
    </row>
    <row r="733" spans="1:4" x14ac:dyDescent="0.2">
      <c r="A733" s="5">
        <v>672</v>
      </c>
      <c r="B733" s="1832">
        <f>'Expenditures 15-22'!C50</f>
        <v>36790</v>
      </c>
      <c r="D733" s="2" t="str">
        <f t="shared" si="10"/>
        <v>Error?</v>
      </c>
    </row>
    <row r="734" spans="1:4" x14ac:dyDescent="0.2">
      <c r="A734" s="5">
        <v>673</v>
      </c>
      <c r="B734" s="1832">
        <f>'Expenditures 15-22'!C53</f>
        <v>38512</v>
      </c>
      <c r="C734" s="2" t="s">
        <v>569</v>
      </c>
      <c r="D734" s="2" t="str">
        <f t="shared" si="10"/>
        <v>Error?</v>
      </c>
    </row>
    <row r="735" spans="1:4" x14ac:dyDescent="0.2">
      <c r="A735" s="5">
        <v>674</v>
      </c>
      <c r="B735" s="1832">
        <f>'Expenditures 15-22'!C55</f>
        <v>126642</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126642</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33711</v>
      </c>
      <c r="D739" s="2" t="str">
        <f t="shared" si="10"/>
        <v>Error?</v>
      </c>
    </row>
    <row r="740" spans="1:4" x14ac:dyDescent="0.2">
      <c r="A740" s="5">
        <v>679</v>
      </c>
      <c r="B740" s="1832">
        <f>'Expenditures 15-22'!C61</f>
        <v>72523</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48290</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154524</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428754</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1343406</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77542</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333</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110267</v>
      </c>
      <c r="C778" s="2" t="s">
        <v>569</v>
      </c>
      <c r="D778" s="2" t="str">
        <f t="shared" si="11"/>
        <v>Error?</v>
      </c>
    </row>
    <row r="779" spans="1:4" x14ac:dyDescent="0.2">
      <c r="A779" s="5">
        <v>718</v>
      </c>
      <c r="B779" s="1832">
        <f>'Expenditures 15-22'!D36</f>
        <v>5923</v>
      </c>
      <c r="D779" s="2" t="str">
        <f t="shared" si="11"/>
        <v>Error?</v>
      </c>
    </row>
    <row r="780" spans="1:4" x14ac:dyDescent="0.2">
      <c r="A780" s="5">
        <v>719</v>
      </c>
      <c r="B780" s="1832">
        <f>'Expenditures 15-22'!D37</f>
        <v>0</v>
      </c>
      <c r="D780" s="2" t="str">
        <f t="shared" si="11"/>
        <v>Error?</v>
      </c>
    </row>
    <row r="781" spans="1:4" x14ac:dyDescent="0.2">
      <c r="A781" s="5">
        <v>720</v>
      </c>
      <c r="B781" s="1832">
        <f>'Expenditures 15-22'!D38</f>
        <v>5915</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11838</v>
      </c>
      <c r="C785" s="2" t="s">
        <v>569</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0</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3339</v>
      </c>
      <c r="D791" s="2" t="str">
        <f t="shared" si="11"/>
        <v>Error?</v>
      </c>
    </row>
    <row r="792" spans="1:4" x14ac:dyDescent="0.2">
      <c r="A792" s="5">
        <v>731</v>
      </c>
      <c r="B792" s="1832">
        <f>'Expenditures 15-22'!D53</f>
        <v>3339</v>
      </c>
      <c r="C792" s="2" t="s">
        <v>569</v>
      </c>
      <c r="D792" s="2" t="str">
        <f t="shared" si="11"/>
        <v>Error?</v>
      </c>
    </row>
    <row r="793" spans="1:4" x14ac:dyDescent="0.2">
      <c r="A793" s="5">
        <v>732</v>
      </c>
      <c r="B793" s="1832">
        <f>'Expenditures 15-22'!D55</f>
        <v>27613</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27613</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5907</v>
      </c>
      <c r="D797" s="2" t="str">
        <f t="shared" si="11"/>
        <v>Error?</v>
      </c>
    </row>
    <row r="798" spans="1:4" x14ac:dyDescent="0.2">
      <c r="A798" s="5">
        <v>737</v>
      </c>
      <c r="B798" s="1832">
        <f>'Expenditures 15-22'!D61</f>
        <v>9870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5756</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21533</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64323</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174590</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50390</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2059</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65455</v>
      </c>
      <c r="C836" s="2" t="s">
        <v>569</v>
      </c>
      <c r="D836" s="2" t="str">
        <f t="shared" si="12"/>
        <v>Error?</v>
      </c>
    </row>
    <row r="837" spans="1:4" x14ac:dyDescent="0.2">
      <c r="A837" s="5">
        <v>776</v>
      </c>
      <c r="B837" s="1832">
        <f>'Expenditures 15-22'!E36</f>
        <v>11760</v>
      </c>
      <c r="D837" s="2" t="str">
        <f t="shared" si="12"/>
        <v>Error?</v>
      </c>
    </row>
    <row r="838" spans="1:4" x14ac:dyDescent="0.2">
      <c r="A838" s="5">
        <v>777</v>
      </c>
      <c r="B838" s="1832">
        <f>'Expenditures 15-22'!E37</f>
        <v>23640</v>
      </c>
      <c r="D838" s="2" t="str">
        <f t="shared" si="12"/>
        <v>Error?</v>
      </c>
    </row>
    <row r="839" spans="1:4" x14ac:dyDescent="0.2">
      <c r="A839" s="5">
        <v>778</v>
      </c>
      <c r="B839" s="1832">
        <f>'Expenditures 15-22'!E38</f>
        <v>929</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36329</v>
      </c>
      <c r="C843" s="2" t="s">
        <v>569</v>
      </c>
      <c r="D843" s="2" t="str">
        <f t="shared" si="12"/>
        <v>Error?</v>
      </c>
    </row>
    <row r="844" spans="1:4" x14ac:dyDescent="0.2">
      <c r="A844" s="5">
        <v>783</v>
      </c>
      <c r="B844" s="1832">
        <f>'Expenditures 15-22'!E44</f>
        <v>6659</v>
      </c>
      <c r="D844" s="2" t="str">
        <f t="shared" si="12"/>
        <v>Error?</v>
      </c>
    </row>
    <row r="845" spans="1:4" x14ac:dyDescent="0.2">
      <c r="A845" s="5">
        <v>784</v>
      </c>
      <c r="B845" s="1832">
        <f>'Expenditures 15-22'!E45</f>
        <v>745</v>
      </c>
      <c r="D845" s="2" t="str">
        <f t="shared" si="12"/>
        <v>Error?</v>
      </c>
    </row>
    <row r="846" spans="1:4" x14ac:dyDescent="0.2">
      <c r="A846" s="5">
        <v>785</v>
      </c>
      <c r="B846" s="1832">
        <f>'Expenditures 15-22'!E46</f>
        <v>13300</v>
      </c>
      <c r="D846" s="2" t="str">
        <f t="shared" si="12"/>
        <v>Error?</v>
      </c>
    </row>
    <row r="847" spans="1:4" x14ac:dyDescent="0.2">
      <c r="A847" s="5">
        <v>786</v>
      </c>
      <c r="B847" s="1832">
        <f>'Expenditures 15-22'!E47</f>
        <v>20704</v>
      </c>
      <c r="C847" s="2" t="s">
        <v>569</v>
      </c>
      <c r="D847" s="2" t="str">
        <f t="shared" si="12"/>
        <v>Error?</v>
      </c>
    </row>
    <row r="848" spans="1:4" x14ac:dyDescent="0.2">
      <c r="A848" s="5">
        <v>787</v>
      </c>
      <c r="B848" s="1832">
        <f>'Expenditures 15-22'!E49</f>
        <v>6251</v>
      </c>
      <c r="D848" s="2" t="str">
        <f t="shared" si="12"/>
        <v>Error?</v>
      </c>
    </row>
    <row r="849" spans="1:4" x14ac:dyDescent="0.2">
      <c r="A849" s="5">
        <v>788</v>
      </c>
      <c r="B849" s="1832">
        <f>'Expenditures 15-22'!E50</f>
        <v>1360</v>
      </c>
      <c r="D849" s="2" t="str">
        <f t="shared" si="12"/>
        <v>Error?</v>
      </c>
    </row>
    <row r="850" spans="1:4" x14ac:dyDescent="0.2">
      <c r="A850" s="5">
        <v>789</v>
      </c>
      <c r="B850" s="1832">
        <f>'Expenditures 15-22'!E53</f>
        <v>7611</v>
      </c>
      <c r="C850" s="2" t="s">
        <v>569</v>
      </c>
      <c r="D850" s="2" t="str">
        <f t="shared" si="12"/>
        <v>Error?</v>
      </c>
    </row>
    <row r="851" spans="1:4" x14ac:dyDescent="0.2">
      <c r="A851" s="5">
        <v>790</v>
      </c>
      <c r="B851" s="1832">
        <f>'Expenditures 15-22'!E55</f>
        <v>1770</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1770</v>
      </c>
      <c r="C853" s="2" t="s">
        <v>569</v>
      </c>
      <c r="D853" s="2" t="str">
        <f t="shared" si="12"/>
        <v>Error?</v>
      </c>
    </row>
    <row r="854" spans="1:4" x14ac:dyDescent="0.2">
      <c r="A854" s="5">
        <v>793</v>
      </c>
      <c r="B854" s="1832">
        <f>'Expenditures 15-22'!E59</f>
        <v>7525</v>
      </c>
      <c r="D854" s="2" t="str">
        <f t="shared" si="12"/>
        <v>Error?</v>
      </c>
    </row>
    <row r="855" spans="1:4" x14ac:dyDescent="0.2">
      <c r="A855" s="5">
        <v>794</v>
      </c>
      <c r="B855" s="1832">
        <f>'Expenditures 15-22'!E60</f>
        <v>0</v>
      </c>
      <c r="D855" s="2" t="str">
        <f t="shared" si="12"/>
        <v>Error?</v>
      </c>
    </row>
    <row r="856" spans="1:4" x14ac:dyDescent="0.2">
      <c r="A856" s="5">
        <v>795</v>
      </c>
      <c r="B856" s="1832">
        <f>'Expenditures 15-22'!E61</f>
        <v>11109</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4679</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23313</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2370</v>
      </c>
      <c r="D867" s="2" t="str">
        <f t="shared" si="12"/>
        <v>Error?</v>
      </c>
    </row>
    <row r="868" spans="1:4" x14ac:dyDescent="0.2">
      <c r="A868" s="10">
        <v>807</v>
      </c>
      <c r="B868" s="1832"/>
      <c r="D868" s="2" t="str">
        <f t="shared" si="12"/>
        <v>OK</v>
      </c>
    </row>
    <row r="869" spans="1:4" x14ac:dyDescent="0.2">
      <c r="A869" s="5">
        <v>808</v>
      </c>
      <c r="B869" s="1832">
        <f>'Expenditures 15-22'!E72</f>
        <v>2370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92097</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173784</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22994</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78856</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0</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0</v>
      </c>
      <c r="C901" s="2" t="s">
        <v>569</v>
      </c>
      <c r="D901" s="2" t="str">
        <f t="shared" si="13"/>
        <v>Error?</v>
      </c>
    </row>
    <row r="902" spans="1:4" x14ac:dyDescent="0.2">
      <c r="A902" s="5">
        <v>841</v>
      </c>
      <c r="B902" s="1832">
        <f>'Expenditures 15-22'!F44</f>
        <v>0</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0</v>
      </c>
      <c r="C905" s="2" t="s">
        <v>569</v>
      </c>
      <c r="D905" s="2" t="str">
        <f t="shared" si="13"/>
        <v>Error?</v>
      </c>
    </row>
    <row r="906" spans="1:4" x14ac:dyDescent="0.2">
      <c r="A906" s="5">
        <v>845</v>
      </c>
      <c r="B906" s="1832">
        <f>'Expenditures 15-22'!F49</f>
        <v>336</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336</v>
      </c>
      <c r="C908" s="2" t="s">
        <v>569</v>
      </c>
      <c r="D908" s="2" t="str">
        <f t="shared" si="13"/>
        <v>Error?</v>
      </c>
    </row>
    <row r="909" spans="1:4" x14ac:dyDescent="0.2">
      <c r="A909" s="5">
        <v>848</v>
      </c>
      <c r="B909" s="1832">
        <f>'Expenditures 15-22'!F55</f>
        <v>0</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0</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0</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82296</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82296</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82632</v>
      </c>
      <c r="C929" s="2" t="s">
        <v>569</v>
      </c>
      <c r="D929" s="2" t="str">
        <f t="shared" si="13"/>
        <v>Error?</v>
      </c>
    </row>
    <row r="930" spans="1:4" x14ac:dyDescent="0.2">
      <c r="A930" s="5">
        <v>869</v>
      </c>
      <c r="B930" s="1832">
        <f>'Expenditures 15-22'!F75</f>
        <v>1002</v>
      </c>
      <c r="D930" s="2" t="str">
        <f t="shared" si="13"/>
        <v>Error?</v>
      </c>
    </row>
    <row r="931" spans="1:4" x14ac:dyDescent="0.2">
      <c r="A931" s="5">
        <v>870</v>
      </c>
      <c r="B931" s="1832">
        <f>'Expenditures 15-22'!F114</f>
        <v>162490</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10589</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46761</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656</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656</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656</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47417</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5746</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670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6416</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5586</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5586</v>
      </c>
      <c r="C1024" s="2" t="s">
        <v>569</v>
      </c>
      <c r="D1024" s="2" t="str">
        <f t="shared" si="15"/>
        <v>Error?</v>
      </c>
    </row>
    <row r="1025" spans="1:4" x14ac:dyDescent="0.2">
      <c r="A1025" s="5">
        <v>964</v>
      </c>
      <c r="B1025" s="1832">
        <f>'Expenditures 15-22'!H55</f>
        <v>4410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4410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9996</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510609</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527021</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891256</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0</v>
      </c>
      <c r="C1105" s="2" t="s">
        <v>569</v>
      </c>
      <c r="D1105" s="2" t="str">
        <f t="shared" si="16"/>
        <v>Error?</v>
      </c>
    </row>
    <row r="1106" spans="1:4" x14ac:dyDescent="0.2">
      <c r="A1106" s="5">
        <v>1045</v>
      </c>
      <c r="B1106" s="1832">
        <f>'Expenditures 15-22'!K14</f>
        <v>15868</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1222407</v>
      </c>
      <c r="C1108" s="2" t="s">
        <v>569</v>
      </c>
      <c r="D1108" s="2" t="str">
        <f t="shared" si="16"/>
        <v>Error?</v>
      </c>
    </row>
    <row r="1109" spans="1:4" x14ac:dyDescent="0.2">
      <c r="A1109" s="5">
        <v>1048</v>
      </c>
      <c r="B1109" s="1832">
        <f>'Expenditures 15-22'!K36</f>
        <v>74390</v>
      </c>
      <c r="C1109" s="2" t="s">
        <v>569</v>
      </c>
      <c r="D1109" s="2" t="str">
        <f t="shared" si="16"/>
        <v>Error?</v>
      </c>
    </row>
    <row r="1110" spans="1:4" x14ac:dyDescent="0.2">
      <c r="A1110" s="5">
        <v>1049</v>
      </c>
      <c r="B1110" s="1832">
        <f>'Expenditures 15-22'!K37</f>
        <v>23640</v>
      </c>
      <c r="C1110" s="2" t="s">
        <v>569</v>
      </c>
      <c r="D1110" s="2" t="str">
        <f t="shared" si="16"/>
        <v>Error?</v>
      </c>
    </row>
    <row r="1111" spans="1:4" x14ac:dyDescent="0.2">
      <c r="A1111" s="5">
        <v>1050</v>
      </c>
      <c r="B1111" s="1832">
        <f>'Expenditures 15-22'!K38</f>
        <v>59213</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157243</v>
      </c>
      <c r="C1115" s="2" t="s">
        <v>569</v>
      </c>
      <c r="D1115" s="2" t="str">
        <f t="shared" si="16"/>
        <v>Error?</v>
      </c>
    </row>
    <row r="1116" spans="1:4" x14ac:dyDescent="0.2">
      <c r="A1116" s="5">
        <v>1055</v>
      </c>
      <c r="B1116" s="1832">
        <f>'Expenditures 15-22'!K44</f>
        <v>6659</v>
      </c>
      <c r="C1116" s="2" t="s">
        <v>569</v>
      </c>
      <c r="D1116" s="2" t="str">
        <f t="shared" si="16"/>
        <v>Error?</v>
      </c>
    </row>
    <row r="1117" spans="1:4" x14ac:dyDescent="0.2">
      <c r="A1117" s="5">
        <v>1056</v>
      </c>
      <c r="B1117" s="1832">
        <f>'Expenditures 15-22'!K45</f>
        <v>745</v>
      </c>
      <c r="C1117" s="2" t="s">
        <v>569</v>
      </c>
      <c r="D1117" s="2" t="str">
        <f t="shared" si="16"/>
        <v>Error?</v>
      </c>
    </row>
    <row r="1118" spans="1:4" x14ac:dyDescent="0.2">
      <c r="A1118" s="5">
        <v>1057</v>
      </c>
      <c r="B1118" s="1832">
        <f>'Expenditures 15-22'!K46</f>
        <v>13300</v>
      </c>
      <c r="C1118" s="2" t="s">
        <v>569</v>
      </c>
      <c r="D1118" s="2" t="str">
        <f t="shared" si="16"/>
        <v>Error?</v>
      </c>
    </row>
    <row r="1119" spans="1:4" x14ac:dyDescent="0.2">
      <c r="A1119" s="5">
        <v>1058</v>
      </c>
      <c r="B1119" s="1832">
        <f>'Expenditures 15-22'!K47</f>
        <v>20704</v>
      </c>
      <c r="C1119" s="2" t="s">
        <v>569</v>
      </c>
      <c r="D1119" s="2" t="str">
        <f t="shared" si="16"/>
        <v>Error?</v>
      </c>
    </row>
    <row r="1120" spans="1:4" x14ac:dyDescent="0.2">
      <c r="A1120" s="5">
        <v>1059</v>
      </c>
      <c r="B1120" s="1832">
        <f>'Expenditures 15-22'!K49</f>
        <v>13895</v>
      </c>
      <c r="C1120" s="2" t="s">
        <v>569</v>
      </c>
      <c r="D1120" s="2" t="str">
        <f t="shared" si="16"/>
        <v>Error?</v>
      </c>
    </row>
    <row r="1121" spans="1:4" x14ac:dyDescent="0.2">
      <c r="A1121" s="5">
        <v>1060</v>
      </c>
      <c r="B1121" s="1832">
        <f>'Expenditures 15-22'!K50</f>
        <v>41489</v>
      </c>
      <c r="C1121" s="2" t="s">
        <v>569</v>
      </c>
      <c r="D1121" s="2" t="str">
        <f t="shared" si="16"/>
        <v>Error?</v>
      </c>
    </row>
    <row r="1122" spans="1:4" x14ac:dyDescent="0.2">
      <c r="A1122" s="5">
        <v>1061</v>
      </c>
      <c r="B1122" s="1832">
        <f>'Expenditures 15-22'!K53</f>
        <v>55384</v>
      </c>
      <c r="C1122" s="2" t="s">
        <v>569</v>
      </c>
      <c r="D1122" s="2" t="str">
        <f t="shared" si="16"/>
        <v>Error?</v>
      </c>
    </row>
    <row r="1123" spans="1:4" x14ac:dyDescent="0.2">
      <c r="A1123" s="5">
        <v>1062</v>
      </c>
      <c r="B1123" s="1832">
        <f>'Expenditures 15-22'!K55</f>
        <v>160435</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160435</v>
      </c>
      <c r="C1125" s="2" t="s">
        <v>569</v>
      </c>
      <c r="D1125" s="2" t="str">
        <f t="shared" si="16"/>
        <v>Error?</v>
      </c>
    </row>
    <row r="1126" spans="1:4" x14ac:dyDescent="0.2">
      <c r="A1126" s="5">
        <v>1065</v>
      </c>
      <c r="B1126" s="1832">
        <f>'Expenditures 15-22'!K59</f>
        <v>7525</v>
      </c>
      <c r="C1126" s="2" t="s">
        <v>569</v>
      </c>
      <c r="D1126" s="2" t="str">
        <f t="shared" si="16"/>
        <v>Error?</v>
      </c>
    </row>
    <row r="1127" spans="1:4" x14ac:dyDescent="0.2">
      <c r="A1127" s="5">
        <v>1066</v>
      </c>
      <c r="B1127" s="1832">
        <f>'Expenditures 15-22'!K60</f>
        <v>39618</v>
      </c>
      <c r="C1127" s="2" t="s">
        <v>569</v>
      </c>
      <c r="D1127" s="2" t="str">
        <f t="shared" si="16"/>
        <v>Error?</v>
      </c>
    </row>
    <row r="1128" spans="1:4" x14ac:dyDescent="0.2">
      <c r="A1128" s="5">
        <v>1067</v>
      </c>
      <c r="B1128" s="1832">
        <f>'Expenditures 15-22'!K61</f>
        <v>93502</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141677</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282322</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2370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2370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678458</v>
      </c>
      <c r="C1143" s="2" t="s">
        <v>569</v>
      </c>
      <c r="D1143" s="2" t="str">
        <f t="shared" si="16"/>
        <v>Error?</v>
      </c>
    </row>
    <row r="1144" spans="1:4" x14ac:dyDescent="0.2">
      <c r="A1144" s="5">
        <v>1083</v>
      </c>
      <c r="B1144" s="1832">
        <f>'Expenditures 15-22'!K75</f>
        <v>1002</v>
      </c>
      <c r="C1144" s="2" t="s">
        <v>569</v>
      </c>
      <c r="D1144" s="2" t="str">
        <f t="shared" si="16"/>
        <v>Error?</v>
      </c>
    </row>
    <row r="1145" spans="1:4" x14ac:dyDescent="0.2">
      <c r="A1145" s="5">
        <v>1084</v>
      </c>
      <c r="B1145" s="1832">
        <f>'Expenditures 15-22'!K102</f>
        <v>526841</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2428708</v>
      </c>
      <c r="C1152" s="2" t="s">
        <v>569</v>
      </c>
      <c r="D1152" s="2" t="str">
        <f t="shared" si="17"/>
        <v>Error?</v>
      </c>
    </row>
    <row r="1153" spans="1:4" x14ac:dyDescent="0.2">
      <c r="A1153" s="5">
        <v>1092</v>
      </c>
      <c r="B1153" s="1832">
        <f>'Expenditures 15-22'!K115</f>
        <v>-57600</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4241</v>
      </c>
      <c r="D1221" s="2" t="str">
        <f t="shared" si="18"/>
        <v>Error?</v>
      </c>
    </row>
    <row r="1222" spans="1:4" x14ac:dyDescent="0.2">
      <c r="A1222" s="10">
        <v>1161</v>
      </c>
      <c r="B1222" s="1832"/>
      <c r="D1222" s="2" t="str">
        <f t="shared" si="18"/>
        <v>OK</v>
      </c>
    </row>
    <row r="1223" spans="1:4" x14ac:dyDescent="0.2">
      <c r="A1223" s="5">
        <v>1162</v>
      </c>
      <c r="B1223" s="1832">
        <f>'Expenditures 15-22'!C127</f>
        <v>4241</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4241</v>
      </c>
      <c r="C1225" s="2" t="s">
        <v>569</v>
      </c>
      <c r="D1225" s="2" t="str">
        <f t="shared" si="18"/>
        <v>Error?</v>
      </c>
    </row>
    <row r="1226" spans="1:4" x14ac:dyDescent="0.2">
      <c r="A1226" s="5">
        <v>1165</v>
      </c>
      <c r="B1226" s="1832">
        <f>'Expenditures 15-22'!C151</f>
        <v>4241</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23934</v>
      </c>
      <c r="D1237" s="2" t="str">
        <f t="shared" si="18"/>
        <v>Error?</v>
      </c>
    </row>
    <row r="1238" spans="1:4" x14ac:dyDescent="0.2">
      <c r="A1238" s="10">
        <v>1177</v>
      </c>
      <c r="B1238" s="1832"/>
      <c r="D1238" s="2" t="str">
        <f t="shared" si="18"/>
        <v>OK</v>
      </c>
    </row>
    <row r="1239" spans="1:4" x14ac:dyDescent="0.2">
      <c r="A1239" s="5">
        <v>1178</v>
      </c>
      <c r="B1239" s="1832">
        <f>'Expenditures 15-22'!E127</f>
        <v>23934</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23934</v>
      </c>
      <c r="C1241" s="2" t="s">
        <v>569</v>
      </c>
      <c r="D1241" s="2" t="str">
        <f t="shared" si="18"/>
        <v>Error?</v>
      </c>
    </row>
    <row r="1242" spans="1:4" x14ac:dyDescent="0.2">
      <c r="A1242" s="5">
        <v>1181</v>
      </c>
      <c r="B1242" s="1832">
        <f>'Expenditures 15-22'!E151</f>
        <v>23934</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34378</v>
      </c>
      <c r="D1245" s="2" t="str">
        <f t="shared" si="18"/>
        <v>Error?</v>
      </c>
    </row>
    <row r="1246" spans="1:4" x14ac:dyDescent="0.2">
      <c r="A1246" s="10">
        <v>1185</v>
      </c>
      <c r="B1246" s="1832"/>
      <c r="D1246" s="2" t="str">
        <f t="shared" si="18"/>
        <v>OK</v>
      </c>
    </row>
    <row r="1247" spans="1:4" x14ac:dyDescent="0.2">
      <c r="A1247" s="5">
        <v>1186</v>
      </c>
      <c r="B1247" s="1832">
        <f>'Expenditures 15-22'!F127</f>
        <v>34378</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34378</v>
      </c>
      <c r="C1249" s="2" t="s">
        <v>569</v>
      </c>
      <c r="D1249" s="2" t="str">
        <f t="shared" si="18"/>
        <v>Error?</v>
      </c>
    </row>
    <row r="1250" spans="1:4" x14ac:dyDescent="0.2">
      <c r="A1250" s="5">
        <v>1189</v>
      </c>
      <c r="B1250" s="1832">
        <f>'Expenditures 15-22'!F151</f>
        <v>34378</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0</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0</v>
      </c>
      <c r="C1258" s="2" t="s">
        <v>569</v>
      </c>
      <c r="D1258" s="2" t="str">
        <f t="shared" si="18"/>
        <v>Error?</v>
      </c>
    </row>
    <row r="1259" spans="1:4" x14ac:dyDescent="0.2">
      <c r="A1259" s="5">
        <v>1198</v>
      </c>
      <c r="B1259" s="1832">
        <f>'Expenditures 15-22'!G151</f>
        <v>0</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17260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17260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62553</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62553</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62553</v>
      </c>
      <c r="C1281" s="2" t="s">
        <v>569</v>
      </c>
      <c r="D1281" s="2" t="str">
        <f t="shared" si="19"/>
        <v>Error?</v>
      </c>
    </row>
    <row r="1282" spans="1:4" x14ac:dyDescent="0.2">
      <c r="A1282" s="5">
        <v>1221</v>
      </c>
      <c r="B1282" s="1832">
        <f>'Expenditures 15-22'!K139</f>
        <v>17260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79813</v>
      </c>
      <c r="C1288" s="2" t="s">
        <v>569</v>
      </c>
      <c r="D1288" s="2" t="str">
        <f t="shared" si="19"/>
        <v>Error?</v>
      </c>
    </row>
    <row r="1289" spans="1:4" x14ac:dyDescent="0.2">
      <c r="A1289" s="5">
        <v>1228</v>
      </c>
      <c r="B1289" s="1832">
        <f>'Expenditures 15-22'!K152</f>
        <v>55311</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20415</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81333</v>
      </c>
      <c r="D1315" s="2" t="str">
        <f t="shared" si="19"/>
        <v>Error?</v>
      </c>
    </row>
    <row r="1316" spans="1:4" x14ac:dyDescent="0.2">
      <c r="A1316" s="5">
        <v>1255</v>
      </c>
      <c r="B1316" s="1832">
        <f>'Expenditures 15-22'!H171</f>
        <v>500</v>
      </c>
      <c r="D1316" s="2" t="str">
        <f t="shared" si="19"/>
        <v>Error?</v>
      </c>
    </row>
    <row r="1317" spans="1:4" x14ac:dyDescent="0.2">
      <c r="A1317" s="5">
        <v>1256</v>
      </c>
      <c r="B1317" s="1832">
        <f>'Expenditures 15-22'!H172</f>
        <v>102248</v>
      </c>
      <c r="C1317" s="2" t="s">
        <v>569</v>
      </c>
      <c r="D1317" s="2" t="str">
        <f t="shared" si="19"/>
        <v>Error?</v>
      </c>
    </row>
    <row r="1318" spans="1:4" x14ac:dyDescent="0.2">
      <c r="A1318" s="5">
        <v>1257</v>
      </c>
      <c r="B1318" s="1832">
        <f>'Expenditures 15-22'!H174</f>
        <v>102248</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20415</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81333</v>
      </c>
      <c r="C1329" s="2" t="s">
        <v>569</v>
      </c>
      <c r="D1329" s="2" t="str">
        <f t="shared" si="19"/>
        <v>Error?</v>
      </c>
    </row>
    <row r="1330" spans="1:4" x14ac:dyDescent="0.2">
      <c r="A1330" s="5">
        <v>1269</v>
      </c>
      <c r="B1330" s="1832">
        <f>'Expenditures 15-22'!K171</f>
        <v>500</v>
      </c>
      <c r="C1330" s="2" t="s">
        <v>569</v>
      </c>
      <c r="D1330" s="2" t="str">
        <f t="shared" si="19"/>
        <v>Error?</v>
      </c>
    </row>
    <row r="1331" spans="1:4" x14ac:dyDescent="0.2">
      <c r="A1331" s="5">
        <v>1270</v>
      </c>
      <c r="B1331" s="1832">
        <f>'Expenditures 15-22'!K172</f>
        <v>102248</v>
      </c>
      <c r="C1331" s="2" t="s">
        <v>569</v>
      </c>
      <c r="D1331" s="2" t="str">
        <f t="shared" si="19"/>
        <v>Error?</v>
      </c>
    </row>
    <row r="1332" spans="1:4" x14ac:dyDescent="0.2">
      <c r="A1332" s="5">
        <v>1271</v>
      </c>
      <c r="B1332" s="1832">
        <f>'Expenditures 15-22'!K174</f>
        <v>102248</v>
      </c>
      <c r="C1332" s="2" t="s">
        <v>569</v>
      </c>
      <c r="D1332" s="2" t="str">
        <f t="shared" si="19"/>
        <v>Error?</v>
      </c>
    </row>
    <row r="1333" spans="1:4" x14ac:dyDescent="0.2">
      <c r="A1333" s="5">
        <v>1272</v>
      </c>
      <c r="B1333" s="1832">
        <f>'Expenditures 15-22'!K175</f>
        <v>25292</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175</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175</v>
      </c>
      <c r="C1339" s="2" t="s">
        <v>569</v>
      </c>
      <c r="D1339" s="2" t="str">
        <f t="shared" si="19"/>
        <v>Error?</v>
      </c>
    </row>
    <row r="1340" spans="1:4" x14ac:dyDescent="0.2">
      <c r="A1340" s="5">
        <v>1279</v>
      </c>
      <c r="B1340" s="1832">
        <f>'Expenditures 15-22'!C210</f>
        <v>175</v>
      </c>
      <c r="C1340" s="2" t="s">
        <v>569</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569</v>
      </c>
      <c r="D1345" s="2" t="str">
        <f t="shared" si="20"/>
        <v>Error?</v>
      </c>
    </row>
    <row r="1346" spans="1:4" x14ac:dyDescent="0.2">
      <c r="A1346" s="5">
        <v>1285</v>
      </c>
      <c r="B1346" s="1832">
        <f>'Expenditures 15-22'!D210</f>
        <v>0</v>
      </c>
      <c r="C1346" s="2" t="s">
        <v>569</v>
      </c>
      <c r="D1346" s="2" t="str">
        <f t="shared" si="20"/>
        <v>Error?</v>
      </c>
    </row>
    <row r="1347" spans="1:4" x14ac:dyDescent="0.2">
      <c r="A1347" s="5">
        <v>1286</v>
      </c>
      <c r="B1347" s="1832">
        <f>'Expenditures 15-22'!E182</f>
        <v>174057</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174057</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174057</v>
      </c>
      <c r="C1353" s="2" t="s">
        <v>569</v>
      </c>
      <c r="D1353" s="2" t="str">
        <f t="shared" si="20"/>
        <v>Error?</v>
      </c>
    </row>
    <row r="1354" spans="1:4" x14ac:dyDescent="0.2">
      <c r="A1354" s="5">
        <v>1293</v>
      </c>
      <c r="B1354" s="1832">
        <f>'Expenditures 15-22'!F182</f>
        <v>224</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224</v>
      </c>
      <c r="C1358" s="2" t="s">
        <v>569</v>
      </c>
      <c r="D1358" s="2" t="str">
        <f t="shared" si="20"/>
        <v>Error?</v>
      </c>
    </row>
    <row r="1359" spans="1:4" x14ac:dyDescent="0.2">
      <c r="A1359" s="5">
        <v>1298</v>
      </c>
      <c r="B1359" s="1832">
        <f>'Expenditures 15-22'!F210</f>
        <v>224</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174456</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174456</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174456</v>
      </c>
      <c r="C1388" s="2" t="s">
        <v>569</v>
      </c>
      <c r="D1388" s="2" t="str">
        <f t="shared" si="20"/>
        <v>Error?</v>
      </c>
    </row>
    <row r="1389" spans="1:4" x14ac:dyDescent="0.2">
      <c r="A1389" s="5">
        <v>1328</v>
      </c>
      <c r="B1389" s="1832">
        <f>'Expenditures 15-22'!K211</f>
        <v>2046</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498</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32481</v>
      </c>
      <c r="C1410" s="2" t="s">
        <v>569</v>
      </c>
      <c r="D1410" s="2" t="str">
        <f t="shared" si="21"/>
        <v>Error?</v>
      </c>
    </row>
    <row r="1411" spans="1:4" x14ac:dyDescent="0.2">
      <c r="A1411" s="5">
        <v>1350</v>
      </c>
      <c r="B1411" s="1832">
        <f>'Expenditures 15-22'!D232</f>
        <v>8994</v>
      </c>
      <c r="D1411" s="2" t="str">
        <f t="shared" si="21"/>
        <v>Error?</v>
      </c>
    </row>
    <row r="1412" spans="1:4" x14ac:dyDescent="0.2">
      <c r="A1412" s="5">
        <v>1351</v>
      </c>
      <c r="B1412" s="1832">
        <f>'Expenditures 15-22'!D233</f>
        <v>0</v>
      </c>
      <c r="D1412" s="2" t="str">
        <f t="shared" si="21"/>
        <v>Error?</v>
      </c>
    </row>
    <row r="1413" spans="1:4" x14ac:dyDescent="0.2">
      <c r="A1413" s="5">
        <v>1352</v>
      </c>
      <c r="B1413" s="1832">
        <f>'Expenditures 15-22'!D234</f>
        <v>10138</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19132</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0</v>
      </c>
      <c r="C1421" s="2" t="s">
        <v>569</v>
      </c>
      <c r="D1421" s="2" t="str">
        <f t="shared" si="21"/>
        <v>Error?</v>
      </c>
    </row>
    <row r="1422" spans="1:4" x14ac:dyDescent="0.2">
      <c r="A1422" s="5">
        <v>1361</v>
      </c>
      <c r="B1422" s="1832">
        <f>'Expenditures 15-22'!D245</f>
        <v>74</v>
      </c>
      <c r="D1422" s="2" t="str">
        <f t="shared" si="21"/>
        <v>Error?</v>
      </c>
    </row>
    <row r="1423" spans="1:4" x14ac:dyDescent="0.2">
      <c r="A1423" s="5">
        <v>1362</v>
      </c>
      <c r="B1423" s="1832">
        <f>'Expenditures 15-22'!D246</f>
        <v>534</v>
      </c>
      <c r="D1423" s="2" t="str">
        <f t="shared" si="21"/>
        <v>Error?</v>
      </c>
    </row>
    <row r="1424" spans="1:4" x14ac:dyDescent="0.2">
      <c r="A1424" s="5">
        <v>1363</v>
      </c>
      <c r="B1424" s="1832">
        <f>'Expenditures 15-22'!D257</f>
        <v>608</v>
      </c>
      <c r="C1424" s="2" t="s">
        <v>569</v>
      </c>
      <c r="D1424" s="2" t="str">
        <f t="shared" si="21"/>
        <v>Error?</v>
      </c>
    </row>
    <row r="1425" spans="1:4" x14ac:dyDescent="0.2">
      <c r="A1425" s="5">
        <v>1364</v>
      </c>
      <c r="B1425" s="1832">
        <f>'Expenditures 15-22'!D259</f>
        <v>1836</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1836</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7701</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13274</v>
      </c>
      <c r="D1431" s="2" t="str">
        <f t="shared" si="21"/>
        <v>Error?</v>
      </c>
    </row>
    <row r="1432" spans="1:4" x14ac:dyDescent="0.2">
      <c r="A1432" s="5">
        <v>1371</v>
      </c>
      <c r="B1432" s="1832">
        <f>'Expenditures 15-22'!D267</f>
        <v>2</v>
      </c>
      <c r="D1432" s="2" t="str">
        <f t="shared" si="21"/>
        <v>Error?</v>
      </c>
    </row>
    <row r="1433" spans="1:4" x14ac:dyDescent="0.2">
      <c r="A1433" s="5">
        <v>1372</v>
      </c>
      <c r="B1433" s="1832">
        <f>'Expenditures 15-22'!D268</f>
        <v>8423</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29400</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50976</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96359</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498</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32481</v>
      </c>
      <c r="C1474" s="2" t="s">
        <v>569</v>
      </c>
      <c r="D1474" s="2" t="str">
        <f t="shared" si="22"/>
        <v>Error?</v>
      </c>
    </row>
    <row r="1475" spans="1:4" x14ac:dyDescent="0.2">
      <c r="A1475" s="5">
        <v>1414</v>
      </c>
      <c r="B1475" s="1832">
        <f>'Expenditures 15-22'!K232</f>
        <v>8994</v>
      </c>
      <c r="C1475" s="2" t="s">
        <v>569</v>
      </c>
      <c r="D1475" s="2" t="str">
        <f t="shared" si="22"/>
        <v>Error?</v>
      </c>
    </row>
    <row r="1476" spans="1:4" x14ac:dyDescent="0.2">
      <c r="A1476" s="5">
        <v>1415</v>
      </c>
      <c r="B1476" s="1832">
        <f>'Expenditures 15-22'!K233</f>
        <v>0</v>
      </c>
      <c r="C1476" s="2" t="s">
        <v>569</v>
      </c>
      <c r="D1476" s="2" t="str">
        <f t="shared" si="22"/>
        <v>Error?</v>
      </c>
    </row>
    <row r="1477" spans="1:4" x14ac:dyDescent="0.2">
      <c r="A1477" s="5">
        <v>1416</v>
      </c>
      <c r="B1477" s="1832">
        <f>'Expenditures 15-22'!K234</f>
        <v>10138</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19132</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0</v>
      </c>
      <c r="C1485" s="2" t="s">
        <v>569</v>
      </c>
      <c r="D1485" s="2" t="str">
        <f t="shared" si="22"/>
        <v>Error?</v>
      </c>
    </row>
    <row r="1486" spans="1:4" x14ac:dyDescent="0.2">
      <c r="A1486" s="5">
        <v>1425</v>
      </c>
      <c r="B1486" s="1832">
        <f>'Expenditures 15-22'!K245</f>
        <v>74</v>
      </c>
      <c r="C1486" s="2" t="s">
        <v>569</v>
      </c>
      <c r="D1486" s="2" t="str">
        <f t="shared" si="22"/>
        <v>Error?</v>
      </c>
    </row>
    <row r="1487" spans="1:4" x14ac:dyDescent="0.2">
      <c r="A1487" s="5">
        <v>1426</v>
      </c>
      <c r="B1487" s="1832">
        <f>'Expenditures 15-22'!K246</f>
        <v>534</v>
      </c>
      <c r="C1487" s="2" t="s">
        <v>569</v>
      </c>
      <c r="D1487" s="2" t="str">
        <f t="shared" si="22"/>
        <v>Error?</v>
      </c>
    </row>
    <row r="1488" spans="1:4" x14ac:dyDescent="0.2">
      <c r="A1488" s="5">
        <v>1427</v>
      </c>
      <c r="B1488" s="1832">
        <f>'Expenditures 15-22'!K257</f>
        <v>608</v>
      </c>
      <c r="C1488" s="2" t="s">
        <v>569</v>
      </c>
      <c r="D1488" s="2" t="str">
        <f t="shared" si="22"/>
        <v>Error?</v>
      </c>
    </row>
    <row r="1489" spans="1:4" x14ac:dyDescent="0.2">
      <c r="A1489" s="5">
        <v>1428</v>
      </c>
      <c r="B1489" s="1832">
        <f>'Expenditures 15-22'!K259</f>
        <v>1836</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1836</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7701</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13274</v>
      </c>
      <c r="C1495" s="2" t="s">
        <v>569</v>
      </c>
      <c r="D1495" s="2" t="str">
        <f t="shared" si="22"/>
        <v>Error?</v>
      </c>
    </row>
    <row r="1496" spans="1:4" x14ac:dyDescent="0.2">
      <c r="A1496" s="5">
        <v>1435</v>
      </c>
      <c r="B1496" s="1832">
        <f>'Expenditures 15-22'!K267</f>
        <v>2</v>
      </c>
      <c r="C1496" s="2" t="s">
        <v>569</v>
      </c>
      <c r="D1496" s="2" t="str">
        <f t="shared" si="22"/>
        <v>Error?</v>
      </c>
    </row>
    <row r="1497" spans="1:4" x14ac:dyDescent="0.2">
      <c r="A1497" s="5">
        <v>1436</v>
      </c>
      <c r="B1497" s="1832">
        <f>'Expenditures 15-22'!K268</f>
        <v>8423</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29400</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50976</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96359</v>
      </c>
      <c r="C1517" s="2" t="s">
        <v>569</v>
      </c>
      <c r="D1517" s="2" t="str">
        <f t="shared" si="22"/>
        <v>Error?</v>
      </c>
    </row>
    <row r="1518" spans="1:4" x14ac:dyDescent="0.2">
      <c r="A1518" s="5">
        <v>1457</v>
      </c>
      <c r="B1518" s="1832">
        <f>'Expenditures 15-22'!K296</f>
        <v>-5578</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3058</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3058</v>
      </c>
      <c r="C1535" s="2" t="s">
        <v>569</v>
      </c>
      <c r="D1535" s="2" t="str">
        <f t="shared" ref="D1535:D1598" si="23">IF(ISBLANK(B1535),"OK",IF(A1535-B1535=0,"OK","Error?"))</f>
        <v>Error?</v>
      </c>
    </row>
    <row r="1536" spans="1:4" x14ac:dyDescent="0.2">
      <c r="A1536" s="5">
        <v>1475</v>
      </c>
      <c r="B1536" s="1832">
        <f>'Expenditures 15-22'!E312</f>
        <v>3058</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206443</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206443</v>
      </c>
      <c r="C1547" s="2" t="s">
        <v>569</v>
      </c>
      <c r="D1547" s="2" t="str">
        <f t="shared" si="23"/>
        <v>Error?</v>
      </c>
    </row>
    <row r="1548" spans="1:4" x14ac:dyDescent="0.2">
      <c r="A1548" s="5">
        <v>1487</v>
      </c>
      <c r="B1548" s="1832">
        <f>'Expenditures 15-22'!G312</f>
        <v>206443</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209501</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209501</v>
      </c>
      <c r="C1559" s="2" t="s">
        <v>569</v>
      </c>
      <c r="D1559" s="2" t="str">
        <f t="shared" si="23"/>
        <v>Error?</v>
      </c>
    </row>
    <row r="1560" spans="1:4" x14ac:dyDescent="0.2">
      <c r="A1560" s="5">
        <v>1499</v>
      </c>
      <c r="B1560" s="1832">
        <f>'Expenditures 15-22'!K312</f>
        <v>209501</v>
      </c>
      <c r="C1560" s="2" t="s">
        <v>569</v>
      </c>
      <c r="D1560" s="2" t="str">
        <f t="shared" si="23"/>
        <v>Error?</v>
      </c>
    </row>
    <row r="1561" spans="1:4" x14ac:dyDescent="0.2">
      <c r="A1561" s="5">
        <v>1500</v>
      </c>
      <c r="B1561" s="1832">
        <f>'Expenditures 15-22'!K313</f>
        <v>-203902</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1126351</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1068751</v>
      </c>
      <c r="C1630" s="2" t="s">
        <v>569</v>
      </c>
      <c r="D1630" s="2" t="str">
        <f t="shared" si="24"/>
        <v>Error?</v>
      </c>
    </row>
    <row r="1631" spans="1:4" x14ac:dyDescent="0.2">
      <c r="A1631" s="5">
        <v>1570</v>
      </c>
      <c r="B1631" s="1832">
        <f>'Acct Summary 7-8'!D79</f>
        <v>64503</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119814</v>
      </c>
      <c r="C1644" s="2" t="s">
        <v>569</v>
      </c>
      <c r="D1644" s="2" t="str">
        <f t="shared" si="24"/>
        <v>Error?</v>
      </c>
    </row>
    <row r="1645" spans="1:4" x14ac:dyDescent="0.2">
      <c r="A1645" s="5">
        <v>1584</v>
      </c>
      <c r="B1645" s="1832">
        <f>'Acct Summary 7-8'!E79</f>
        <v>4534</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29826</v>
      </c>
      <c r="C1658" s="2" t="s">
        <v>569</v>
      </c>
      <c r="D1658" s="2" t="str">
        <f t="shared" si="24"/>
        <v>Error?</v>
      </c>
    </row>
    <row r="1659" spans="1:4" x14ac:dyDescent="0.2">
      <c r="A1659" s="5">
        <v>1598</v>
      </c>
      <c r="B1659" s="1832">
        <f>'Acct Summary 7-8'!F79</f>
        <v>88770</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90816</v>
      </c>
      <c r="C1672" s="2" t="s">
        <v>569</v>
      </c>
      <c r="D1672" s="2" t="str">
        <f t="shared" si="25"/>
        <v>Error?</v>
      </c>
    </row>
    <row r="1673" spans="1:4" x14ac:dyDescent="0.2">
      <c r="A1673" s="5">
        <v>1612</v>
      </c>
      <c r="B1673" s="1832">
        <f>'Acct Summary 7-8'!G79</f>
        <v>25576</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19998</v>
      </c>
      <c r="C1686" s="2" t="s">
        <v>569</v>
      </c>
      <c r="D1686" s="2" t="str">
        <f t="shared" si="25"/>
        <v>Error?</v>
      </c>
    </row>
    <row r="1687" spans="1:4" x14ac:dyDescent="0.2">
      <c r="A1687" s="5">
        <v>1626</v>
      </c>
      <c r="B1687" s="1832">
        <f>'Acct Summary 7-8'!H79</f>
        <v>122869</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18967</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182070</v>
      </c>
      <c r="C1744" s="2" t="s">
        <v>569</v>
      </c>
      <c r="D1744" s="2" t="str">
        <f t="shared" si="26"/>
        <v>Error?</v>
      </c>
    </row>
    <row r="1745" spans="1:5" x14ac:dyDescent="0.2">
      <c r="A1745" s="5">
        <v>1684</v>
      </c>
      <c r="B1745" s="1832">
        <f>'Tax Sched 23'!B5</f>
        <v>38904</v>
      </c>
      <c r="C1745" s="2" t="s">
        <v>569</v>
      </c>
      <c r="D1745" s="2" t="str">
        <f t="shared" si="26"/>
        <v>Error?</v>
      </c>
    </row>
    <row r="1746" spans="1:5" x14ac:dyDescent="0.2">
      <c r="A1746" s="5">
        <v>1685</v>
      </c>
      <c r="B1746" s="1832">
        <f>'Tax Sched 23'!B6</f>
        <v>62100</v>
      </c>
      <c r="C1746" s="2" t="s">
        <v>569</v>
      </c>
      <c r="D1746" s="2" t="str">
        <f t="shared" si="26"/>
        <v>Error?</v>
      </c>
    </row>
    <row r="1747" spans="1:5" x14ac:dyDescent="0.2">
      <c r="A1747" s="5">
        <v>1686</v>
      </c>
      <c r="B1747" s="1832">
        <f>'Tax Sched 23'!B7</f>
        <v>18674</v>
      </c>
      <c r="C1747" s="2" t="s">
        <v>569</v>
      </c>
      <c r="D1747" s="2" t="str">
        <f t="shared" si="26"/>
        <v>Error?</v>
      </c>
    </row>
    <row r="1748" spans="1:5" x14ac:dyDescent="0.2">
      <c r="A1748" s="5">
        <v>1687</v>
      </c>
      <c r="B1748" s="1832">
        <f>'Tax Sched 23'!B8</f>
        <v>39989</v>
      </c>
      <c r="C1748" s="2" t="s">
        <v>569</v>
      </c>
      <c r="D1748" s="2" t="str">
        <f t="shared" si="26"/>
        <v>Error?</v>
      </c>
    </row>
    <row r="1749" spans="1:5" x14ac:dyDescent="0.2">
      <c r="A1749" s="5">
        <v>1688</v>
      </c>
      <c r="B1749" s="1832">
        <f>'Tax Sched 23'!B10</f>
        <v>7781</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69531</v>
      </c>
      <c r="C1752" s="2" t="s">
        <v>569</v>
      </c>
      <c r="D1752" s="2" t="str">
        <f t="shared" si="26"/>
        <v>Error?</v>
      </c>
    </row>
    <row r="1753" spans="1:5" x14ac:dyDescent="0.2">
      <c r="A1753" s="5">
        <v>1692</v>
      </c>
      <c r="B1753" s="1832">
        <f>'Tax Sched 23'!B12</f>
        <v>7781</v>
      </c>
      <c r="C1753" s="2" t="s">
        <v>569</v>
      </c>
      <c r="D1753" s="2" t="str">
        <f t="shared" si="26"/>
        <v>Error?</v>
      </c>
    </row>
    <row r="1754" spans="1:5" x14ac:dyDescent="0.2">
      <c r="A1754" s="5">
        <v>1693</v>
      </c>
      <c r="B1754" s="1832">
        <f>'Tax Sched 23'!B14</f>
        <v>3112</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487710</v>
      </c>
      <c r="C1759" s="2" t="s">
        <v>569</v>
      </c>
      <c r="D1759" s="2" t="str">
        <f t="shared" si="26"/>
        <v>Error?</v>
      </c>
    </row>
    <row r="1760" spans="1:5" x14ac:dyDescent="0.2">
      <c r="A1760" s="5">
        <v>1699</v>
      </c>
      <c r="B1760" s="1832">
        <f>'Tax Sched 23'!D4</f>
        <v>182070</v>
      </c>
      <c r="C1760" s="2" t="s">
        <v>569</v>
      </c>
      <c r="D1760" s="2" t="str">
        <f t="shared" si="26"/>
        <v>Error?</v>
      </c>
    </row>
    <row r="1761" spans="1:7" x14ac:dyDescent="0.2">
      <c r="A1761" s="5">
        <v>1700</v>
      </c>
      <c r="B1761" s="1832">
        <f>'Tax Sched 23'!D5</f>
        <v>38904</v>
      </c>
      <c r="C1761" s="2" t="s">
        <v>569</v>
      </c>
      <c r="D1761" s="2" t="str">
        <f t="shared" si="26"/>
        <v>Error?</v>
      </c>
    </row>
    <row r="1762" spans="1:7" s="8" customFormat="1" x14ac:dyDescent="0.2">
      <c r="A1762" s="5">
        <v>1701</v>
      </c>
      <c r="B1762" s="1832">
        <f>'Tax Sched 23'!D6</f>
        <v>62100</v>
      </c>
      <c r="C1762" s="2" t="s">
        <v>569</v>
      </c>
      <c r="D1762" s="2" t="str">
        <f t="shared" si="26"/>
        <v>Error?</v>
      </c>
      <c r="E1762" s="9"/>
      <c r="G1762"/>
    </row>
    <row r="1763" spans="1:7" x14ac:dyDescent="0.2">
      <c r="A1763" s="5">
        <v>1702</v>
      </c>
      <c r="B1763" s="1832">
        <f>'Tax Sched 23'!D7</f>
        <v>18674</v>
      </c>
      <c r="C1763" s="2" t="s">
        <v>569</v>
      </c>
      <c r="D1763" s="2" t="str">
        <f t="shared" si="26"/>
        <v>Error?</v>
      </c>
    </row>
    <row r="1764" spans="1:7" x14ac:dyDescent="0.2">
      <c r="A1764" s="5">
        <v>1703</v>
      </c>
      <c r="B1764" s="1832">
        <f>'Tax Sched 23'!D8</f>
        <v>39989</v>
      </c>
      <c r="C1764" s="2" t="s">
        <v>569</v>
      </c>
      <c r="D1764" s="2" t="str">
        <f t="shared" si="26"/>
        <v>Error?</v>
      </c>
    </row>
    <row r="1765" spans="1:7" x14ac:dyDescent="0.2">
      <c r="A1765" s="5">
        <v>1704</v>
      </c>
      <c r="B1765" s="1832">
        <f>'Tax Sched 23'!D10</f>
        <v>7781</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69531</v>
      </c>
      <c r="C1768" s="2" t="s">
        <v>569</v>
      </c>
      <c r="D1768" s="2" t="str">
        <f t="shared" si="26"/>
        <v>Error?</v>
      </c>
    </row>
    <row r="1769" spans="1:7" x14ac:dyDescent="0.2">
      <c r="A1769" s="5">
        <v>1708</v>
      </c>
      <c r="B1769" s="1832">
        <f>'Tax Sched 23'!D12</f>
        <v>7781</v>
      </c>
      <c r="C1769" s="2" t="s">
        <v>569</v>
      </c>
      <c r="D1769" s="2" t="str">
        <f t="shared" si="26"/>
        <v>Error?</v>
      </c>
    </row>
    <row r="1770" spans="1:7" x14ac:dyDescent="0.2">
      <c r="A1770" s="5">
        <v>1709</v>
      </c>
      <c r="B1770" s="1832">
        <f>'Tax Sched 23'!D14</f>
        <v>3112</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487710</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185401</v>
      </c>
      <c r="C1792" s="2" t="s">
        <v>569</v>
      </c>
      <c r="D1792" s="2" t="str">
        <f t="shared" si="27"/>
        <v>Error?</v>
      </c>
    </row>
    <row r="1793" spans="1:4" x14ac:dyDescent="0.2">
      <c r="A1793" s="5">
        <v>1732</v>
      </c>
      <c r="B1793" s="1832">
        <f>'Tax Sched 23'!F5</f>
        <v>39616</v>
      </c>
      <c r="C1793" s="2" t="s">
        <v>569</v>
      </c>
      <c r="D1793" s="2" t="str">
        <f t="shared" si="27"/>
        <v>Error?</v>
      </c>
    </row>
    <row r="1794" spans="1:4" x14ac:dyDescent="0.2">
      <c r="A1794" s="5">
        <v>1733</v>
      </c>
      <c r="B1794" s="1832">
        <f>'Tax Sched 23'!F6</f>
        <v>63672</v>
      </c>
      <c r="C1794" s="2" t="s">
        <v>569</v>
      </c>
      <c r="D1794" s="2" t="str">
        <f t="shared" si="27"/>
        <v>Error?</v>
      </c>
    </row>
    <row r="1795" spans="1:4" x14ac:dyDescent="0.2">
      <c r="A1795" s="5">
        <v>1734</v>
      </c>
      <c r="B1795" s="1832">
        <f>'Tax Sched 23'!F7</f>
        <v>19015</v>
      </c>
      <c r="C1795" s="2" t="s">
        <v>569</v>
      </c>
      <c r="D1795" s="2" t="str">
        <f t="shared" si="27"/>
        <v>Error?</v>
      </c>
    </row>
    <row r="1796" spans="1:4" x14ac:dyDescent="0.2">
      <c r="A1796" s="5">
        <v>1735</v>
      </c>
      <c r="B1796" s="1832">
        <f>'Tax Sched 23'!F8</f>
        <v>41821</v>
      </c>
      <c r="C1796" s="2" t="s">
        <v>569</v>
      </c>
      <c r="D1796" s="2" t="str">
        <f t="shared" si="27"/>
        <v>Error?</v>
      </c>
    </row>
    <row r="1797" spans="1:4" x14ac:dyDescent="0.2">
      <c r="A1797" s="5">
        <v>1736</v>
      </c>
      <c r="B1797" s="1832">
        <f>'Tax Sched 23'!F10</f>
        <v>7923</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76501</v>
      </c>
      <c r="C1800" s="2" t="s">
        <v>569</v>
      </c>
      <c r="D1800" s="2" t="str">
        <f t="shared" si="27"/>
        <v>Error?</v>
      </c>
    </row>
    <row r="1801" spans="1:4" x14ac:dyDescent="0.2">
      <c r="A1801" s="5">
        <v>1740</v>
      </c>
      <c r="B1801" s="1832">
        <f>'Tax Sched 23'!F12</f>
        <v>7923</v>
      </c>
      <c r="C1801" s="2" t="s">
        <v>569</v>
      </c>
      <c r="D1801" s="2" t="str">
        <f t="shared" si="27"/>
        <v>Error?</v>
      </c>
    </row>
    <row r="1802" spans="1:4" x14ac:dyDescent="0.2">
      <c r="A1802" s="5">
        <v>1741</v>
      </c>
      <c r="B1802" s="1832">
        <f>'Tax Sched 23'!F14</f>
        <v>3169</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503965</v>
      </c>
      <c r="C1807" s="2" t="s">
        <v>569</v>
      </c>
      <c r="D1807" s="2" t="str">
        <f t="shared" si="27"/>
        <v>Error?</v>
      </c>
    </row>
    <row r="1808" spans="1:4" x14ac:dyDescent="0.2">
      <c r="A1808" s="5">
        <v>1747</v>
      </c>
      <c r="B1808" s="1832">
        <f>'Tax Sched 23'!E4</f>
        <v>185401</v>
      </c>
      <c r="D1808" s="2" t="str">
        <f t="shared" si="27"/>
        <v>Error?</v>
      </c>
    </row>
    <row r="1809" spans="1:4" x14ac:dyDescent="0.2">
      <c r="A1809" s="5">
        <v>1748</v>
      </c>
      <c r="B1809" s="1832">
        <f>'Tax Sched 23'!E5</f>
        <v>39616</v>
      </c>
      <c r="D1809" s="2" t="str">
        <f t="shared" si="27"/>
        <v>Error?</v>
      </c>
    </row>
    <row r="1810" spans="1:4" x14ac:dyDescent="0.2">
      <c r="A1810" s="5">
        <v>1749</v>
      </c>
      <c r="B1810" s="1832">
        <f>'Tax Sched 23'!E6</f>
        <v>63672</v>
      </c>
      <c r="D1810" s="2" t="str">
        <f t="shared" si="27"/>
        <v>Error?</v>
      </c>
    </row>
    <row r="1811" spans="1:4" x14ac:dyDescent="0.2">
      <c r="A1811" s="5">
        <v>1750</v>
      </c>
      <c r="B1811" s="1832">
        <f>'Tax Sched 23'!E7</f>
        <v>19015</v>
      </c>
      <c r="D1811" s="2" t="str">
        <f t="shared" si="27"/>
        <v>Error?</v>
      </c>
    </row>
    <row r="1812" spans="1:4" x14ac:dyDescent="0.2">
      <c r="A1812" s="5">
        <v>1751</v>
      </c>
      <c r="B1812" s="1832">
        <f>'Tax Sched 23'!E8</f>
        <v>41821</v>
      </c>
      <c r="D1812" s="2" t="str">
        <f t="shared" si="27"/>
        <v>Error?</v>
      </c>
    </row>
    <row r="1813" spans="1:4" x14ac:dyDescent="0.2">
      <c r="A1813" s="5">
        <v>1752</v>
      </c>
      <c r="B1813" s="1832">
        <f>'Tax Sched 23'!E10</f>
        <v>7923</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76501</v>
      </c>
      <c r="D1816" s="2" t="str">
        <f t="shared" si="27"/>
        <v>Error?</v>
      </c>
    </row>
    <row r="1817" spans="1:4" x14ac:dyDescent="0.2">
      <c r="A1817" s="5">
        <v>1756</v>
      </c>
      <c r="B1817" s="1832">
        <f>'Tax Sched 23'!E12</f>
        <v>7923</v>
      </c>
      <c r="D1817" s="2" t="str">
        <f t="shared" si="27"/>
        <v>Error?</v>
      </c>
    </row>
    <row r="1818" spans="1:4" x14ac:dyDescent="0.2">
      <c r="A1818" s="5">
        <v>1757</v>
      </c>
      <c r="B1818" s="1832">
        <f>'Tax Sched 23'!E14</f>
        <v>3169</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503965</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288150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3112</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3112</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3112</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22962</v>
      </c>
      <c r="D2008" s="2" t="str">
        <f t="shared" si="30"/>
        <v>Error?</v>
      </c>
    </row>
    <row r="2009" spans="1:4" x14ac:dyDescent="0.2">
      <c r="A2009" s="5">
        <v>1948</v>
      </c>
      <c r="B2009" s="1832">
        <f>'Cap Outlay Deprec 26'!C8</f>
        <v>3483386</v>
      </c>
      <c r="D2009" s="2" t="str">
        <f t="shared" si="30"/>
        <v>Error?</v>
      </c>
    </row>
    <row r="2010" spans="1:4" x14ac:dyDescent="0.2">
      <c r="A2010" s="5">
        <v>1949</v>
      </c>
      <c r="B2010" s="1832">
        <f>'Cap Outlay Deprec 26'!C10</f>
        <v>325709</v>
      </c>
      <c r="D2010" s="2" t="str">
        <f t="shared" si="30"/>
        <v>Error?</v>
      </c>
    </row>
    <row r="2011" spans="1:4" x14ac:dyDescent="0.2">
      <c r="A2011" s="5">
        <v>1950</v>
      </c>
      <c r="B2011" s="1832">
        <f>'Cap Outlay Deprec 26'!C12</f>
        <v>198224</v>
      </c>
      <c r="D2011" s="2" t="str">
        <f t="shared" si="30"/>
        <v>Error?</v>
      </c>
    </row>
    <row r="2012" spans="1:4" x14ac:dyDescent="0.2">
      <c r="A2012" s="5">
        <v>1951</v>
      </c>
      <c r="B2012" s="1832">
        <f>'Cap Outlay Deprec 26'!C13</f>
        <v>139622</v>
      </c>
      <c r="D2012" s="2" t="str">
        <f t="shared" si="30"/>
        <v>Error?</v>
      </c>
    </row>
    <row r="2013" spans="1:4" x14ac:dyDescent="0.2">
      <c r="A2013" s="5">
        <v>1952</v>
      </c>
      <c r="B2013" s="1832">
        <f>'Cap Outlay Deprec 26'!C16</f>
        <v>4200970</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206443</v>
      </c>
      <c r="D2016" s="2" t="str">
        <f t="shared" si="30"/>
        <v>Error?</v>
      </c>
    </row>
    <row r="2017" spans="1:4" x14ac:dyDescent="0.2">
      <c r="A2017" s="5">
        <v>1956</v>
      </c>
      <c r="B2017" s="1832">
        <f>'Cap Outlay Deprec 26'!D12</f>
        <v>28308</v>
      </c>
      <c r="D2017" s="2" t="str">
        <f t="shared" si="30"/>
        <v>Error?</v>
      </c>
    </row>
    <row r="2018" spans="1:4" x14ac:dyDescent="0.2">
      <c r="A2018" s="5">
        <v>1957</v>
      </c>
      <c r="B2018" s="1832">
        <f>'Cap Outlay Deprec 26'!D13</f>
        <v>9768</v>
      </c>
      <c r="D2018" s="2" t="str">
        <f t="shared" si="30"/>
        <v>Error?</v>
      </c>
    </row>
    <row r="2019" spans="1:4" x14ac:dyDescent="0.2">
      <c r="A2019" s="5">
        <v>1958</v>
      </c>
      <c r="B2019" s="1832">
        <f>'Cap Outlay Deprec 26'!D16</f>
        <v>253860</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52205</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2500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54705</v>
      </c>
      <c r="C2025" s="2" t="s">
        <v>569</v>
      </c>
      <c r="D2025" s="2" t="str">
        <f t="shared" si="30"/>
        <v>Error?</v>
      </c>
    </row>
    <row r="2026" spans="1:4" x14ac:dyDescent="0.2">
      <c r="A2026" s="5">
        <v>1965</v>
      </c>
      <c r="B2026" s="1832">
        <f>'Cap Outlay Deprec 26'!F5</f>
        <v>22962</v>
      </c>
      <c r="C2026" s="2" t="s">
        <v>569</v>
      </c>
      <c r="D2026" s="2" t="str">
        <f t="shared" si="30"/>
        <v>Error?</v>
      </c>
    </row>
    <row r="2027" spans="1:4" x14ac:dyDescent="0.2">
      <c r="A2027" s="5">
        <v>1966</v>
      </c>
      <c r="B2027" s="1832">
        <f>'Cap Outlay Deprec 26'!F8</f>
        <v>3431181</v>
      </c>
      <c r="C2027" s="2" t="s">
        <v>569</v>
      </c>
      <c r="D2027" s="2" t="str">
        <f t="shared" si="30"/>
        <v>Error?</v>
      </c>
    </row>
    <row r="2028" spans="1:4" x14ac:dyDescent="0.2">
      <c r="A2028" s="5">
        <v>1967</v>
      </c>
      <c r="B2028" s="1832">
        <f>'Cap Outlay Deprec 26'!F10</f>
        <v>532152</v>
      </c>
      <c r="C2028" s="2" t="s">
        <v>569</v>
      </c>
      <c r="D2028" s="2" t="str">
        <f t="shared" si="30"/>
        <v>Error?</v>
      </c>
    </row>
    <row r="2029" spans="1:4" x14ac:dyDescent="0.2">
      <c r="A2029" s="5">
        <v>1968</v>
      </c>
      <c r="B2029" s="1832">
        <f>'Cap Outlay Deprec 26'!F12</f>
        <v>224032</v>
      </c>
      <c r="C2029" s="2" t="s">
        <v>569</v>
      </c>
      <c r="D2029" s="2" t="str">
        <f t="shared" si="30"/>
        <v>Error?</v>
      </c>
    </row>
    <row r="2030" spans="1:4" x14ac:dyDescent="0.2">
      <c r="A2030" s="5">
        <v>1969</v>
      </c>
      <c r="B2030" s="1832">
        <f>'Cap Outlay Deprec 26'!F13</f>
        <v>149390</v>
      </c>
      <c r="C2030" s="2" t="s">
        <v>569</v>
      </c>
      <c r="D2030" s="2" t="str">
        <f t="shared" si="30"/>
        <v>Error?</v>
      </c>
    </row>
    <row r="2031" spans="1:4" x14ac:dyDescent="0.2">
      <c r="A2031" s="5">
        <v>1970</v>
      </c>
      <c r="B2031" s="1832">
        <f>'Cap Outlay Deprec 26'!F16</f>
        <v>4400125</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1370168</v>
      </c>
      <c r="D2033" s="2" t="str">
        <f t="shared" si="30"/>
        <v>Error?</v>
      </c>
    </row>
    <row r="2034" spans="1:4" x14ac:dyDescent="0.2">
      <c r="A2034" s="5">
        <v>1973</v>
      </c>
      <c r="B2034" s="1832">
        <f>'Cap Outlay Deprec 26'!H10</f>
        <v>51218</v>
      </c>
      <c r="D2034" s="2" t="str">
        <f t="shared" si="30"/>
        <v>Error?</v>
      </c>
    </row>
    <row r="2035" spans="1:4" x14ac:dyDescent="0.2">
      <c r="A2035" s="5">
        <v>1974</v>
      </c>
      <c r="B2035" s="1832">
        <f>'Cap Outlay Deprec 26'!H12</f>
        <v>90650</v>
      </c>
      <c r="D2035" s="2" t="str">
        <f t="shared" si="30"/>
        <v>Error?</v>
      </c>
    </row>
    <row r="2036" spans="1:4" x14ac:dyDescent="0.2">
      <c r="A2036" s="5">
        <v>1975</v>
      </c>
      <c r="B2036" s="1832">
        <f>'Cap Outlay Deprec 26'!H13</f>
        <v>107272</v>
      </c>
      <c r="D2036" s="2" t="str">
        <f t="shared" si="30"/>
        <v>Error?</v>
      </c>
    </row>
    <row r="2037" spans="1:4" x14ac:dyDescent="0.2">
      <c r="A2037" s="5">
        <v>1976</v>
      </c>
      <c r="B2037" s="1832">
        <f>'Cap Outlay Deprec 26'!H16</f>
        <v>1629664</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68625</v>
      </c>
      <c r="D2039" s="2" t="str">
        <f t="shared" si="30"/>
        <v>Error?</v>
      </c>
    </row>
    <row r="2040" spans="1:4" x14ac:dyDescent="0.2">
      <c r="A2040" s="5">
        <v>1979</v>
      </c>
      <c r="B2040" s="1832">
        <f>'Cap Outlay Deprec 26'!I10</f>
        <v>26608</v>
      </c>
      <c r="D2040" s="2" t="str">
        <f t="shared" si="30"/>
        <v>Error?</v>
      </c>
    </row>
    <row r="2041" spans="1:4" x14ac:dyDescent="0.2">
      <c r="A2041" s="5">
        <v>1980</v>
      </c>
      <c r="B2041" s="1832">
        <f>'Cap Outlay Deprec 26'!I12</f>
        <v>22400</v>
      </c>
      <c r="D2041" s="2" t="str">
        <f t="shared" si="30"/>
        <v>Error?</v>
      </c>
    </row>
    <row r="2042" spans="1:4" x14ac:dyDescent="0.2">
      <c r="A2042" s="5">
        <v>1981</v>
      </c>
      <c r="B2042" s="1832">
        <f>'Cap Outlay Deprec 26'!I13</f>
        <v>14297</v>
      </c>
      <c r="D2042" s="2" t="str">
        <f t="shared" si="30"/>
        <v>Error?</v>
      </c>
    </row>
    <row r="2043" spans="1:4" x14ac:dyDescent="0.2">
      <c r="A2043" s="5">
        <v>1982</v>
      </c>
      <c r="B2043" s="1832">
        <f>'Cap Outlay Deprec 26'!I16</f>
        <v>145400</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52205</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2500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54705</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1386588</v>
      </c>
      <c r="C2051" s="2" t="s">
        <v>569</v>
      </c>
      <c r="D2051" s="2" t="str">
        <f t="shared" si="31"/>
        <v>Error?</v>
      </c>
    </row>
    <row r="2052" spans="1:4" x14ac:dyDescent="0.2">
      <c r="A2052" s="5">
        <v>1991</v>
      </c>
      <c r="B2052" s="1832">
        <f>'Cap Outlay Deprec 26'!K10</f>
        <v>77826</v>
      </c>
      <c r="C2052" s="2" t="s">
        <v>569</v>
      </c>
      <c r="D2052" s="2" t="str">
        <f t="shared" si="31"/>
        <v>Error?</v>
      </c>
    </row>
    <row r="2053" spans="1:4" x14ac:dyDescent="0.2">
      <c r="A2053" s="5">
        <v>1992</v>
      </c>
      <c r="B2053" s="1832">
        <f>'Cap Outlay Deprec 26'!K12</f>
        <v>110550</v>
      </c>
      <c r="C2053" s="2" t="s">
        <v>569</v>
      </c>
      <c r="D2053" s="2" t="str">
        <f t="shared" si="31"/>
        <v>Error?</v>
      </c>
    </row>
    <row r="2054" spans="1:4" x14ac:dyDescent="0.2">
      <c r="A2054" s="5">
        <v>1993</v>
      </c>
      <c r="B2054" s="1832">
        <f>'Cap Outlay Deprec 26'!K13</f>
        <v>121569</v>
      </c>
      <c r="C2054" s="2" t="s">
        <v>569</v>
      </c>
      <c r="D2054" s="2" t="str">
        <f t="shared" si="31"/>
        <v>Error?</v>
      </c>
    </row>
    <row r="2055" spans="1:4" x14ac:dyDescent="0.2">
      <c r="A2055" s="5">
        <v>1994</v>
      </c>
      <c r="B2055" s="1832">
        <f>'Cap Outlay Deprec 26'!K16</f>
        <v>1720359</v>
      </c>
      <c r="C2055" s="2" t="s">
        <v>569</v>
      </c>
      <c r="D2055" s="2" t="str">
        <f t="shared" si="31"/>
        <v>Error?</v>
      </c>
    </row>
    <row r="2056" spans="1:4" x14ac:dyDescent="0.2">
      <c r="A2056" s="5">
        <v>1995</v>
      </c>
      <c r="B2056" s="1832">
        <f>'Cap Outlay Deprec 26'!L5</f>
        <v>22962</v>
      </c>
      <c r="C2056" s="2" t="s">
        <v>569</v>
      </c>
      <c r="D2056" s="2" t="str">
        <f t="shared" si="31"/>
        <v>Error?</v>
      </c>
    </row>
    <row r="2057" spans="1:4" x14ac:dyDescent="0.2">
      <c r="A2057" s="5">
        <v>1996</v>
      </c>
      <c r="B2057" s="1832">
        <f>'Cap Outlay Deprec 26'!L8</f>
        <v>2044593</v>
      </c>
      <c r="C2057" s="2" t="s">
        <v>569</v>
      </c>
      <c r="D2057" s="2" t="str">
        <f t="shared" si="31"/>
        <v>Error?</v>
      </c>
    </row>
    <row r="2058" spans="1:4" x14ac:dyDescent="0.2">
      <c r="A2058" s="5">
        <v>1997</v>
      </c>
      <c r="B2058" s="1832">
        <f>'Cap Outlay Deprec 26'!L10</f>
        <v>454326</v>
      </c>
      <c r="C2058" s="2" t="s">
        <v>569</v>
      </c>
      <c r="D2058" s="2" t="str">
        <f t="shared" si="31"/>
        <v>Error?</v>
      </c>
    </row>
    <row r="2059" spans="1:4" x14ac:dyDescent="0.2">
      <c r="A2059" s="5">
        <v>1998</v>
      </c>
      <c r="B2059" s="1832">
        <f>'Cap Outlay Deprec 26'!L12</f>
        <v>113482</v>
      </c>
      <c r="C2059" s="2" t="s">
        <v>569</v>
      </c>
      <c r="D2059" s="2" t="str">
        <f t="shared" si="31"/>
        <v>Error?</v>
      </c>
    </row>
    <row r="2060" spans="1:4" x14ac:dyDescent="0.2">
      <c r="A2060" s="5">
        <v>1999</v>
      </c>
      <c r="B2060" s="1832">
        <f>'Cap Outlay Deprec 26'!L13</f>
        <v>27821</v>
      </c>
      <c r="C2060" s="2" t="s">
        <v>569</v>
      </c>
      <c r="D2060" s="2" t="str">
        <f t="shared" si="31"/>
        <v>Error?</v>
      </c>
    </row>
    <row r="2061" spans="1:4" x14ac:dyDescent="0.2">
      <c r="A2061" s="5">
        <v>2000</v>
      </c>
      <c r="B2061" s="1832">
        <f>'Cap Outlay Deprec 26'!L16</f>
        <v>2679766</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16232</v>
      </c>
      <c r="C2088" s="2" t="s">
        <v>569</v>
      </c>
      <c r="D2088" s="2" t="str">
        <f t="shared" si="31"/>
        <v>Error?</v>
      </c>
    </row>
    <row r="2089" spans="1:4" x14ac:dyDescent="0.2">
      <c r="A2089" s="5">
        <v>2028</v>
      </c>
      <c r="B2089" s="1832">
        <f>'Expenditures 15-22'!K92</f>
        <v>510609</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17260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17260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100000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12353</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7022</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232314</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1713676</v>
      </c>
      <c r="C2553" s="2" t="s">
        <v>569</v>
      </c>
      <c r="D2553" s="2" t="str">
        <f t="shared" si="38"/>
        <v>Error?</v>
      </c>
    </row>
    <row r="2554" spans="1:4" x14ac:dyDescent="0.2">
      <c r="A2554" s="5">
        <v>2493</v>
      </c>
      <c r="B2554" s="1832">
        <f>'Acct Summary 7-8'!C7</f>
        <v>425118</v>
      </c>
      <c r="C2554" s="2" t="s">
        <v>569</v>
      </c>
      <c r="D2554" s="2" t="str">
        <f t="shared" si="38"/>
        <v>Error?</v>
      </c>
    </row>
    <row r="2555" spans="1:4" x14ac:dyDescent="0.2">
      <c r="A2555" s="5">
        <v>2494</v>
      </c>
      <c r="B2555" s="1832">
        <f>'Acct Summary 7-8'!C8</f>
        <v>2371108</v>
      </c>
      <c r="C2555" s="2" t="s">
        <v>569</v>
      </c>
      <c r="D2555" s="2" t="str">
        <f t="shared" si="38"/>
        <v>Error?</v>
      </c>
    </row>
    <row r="2556" spans="1:4" x14ac:dyDescent="0.2">
      <c r="A2556" s="5">
        <v>2495</v>
      </c>
      <c r="B2556" s="1832">
        <f>'Acct Summary 7-8'!C12</f>
        <v>1222407</v>
      </c>
      <c r="C2556" s="2" t="s">
        <v>569</v>
      </c>
      <c r="D2556" s="2" t="str">
        <f t="shared" si="38"/>
        <v>Error?</v>
      </c>
    </row>
    <row r="2557" spans="1:4" x14ac:dyDescent="0.2">
      <c r="A2557" s="5">
        <v>2496</v>
      </c>
      <c r="B2557" s="1832">
        <f>'Acct Summary 7-8'!C13</f>
        <v>678458</v>
      </c>
      <c r="C2557" s="2" t="s">
        <v>569</v>
      </c>
      <c r="D2557" s="2" t="str">
        <f t="shared" si="38"/>
        <v>Error?</v>
      </c>
    </row>
    <row r="2558" spans="1:4" x14ac:dyDescent="0.2">
      <c r="A2558" s="5">
        <v>2497</v>
      </c>
      <c r="B2558" s="1832">
        <f>'Acct Summary 7-8'!C14</f>
        <v>1002</v>
      </c>
      <c r="C2558" s="2" t="s">
        <v>569</v>
      </c>
      <c r="D2558" s="2" t="str">
        <f t="shared" si="38"/>
        <v>Error?</v>
      </c>
    </row>
    <row r="2559" spans="1:4" x14ac:dyDescent="0.2">
      <c r="A2559" s="5">
        <v>2498</v>
      </c>
      <c r="B2559" s="1832">
        <f>'Acct Summary 7-8'!C15</f>
        <v>526841</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2428708</v>
      </c>
      <c r="C2561" s="2" t="s">
        <v>569</v>
      </c>
      <c r="D2561" s="2" t="str">
        <f t="shared" si="39"/>
        <v>Error?</v>
      </c>
    </row>
    <row r="2562" spans="1:4" x14ac:dyDescent="0.2">
      <c r="A2562" s="5">
        <v>2501</v>
      </c>
      <c r="B2562" s="1832">
        <f>'Acct Summary 7-8'!C20</f>
        <v>-57600</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135124</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135124</v>
      </c>
      <c r="C2568" s="2" t="s">
        <v>569</v>
      </c>
      <c r="D2568" s="2" t="str">
        <f t="shared" si="39"/>
        <v>Error?</v>
      </c>
    </row>
    <row r="2569" spans="1:4" x14ac:dyDescent="0.2">
      <c r="A2569" s="5">
        <v>2508</v>
      </c>
      <c r="B2569" s="1832">
        <f>'Acct Summary 7-8'!D13</f>
        <v>62553</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17260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79813</v>
      </c>
      <c r="C2573" s="2" t="s">
        <v>569</v>
      </c>
      <c r="D2573" s="2" t="str">
        <f t="shared" si="39"/>
        <v>Error?</v>
      </c>
    </row>
    <row r="2574" spans="1:4" x14ac:dyDescent="0.2">
      <c r="A2574" s="5">
        <v>2513</v>
      </c>
      <c r="B2574" s="1832">
        <f>'Acct Summary 7-8'!D20</f>
        <v>55311</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23832</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152670</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176502</v>
      </c>
      <c r="C2595" s="2" t="s">
        <v>569</v>
      </c>
      <c r="D2595" s="2" t="str">
        <f t="shared" si="39"/>
        <v>Error?</v>
      </c>
    </row>
    <row r="2596" spans="1:4" x14ac:dyDescent="0.2">
      <c r="A2596" s="5">
        <v>2535</v>
      </c>
      <c r="B2596" s="1832">
        <f>'Acct Summary 7-8'!F13</f>
        <v>174456</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174456</v>
      </c>
      <c r="C2600" s="2" t="s">
        <v>569</v>
      </c>
      <c r="D2600" s="2" t="str">
        <f t="shared" si="39"/>
        <v>Error?</v>
      </c>
    </row>
    <row r="2601" spans="1:4" x14ac:dyDescent="0.2">
      <c r="A2601" s="5">
        <v>2540</v>
      </c>
      <c r="B2601" s="1832">
        <f>'Acct Summary 7-8'!F20</f>
        <v>2046</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90781</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90781</v>
      </c>
      <c r="C2606" s="2" t="s">
        <v>569</v>
      </c>
      <c r="D2606" s="2" t="str">
        <f t="shared" si="39"/>
        <v>Error?</v>
      </c>
    </row>
    <row r="2607" spans="1:4" x14ac:dyDescent="0.2">
      <c r="A2607" s="5">
        <v>2546</v>
      </c>
      <c r="B2607" s="1832">
        <f>'Acct Summary 7-8'!G12</f>
        <v>32481</v>
      </c>
      <c r="C2607" s="2" t="s">
        <v>569</v>
      </c>
      <c r="D2607" s="2" t="str">
        <f t="shared" si="39"/>
        <v>Error?</v>
      </c>
    </row>
    <row r="2608" spans="1:4" x14ac:dyDescent="0.2">
      <c r="A2608" s="5">
        <v>2547</v>
      </c>
      <c r="B2608" s="1832">
        <f>'Acct Summary 7-8'!G13</f>
        <v>50976</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96359</v>
      </c>
      <c r="C2612" s="2" t="s">
        <v>569</v>
      </c>
      <c r="D2612" s="2" t="str">
        <f t="shared" si="39"/>
        <v>Error?</v>
      </c>
    </row>
    <row r="2613" spans="1:4" x14ac:dyDescent="0.2">
      <c r="A2613" s="5">
        <v>2552</v>
      </c>
      <c r="B2613" s="1832">
        <f>'Acct Summary 7-8'!G20</f>
        <v>-5578</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127540</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127540</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102248</v>
      </c>
      <c r="C2634" s="2" t="s">
        <v>569</v>
      </c>
      <c r="D2634" s="2" t="str">
        <f t="shared" si="40"/>
        <v>Error?</v>
      </c>
    </row>
    <row r="2635" spans="1:4" x14ac:dyDescent="0.2">
      <c r="A2635" s="5">
        <v>2574</v>
      </c>
      <c r="B2635" s="1832">
        <f>'Acct Summary 7-8'!E17</f>
        <v>102248</v>
      </c>
      <c r="C2635" s="2" t="s">
        <v>569</v>
      </c>
      <c r="D2635" s="2" t="str">
        <f t="shared" si="40"/>
        <v>Error?</v>
      </c>
    </row>
    <row r="2636" spans="1:4" x14ac:dyDescent="0.2">
      <c r="A2636" s="5">
        <v>2575</v>
      </c>
      <c r="B2636" s="1832">
        <f>'Acct Summary 7-8'!E20</f>
        <v>25292</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5599</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5599</v>
      </c>
      <c r="C2658" s="2" t="s">
        <v>569</v>
      </c>
      <c r="D2658" s="2" t="str">
        <f t="shared" si="40"/>
        <v>Error?</v>
      </c>
    </row>
    <row r="2659" spans="1:4" x14ac:dyDescent="0.2">
      <c r="A2659" s="5">
        <v>2598</v>
      </c>
      <c r="B2659" s="1832">
        <f>'Acct Summary 7-8'!H13</f>
        <v>209501</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209501</v>
      </c>
      <c r="C2661" s="2" t="s">
        <v>569</v>
      </c>
      <c r="D2661" s="2" t="str">
        <f t="shared" si="40"/>
        <v>Error?</v>
      </c>
    </row>
    <row r="2662" spans="1:4" x14ac:dyDescent="0.2">
      <c r="A2662" s="5">
        <v>2601</v>
      </c>
      <c r="B2662" s="1832">
        <f>'Acct Summary 7-8'!H20</f>
        <v>-203902</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16232</v>
      </c>
      <c r="C2789" s="2" t="s">
        <v>569</v>
      </c>
      <c r="D2789" s="2" t="str">
        <f t="shared" si="42"/>
        <v>Error?</v>
      </c>
    </row>
    <row r="2790" spans="1:4" x14ac:dyDescent="0.2">
      <c r="A2790" s="5">
        <v>2729</v>
      </c>
      <c r="B2790" s="1832">
        <f>'Expenditures 15-22'!E102</f>
        <v>16232</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2370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44455</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58409</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18863</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58409</v>
      </c>
      <c r="D2912" s="2" t="str">
        <f t="shared" si="44"/>
        <v>Error?</v>
      </c>
    </row>
    <row r="2913" spans="1:4" x14ac:dyDescent="0.2">
      <c r="A2913" s="5">
        <v>2852</v>
      </c>
      <c r="B2913" s="1832">
        <f>'Assets-Liab 5-6'!I41</f>
        <v>58409</v>
      </c>
      <c r="C2913" s="2" t="s">
        <v>569</v>
      </c>
      <c r="D2913" s="2" t="str">
        <f t="shared" si="44"/>
        <v>Error?</v>
      </c>
    </row>
    <row r="2914" spans="1:4" x14ac:dyDescent="0.2">
      <c r="A2914" s="5">
        <v>2853</v>
      </c>
      <c r="B2914" s="1832">
        <f>'Assets-Liab 5-6'!L33</f>
        <v>18863</v>
      </c>
      <c r="D2914" s="2" t="str">
        <f t="shared" si="44"/>
        <v>Error?</v>
      </c>
    </row>
    <row r="2915" spans="1:4" x14ac:dyDescent="0.2">
      <c r="A2915" s="10">
        <v>2854</v>
      </c>
      <c r="B2915" s="1832"/>
      <c r="D2915" s="2" t="str">
        <f t="shared" si="44"/>
        <v>OK</v>
      </c>
    </row>
    <row r="2916" spans="1:4" x14ac:dyDescent="0.2">
      <c r="A2916" s="5">
        <v>2855</v>
      </c>
      <c r="B2916" s="1832">
        <f>'Assets-Liab 5-6'!L34</f>
        <v>18863</v>
      </c>
      <c r="C2916" s="2" t="s">
        <v>569</v>
      </c>
      <c r="D2916" s="2" t="str">
        <f t="shared" si="44"/>
        <v>Error?</v>
      </c>
    </row>
    <row r="2917" spans="1:4" x14ac:dyDescent="0.2">
      <c r="A2917" s="5">
        <v>2856</v>
      </c>
      <c r="B2917" s="1832">
        <f>'Assets-Liab 5-6'!L41</f>
        <v>18863</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16232</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16232</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17260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17260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11267</v>
      </c>
      <c r="D3055" s="2" t="str">
        <f t="shared" si="46"/>
        <v>Error?</v>
      </c>
    </row>
    <row r="3056" spans="1:4" x14ac:dyDescent="0.2">
      <c r="A3056" s="5">
        <v>2995</v>
      </c>
      <c r="B3056" s="1832">
        <f>'Expenditures 15-22'!D10</f>
        <v>2083</v>
      </c>
      <c r="D3056" s="2" t="str">
        <f t="shared" si="46"/>
        <v>Error?</v>
      </c>
    </row>
    <row r="3057" spans="1:4" x14ac:dyDescent="0.2">
      <c r="A3057" s="5">
        <v>2996</v>
      </c>
      <c r="B3057" s="1832">
        <f>'Expenditures 15-22'!E10</f>
        <v>8006</v>
      </c>
      <c r="D3057" s="2" t="str">
        <f t="shared" si="46"/>
        <v>Error?</v>
      </c>
    </row>
    <row r="3058" spans="1:4" x14ac:dyDescent="0.2">
      <c r="A3058" s="5">
        <v>2997</v>
      </c>
      <c r="B3058" s="1832">
        <f>'Expenditures 15-22'!F10</f>
        <v>55862</v>
      </c>
      <c r="D3058" s="2" t="str">
        <f t="shared" si="46"/>
        <v>Error?</v>
      </c>
    </row>
    <row r="3059" spans="1:4" x14ac:dyDescent="0.2">
      <c r="A3059" s="5">
        <v>2998</v>
      </c>
      <c r="B3059" s="1832">
        <f>'Expenditures 15-22'!G10</f>
        <v>8520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85738</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631</v>
      </c>
      <c r="D3064" s="2" t="str">
        <f t="shared" si="46"/>
        <v>Error?</v>
      </c>
    </row>
    <row r="3065" spans="1:4" x14ac:dyDescent="0.2">
      <c r="A3065" s="5">
        <v>3004</v>
      </c>
      <c r="B3065" s="1832">
        <f>'Expenditures 15-22'!K219</f>
        <v>631</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8183</v>
      </c>
      <c r="C3225" s="2" t="s">
        <v>569</v>
      </c>
      <c r="D3225" s="2" t="str">
        <f t="shared" si="49"/>
        <v>Error?</v>
      </c>
    </row>
    <row r="3226" spans="1:4" x14ac:dyDescent="0.2">
      <c r="A3226" s="5">
        <v>3165</v>
      </c>
      <c r="B3226" s="1832">
        <f>'Acct Summary 7-8'!I8</f>
        <v>8183</v>
      </c>
      <c r="C3226" s="2" t="s">
        <v>569</v>
      </c>
      <c r="D3226" s="2" t="str">
        <f t="shared" si="49"/>
        <v>Error?</v>
      </c>
    </row>
    <row r="3227" spans="1:4" x14ac:dyDescent="0.2">
      <c r="A3227" s="5">
        <v>3166</v>
      </c>
      <c r="B3227" s="1832">
        <f>'Acct Summary 7-8'!I20</f>
        <v>8183</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-57600</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55311</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2046</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-5578</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25292</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100000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100000</v>
      </c>
      <c r="C3299" s="2" t="s">
        <v>569</v>
      </c>
      <c r="D3299" s="2" t="str">
        <f t="shared" si="50"/>
        <v>Error?</v>
      </c>
    </row>
    <row r="3300" spans="1:4" x14ac:dyDescent="0.2">
      <c r="A3300" s="5">
        <v>3239</v>
      </c>
      <c r="B3300" s="1832">
        <f>'Acct Summary 7-8'!H78</f>
        <v>-103902</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100000</v>
      </c>
      <c r="C3318" s="2" t="s">
        <v>569</v>
      </c>
      <c r="D3318" s="2" t="str">
        <f t="shared" si="50"/>
        <v>Error?</v>
      </c>
    </row>
    <row r="3319" spans="1:4" x14ac:dyDescent="0.2">
      <c r="A3319" s="5">
        <v>3258</v>
      </c>
      <c r="B3319" s="1832">
        <f>'Acct Summary 7-8'!I77</f>
        <v>-100000</v>
      </c>
      <c r="C3319" s="2" t="s">
        <v>569</v>
      </c>
      <c r="D3319" s="2" t="str">
        <f t="shared" si="50"/>
        <v>Error?</v>
      </c>
    </row>
    <row r="3320" spans="1:4" x14ac:dyDescent="0.2">
      <c r="A3320" s="5">
        <v>3259</v>
      </c>
      <c r="B3320" s="1832">
        <f>'Acct Summary 7-8'!I78</f>
        <v>-91817</v>
      </c>
      <c r="C3320" s="2" t="s">
        <v>569</v>
      </c>
      <c r="D3320" s="2" t="str">
        <f t="shared" si="50"/>
        <v>Error?</v>
      </c>
    </row>
    <row r="3321" spans="1:4" x14ac:dyDescent="0.2">
      <c r="A3321" s="5">
        <v>3260</v>
      </c>
      <c r="B3321" s="1832">
        <f>'Acct Summary 7-8'!I79</f>
        <v>150226</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58409</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102868</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18594</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5000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0</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27652</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154114</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15118</v>
      </c>
      <c r="D3387" s="2" t="str">
        <f t="shared" si="51"/>
        <v>Error?</v>
      </c>
    </row>
    <row r="3388" spans="1:4" x14ac:dyDescent="0.2">
      <c r="A3388" s="5">
        <v>3327</v>
      </c>
      <c r="B3388" s="1832">
        <f>'Expenditures 15-22'!D217</f>
        <v>11908</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15118</v>
      </c>
      <c r="C3390" s="2" t="s">
        <v>569</v>
      </c>
      <c r="D3390" s="2" t="str">
        <f t="shared" si="51"/>
        <v>Error?</v>
      </c>
    </row>
    <row r="3391" spans="1:4" x14ac:dyDescent="0.2">
      <c r="A3391" s="5">
        <v>3330</v>
      </c>
      <c r="B3391" s="1832">
        <f>'Expenditures 15-22'!K217</f>
        <v>11908</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255172</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100355</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29826</v>
      </c>
      <c r="D3417" s="2" t="str">
        <f t="shared" si="52"/>
        <v>Error?</v>
      </c>
    </row>
    <row r="3418" spans="1:4" x14ac:dyDescent="0.2">
      <c r="A3418" s="10">
        <v>3357</v>
      </c>
      <c r="B3418" s="1832"/>
      <c r="D3418" s="2" t="str">
        <f t="shared" si="52"/>
        <v>OK</v>
      </c>
    </row>
    <row r="3419" spans="1:4" x14ac:dyDescent="0.2">
      <c r="A3419" s="5">
        <v>3358</v>
      </c>
      <c r="B3419" s="1832">
        <f>'Assets-Liab 5-6'!F4</f>
        <v>81592</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17801</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18967</v>
      </c>
      <c r="D3425" s="2" t="str">
        <f t="shared" si="52"/>
        <v>Error?</v>
      </c>
    </row>
    <row r="3426" spans="1:4" x14ac:dyDescent="0.2">
      <c r="A3426" s="10">
        <v>3365</v>
      </c>
      <c r="B3426" s="1832"/>
      <c r="D3426" s="2" t="str">
        <f t="shared" si="52"/>
        <v>OK</v>
      </c>
    </row>
    <row r="3427" spans="1:4" x14ac:dyDescent="0.2">
      <c r="A3427" s="5">
        <v>3366</v>
      </c>
      <c r="B3427" s="1832">
        <f>'Assets-Liab 5-6'!I4</f>
        <v>13954</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18863</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49987</v>
      </c>
      <c r="C3446" s="2" t="s">
        <v>569</v>
      </c>
      <c r="D3446" s="2" t="str">
        <f t="shared" si="52"/>
        <v>Error?</v>
      </c>
    </row>
    <row r="3447" spans="1:4" x14ac:dyDescent="0.2">
      <c r="A3447" s="5">
        <v>3386</v>
      </c>
      <c r="B3447" s="1832">
        <f>'Tax Sched 23'!D16</f>
        <v>49987</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51001</v>
      </c>
      <c r="C3449" s="2" t="s">
        <v>569</v>
      </c>
      <c r="D3449" s="2" t="str">
        <f t="shared" si="52"/>
        <v>Error?</v>
      </c>
    </row>
    <row r="3450" spans="1:4" x14ac:dyDescent="0.2">
      <c r="A3450" s="5">
        <v>3389</v>
      </c>
      <c r="B3450" s="1832">
        <f>'Tax Sched 23'!E16</f>
        <v>51001</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34212</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4290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38502</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38502</v>
      </c>
      <c r="D3567" s="2" t="str">
        <f t="shared" si="54"/>
        <v>Error?</v>
      </c>
    </row>
    <row r="3568" spans="1:4" x14ac:dyDescent="0.2">
      <c r="A3568" s="5">
        <v>3507</v>
      </c>
      <c r="B3568" s="1832">
        <f>'Assets-Liab 5-6'!K41</f>
        <v>38502</v>
      </c>
      <c r="C3568" s="2" t="s">
        <v>569</v>
      </c>
      <c r="D3568" s="2" t="str">
        <f t="shared" si="54"/>
        <v>Error?</v>
      </c>
    </row>
    <row r="3569" spans="1:4" x14ac:dyDescent="0.2">
      <c r="A3569" s="5">
        <v>3508</v>
      </c>
      <c r="B3569" s="1832">
        <f>'Acct Summary 7-8'!K4</f>
        <v>7819</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7819</v>
      </c>
      <c r="C3571" s="2" t="s">
        <v>569</v>
      </c>
      <c r="D3571" s="2" t="str">
        <f t="shared" si="54"/>
        <v>Error?</v>
      </c>
    </row>
    <row r="3572" spans="1:4" x14ac:dyDescent="0.2">
      <c r="A3572" s="5">
        <v>3511</v>
      </c>
      <c r="B3572" s="1832">
        <f>'Acct Summary 7-8'!K13</f>
        <v>0</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0</v>
      </c>
      <c r="C3575" s="2" t="s">
        <v>569</v>
      </c>
      <c r="D3575" s="2" t="str">
        <f t="shared" si="54"/>
        <v>Error?</v>
      </c>
    </row>
    <row r="3576" spans="1:4" x14ac:dyDescent="0.2">
      <c r="A3576" s="5">
        <v>3515</v>
      </c>
      <c r="B3576" s="1832">
        <f>'Acct Summary 7-8'!K20</f>
        <v>7819</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7819</v>
      </c>
      <c r="C3588" s="2" t="s">
        <v>569</v>
      </c>
      <c r="D3588" s="2" t="str">
        <f t="shared" si="55"/>
        <v>Error?</v>
      </c>
    </row>
    <row r="3589" spans="1:4" x14ac:dyDescent="0.2">
      <c r="A3589" s="5">
        <v>3528</v>
      </c>
      <c r="B3589" s="1832">
        <f>'Acct Summary 7-8'!K79</f>
        <v>30683</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38502</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0</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0</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0</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7819</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12902</v>
      </c>
      <c r="D3721" s="2" t="str">
        <f t="shared" si="57"/>
        <v>Error?</v>
      </c>
    </row>
    <row r="3722" spans="1:4" x14ac:dyDescent="0.2">
      <c r="A3722" s="5">
        <v>3661</v>
      </c>
      <c r="B3722" s="1832">
        <f>'Expenditures 15-22'!D285</f>
        <v>12902</v>
      </c>
      <c r="C3722" s="2" t="s">
        <v>569</v>
      </c>
      <c r="D3722" s="2" t="str">
        <f t="shared" si="57"/>
        <v>Error?</v>
      </c>
    </row>
    <row r="3723" spans="1:4" x14ac:dyDescent="0.2">
      <c r="A3723" s="5">
        <v>3662</v>
      </c>
      <c r="B3723" s="1832">
        <f>'Expenditures 15-22'!K283</f>
        <v>12902</v>
      </c>
      <c r="C3723" s="2" t="s">
        <v>569</v>
      </c>
      <c r="D3723" s="2" t="str">
        <f t="shared" si="57"/>
        <v>Error?</v>
      </c>
    </row>
    <row r="3724" spans="1:4" x14ac:dyDescent="0.2">
      <c r="A3724" s="5">
        <v>3663</v>
      </c>
      <c r="B3724" s="1832">
        <f>'Expenditures 15-22'!K285</f>
        <v>12902</v>
      </c>
      <c r="C3724" s="2" t="s">
        <v>569</v>
      </c>
      <c r="D3724" s="2" t="str">
        <f t="shared" si="57"/>
        <v>Error?</v>
      </c>
    </row>
    <row r="3725" spans="1:4" x14ac:dyDescent="0.2">
      <c r="A3725" s="5">
        <v>3664</v>
      </c>
      <c r="B3725" s="1832">
        <f>'Tax Sched 23'!B13</f>
        <v>7781</v>
      </c>
      <c r="C3725" s="2" t="s">
        <v>569</v>
      </c>
      <c r="D3725" s="2" t="str">
        <f t="shared" si="57"/>
        <v>Error?</v>
      </c>
    </row>
    <row r="3726" spans="1:4" x14ac:dyDescent="0.2">
      <c r="A3726" s="5">
        <v>3665</v>
      </c>
      <c r="B3726" s="1832">
        <f>'Tax Sched 23'!D13</f>
        <v>7781</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7923</v>
      </c>
      <c r="C3728" s="2" t="s">
        <v>569</v>
      </c>
      <c r="D3728" s="2" t="str">
        <f t="shared" si="57"/>
        <v>Error?</v>
      </c>
    </row>
    <row r="3729" spans="1:4" x14ac:dyDescent="0.2">
      <c r="A3729" s="5">
        <v>3668</v>
      </c>
      <c r="B3729" s="1832">
        <f>'Tax Sched 23'!E13</f>
        <v>7923</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898106</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3269214</v>
      </c>
      <c r="C4122" s="2" t="s">
        <v>569</v>
      </c>
      <c r="D4122" s="2" t="str">
        <f t="shared" si="63"/>
        <v>Error?</v>
      </c>
    </row>
    <row r="4123" spans="1:4" x14ac:dyDescent="0.2">
      <c r="A4123" s="5">
        <v>4062</v>
      </c>
      <c r="B4123" s="1832">
        <f>'Acct Summary 7-8'!D10</f>
        <v>135124</v>
      </c>
      <c r="C4123" s="2" t="s">
        <v>569</v>
      </c>
      <c r="D4123" s="2" t="str">
        <f t="shared" si="63"/>
        <v>Error?</v>
      </c>
    </row>
    <row r="4124" spans="1:4" x14ac:dyDescent="0.2">
      <c r="A4124" s="5">
        <v>4063</v>
      </c>
      <c r="B4124" s="1832">
        <f>'Acct Summary 7-8'!E10</f>
        <v>127540</v>
      </c>
      <c r="C4124" s="2" t="s">
        <v>569</v>
      </c>
      <c r="D4124" s="2" t="str">
        <f t="shared" si="63"/>
        <v>Error?</v>
      </c>
    </row>
    <row r="4125" spans="1:4" x14ac:dyDescent="0.2">
      <c r="A4125" s="5">
        <v>4064</v>
      </c>
      <c r="B4125" s="1832">
        <f>'Acct Summary 7-8'!F10</f>
        <v>176502</v>
      </c>
      <c r="C4125" s="2" t="s">
        <v>569</v>
      </c>
      <c r="D4125" s="2" t="str">
        <f t="shared" si="63"/>
        <v>Error?</v>
      </c>
    </row>
    <row r="4126" spans="1:4" x14ac:dyDescent="0.2">
      <c r="A4126" s="5">
        <v>4065</v>
      </c>
      <c r="B4126" s="1832">
        <f>'Acct Summary 7-8'!G10</f>
        <v>90781</v>
      </c>
      <c r="C4126" s="2" t="s">
        <v>569</v>
      </c>
      <c r="D4126" s="2" t="str">
        <f t="shared" si="63"/>
        <v>Error?</v>
      </c>
    </row>
    <row r="4127" spans="1:4" x14ac:dyDescent="0.2">
      <c r="A4127" s="5">
        <v>4066</v>
      </c>
      <c r="B4127" s="1832">
        <f>'Acct Summary 7-8'!H10</f>
        <v>5599</v>
      </c>
      <c r="C4127" s="2" t="s">
        <v>569</v>
      </c>
      <c r="D4127" s="2" t="str">
        <f t="shared" si="63"/>
        <v>Error?</v>
      </c>
    </row>
    <row r="4128" spans="1:4" x14ac:dyDescent="0.2">
      <c r="A4128" s="5">
        <v>4067</v>
      </c>
      <c r="B4128" s="1832">
        <f>'Acct Summary 7-8'!I10</f>
        <v>8183</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7819</v>
      </c>
      <c r="C4130" s="2" t="s">
        <v>569</v>
      </c>
      <c r="D4130" s="2" t="str">
        <f t="shared" si="63"/>
        <v>Error?</v>
      </c>
    </row>
    <row r="4131" spans="1:4" x14ac:dyDescent="0.2">
      <c r="A4131" s="5">
        <v>4070</v>
      </c>
      <c r="B4131" s="1832">
        <f>'Acct Summary 7-8'!C18</f>
        <v>898106</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3326814</v>
      </c>
      <c r="C4136" s="2" t="s">
        <v>569</v>
      </c>
      <c r="D4136" s="2" t="str">
        <f t="shared" si="63"/>
        <v>Error?</v>
      </c>
    </row>
    <row r="4137" spans="1:4" x14ac:dyDescent="0.2">
      <c r="A4137" s="5">
        <v>4076</v>
      </c>
      <c r="B4137" s="1832">
        <f>'Acct Summary 7-8'!D19</f>
        <v>79813</v>
      </c>
      <c r="C4137" s="2" t="s">
        <v>569</v>
      </c>
      <c r="D4137" s="2" t="str">
        <f t="shared" si="63"/>
        <v>Error?</v>
      </c>
    </row>
    <row r="4138" spans="1:4" x14ac:dyDescent="0.2">
      <c r="A4138" s="5">
        <v>4077</v>
      </c>
      <c r="B4138" s="1832">
        <f>'Acct Summary 7-8'!E19</f>
        <v>102248</v>
      </c>
      <c r="C4138" s="2" t="s">
        <v>569</v>
      </c>
      <c r="D4138" s="2" t="str">
        <f t="shared" si="63"/>
        <v>Error?</v>
      </c>
    </row>
    <row r="4139" spans="1:4" x14ac:dyDescent="0.2">
      <c r="A4139" s="5">
        <v>4078</v>
      </c>
      <c r="B4139" s="1832">
        <f>'Acct Summary 7-8'!F19</f>
        <v>174456</v>
      </c>
      <c r="C4139" s="2" t="s">
        <v>569</v>
      </c>
      <c r="D4139" s="2" t="str">
        <f t="shared" si="63"/>
        <v>Error?</v>
      </c>
    </row>
    <row r="4140" spans="1:4" x14ac:dyDescent="0.2">
      <c r="A4140" s="5">
        <v>4079</v>
      </c>
      <c r="B4140" s="1832">
        <f>'Acct Summary 7-8'!G19</f>
        <v>96359</v>
      </c>
      <c r="C4140" s="2" t="s">
        <v>569</v>
      </c>
      <c r="D4140" s="2" t="str">
        <f t="shared" si="63"/>
        <v>Error?</v>
      </c>
    </row>
    <row r="4141" spans="1:4" x14ac:dyDescent="0.2">
      <c r="A4141" s="5">
        <v>4080</v>
      </c>
      <c r="B4141" s="1832">
        <f>'Acct Summary 7-8'!H19</f>
        <v>209501</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0</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206817</v>
      </c>
      <c r="C4171" s="2" t="s">
        <v>569</v>
      </c>
      <c r="D4171" s="2" t="str">
        <f t="shared" si="64"/>
        <v>Error?</v>
      </c>
    </row>
    <row r="4172" spans="1:4" x14ac:dyDescent="0.2">
      <c r="A4172" s="5">
        <v>4111</v>
      </c>
      <c r="B4172" s="1832">
        <f>'Short-Term Long-Term Debt 24'!J49</f>
        <v>176991</v>
      </c>
      <c r="C4172" s="2" t="s">
        <v>569</v>
      </c>
      <c r="D4172" s="2" t="str">
        <f t="shared" si="64"/>
        <v>Error?</v>
      </c>
    </row>
    <row r="4173" spans="1:4" x14ac:dyDescent="0.2">
      <c r="A4173" s="5">
        <v>4112</v>
      </c>
      <c r="B4173" s="1832">
        <f>'Short-Term Long-Term Debt 24'!H49</f>
        <v>81333</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1170</v>
      </c>
      <c r="C4265" s="2" t="s">
        <v>569</v>
      </c>
      <c r="D4265" s="2" t="str">
        <f t="shared" si="65"/>
        <v>Error?</v>
      </c>
      <c r="E4265" s="125"/>
    </row>
    <row r="4266" spans="1:5" x14ac:dyDescent="0.2">
      <c r="A4266" s="12">
        <v>4205</v>
      </c>
      <c r="B4266" s="1832">
        <f>('FP Info 3'!F10)*100000</f>
        <v>250</v>
      </c>
      <c r="C4266" s="2" t="s">
        <v>569</v>
      </c>
      <c r="D4266" s="2" t="str">
        <f t="shared" si="65"/>
        <v>Error?</v>
      </c>
      <c r="E4266" s="125"/>
    </row>
    <row r="4267" spans="1:5" x14ac:dyDescent="0.2">
      <c r="A4267" s="12">
        <v>4206</v>
      </c>
      <c r="B4267" s="1832">
        <f>('FP Info 3'!H10)*100000</f>
        <v>119.99999999999999</v>
      </c>
      <c r="C4267" s="2" t="s">
        <v>569</v>
      </c>
      <c r="D4267" s="2" t="str">
        <f t="shared" si="65"/>
        <v>Error?</v>
      </c>
      <c r="E4267" s="125"/>
    </row>
    <row r="4268" spans="1:5" x14ac:dyDescent="0.2">
      <c r="A4268" s="12">
        <v>4207</v>
      </c>
      <c r="B4268" s="1832">
        <f>('FP Info 3'!J10)*100000</f>
        <v>1540</v>
      </c>
      <c r="C4268" s="2" t="s">
        <v>569</v>
      </c>
      <c r="D4268" s="2" t="str">
        <f t="shared" si="65"/>
        <v>Error?</v>
      </c>
    </row>
    <row r="4269" spans="1:5" x14ac:dyDescent="0.2">
      <c r="A4269" s="12">
        <v>4208</v>
      </c>
      <c r="B4269" s="1832">
        <f>'FP Info 3'!J16</f>
        <v>1337790</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4446</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5600</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2603</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6149</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15846222</v>
      </c>
      <c r="D4995" s="2" t="str">
        <f t="shared" si="77"/>
        <v>Error?</v>
      </c>
    </row>
    <row r="4996" spans="1:4" x14ac:dyDescent="0.2">
      <c r="A4996" s="12">
        <v>4935</v>
      </c>
      <c r="B4996" s="1832">
        <f>'FP Info 3'!H31</f>
        <v>1093389.3180000002</v>
      </c>
      <c r="D4996" s="2" t="str">
        <f t="shared" si="77"/>
        <v>Error?</v>
      </c>
    </row>
    <row r="4997" spans="1:4" x14ac:dyDescent="0.2">
      <c r="A4997" s="12">
        <v>4936</v>
      </c>
      <c r="B4997" s="1832">
        <f>'FP Info 3'!H37</f>
        <v>206817</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7781</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182070</v>
      </c>
      <c r="D5061" s="2" t="str">
        <f t="shared" si="78"/>
        <v>Error?</v>
      </c>
    </row>
    <row r="5062" spans="1:4" x14ac:dyDescent="0.2">
      <c r="A5062" s="10">
        <v>5001</v>
      </c>
      <c r="B5062" s="1832"/>
      <c r="D5062" s="2" t="str">
        <f t="shared" si="78"/>
        <v>OK</v>
      </c>
    </row>
    <row r="5063" spans="1:4" x14ac:dyDescent="0.2">
      <c r="A5063" s="5">
        <v>5002</v>
      </c>
      <c r="B5063" s="1832">
        <f>'Revenues 9-14'!C7</f>
        <v>3112</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192963</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0</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0</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14025</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14025</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975</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1021</v>
      </c>
      <c r="C5096" s="2" t="s">
        <v>569</v>
      </c>
      <c r="D5096" s="2" t="str">
        <f t="shared" si="78"/>
        <v>Error?</v>
      </c>
    </row>
    <row r="5097" spans="1:4" x14ac:dyDescent="0.2">
      <c r="A5097" s="5">
        <v>5036</v>
      </c>
      <c r="B5097" s="1832">
        <f>'Revenues 9-14'!C77</f>
        <v>1239</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324</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1563</v>
      </c>
      <c r="C5102" s="2" t="s">
        <v>569</v>
      </c>
      <c r="D5102" s="2" t="str">
        <f t="shared" si="78"/>
        <v>Error?</v>
      </c>
    </row>
    <row r="5103" spans="1:4" x14ac:dyDescent="0.2">
      <c r="A5103" s="5">
        <v>5042</v>
      </c>
      <c r="B5103" s="1832">
        <f>'Revenues 9-14'!C84</f>
        <v>195</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195</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9603</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12944</v>
      </c>
      <c r="D5119" s="2" t="str">
        <f t="shared" ref="D5119:D5182" si="79">IF(ISBLANK(B5119),"OK",IF(A5119-B5119=0,"OK","Error?"))</f>
        <v>Error?</v>
      </c>
    </row>
    <row r="5120" spans="1:4" x14ac:dyDescent="0.2">
      <c r="A5120" s="5">
        <v>5059</v>
      </c>
      <c r="B5120" s="1832">
        <f>'Revenues 9-14'!C108</f>
        <v>22547</v>
      </c>
      <c r="C5120" s="2" t="s">
        <v>569</v>
      </c>
      <c r="D5120" s="2" t="str">
        <f t="shared" si="79"/>
        <v>Error?</v>
      </c>
    </row>
    <row r="5121" spans="1:4" x14ac:dyDescent="0.2">
      <c r="A5121" s="5">
        <v>5060</v>
      </c>
      <c r="B5121" s="1832">
        <f>'Revenues 9-14'!C109</f>
        <v>232314</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1544614</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1544614</v>
      </c>
      <c r="C5132" s="2" t="s">
        <v>569</v>
      </c>
      <c r="D5132" s="2" t="str">
        <f t="shared" si="79"/>
        <v>Error?</v>
      </c>
    </row>
    <row r="5133" spans="1:4" x14ac:dyDescent="0.2">
      <c r="A5133" s="5">
        <v>5072</v>
      </c>
      <c r="B5133" s="1832">
        <f>'Revenues 9-14'!C125</f>
        <v>52349</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8224</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60573</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2168</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100172</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169062</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1713676</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94639</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42306</v>
      </c>
      <c r="D5241" s="2" t="str">
        <f t="shared" si="80"/>
        <v>Error?</v>
      </c>
    </row>
    <row r="5242" spans="1:4" x14ac:dyDescent="0.2">
      <c r="A5242" s="5">
        <v>5181</v>
      </c>
      <c r="B5242" s="1832">
        <f>'Revenues 9-14'!C194</f>
        <v>40131</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182321</v>
      </c>
      <c r="C5246" s="2" t="s">
        <v>569</v>
      </c>
      <c r="D5246" s="2" t="str">
        <f t="shared" si="80"/>
        <v>Error?</v>
      </c>
    </row>
    <row r="5247" spans="1:4" x14ac:dyDescent="0.2">
      <c r="A5247" s="5">
        <v>5186</v>
      </c>
      <c r="B5247" s="1832">
        <f>'Revenues 9-14'!C200</f>
        <v>145638</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145638</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84510</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84510</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425118</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425118</v>
      </c>
      <c r="C5326" s="2" t="s">
        <v>569</v>
      </c>
      <c r="D5326" s="2" t="str">
        <f t="shared" si="82"/>
        <v>Error?</v>
      </c>
    </row>
    <row r="5327" spans="1:5" x14ac:dyDescent="0.2">
      <c r="A5327" s="5">
        <v>5266</v>
      </c>
      <c r="B5327" s="1832">
        <f>'Revenues 9-14'!C268</f>
        <v>2371108</v>
      </c>
      <c r="C5327" s="2" t="s">
        <v>569</v>
      </c>
      <c r="D5327" s="2" t="str">
        <f t="shared" si="82"/>
        <v>Error?</v>
      </c>
    </row>
    <row r="5328" spans="1:5" x14ac:dyDescent="0.2">
      <c r="A5328" s="5">
        <v>5267</v>
      </c>
      <c r="B5328" s="1832">
        <f>'Revenues 9-14'!D5</f>
        <v>38904</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38904</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52882</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52882</v>
      </c>
      <c r="C5339" s="2" t="s">
        <v>569</v>
      </c>
      <c r="D5339" s="2" t="str">
        <f t="shared" si="82"/>
        <v>Error?</v>
      </c>
    </row>
    <row r="5340" spans="1:4" x14ac:dyDescent="0.2">
      <c r="A5340" s="5">
        <v>5279</v>
      </c>
      <c r="B5340" s="1832">
        <f>'Revenues 9-14'!D65</f>
        <v>176</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176</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43162</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43162</v>
      </c>
      <c r="C5355" s="2" t="s">
        <v>569</v>
      </c>
      <c r="D5355" s="2" t="str">
        <f t="shared" si="82"/>
        <v>Error?</v>
      </c>
    </row>
    <row r="5356" spans="1:4" x14ac:dyDescent="0.2">
      <c r="A5356" s="5">
        <v>5295</v>
      </c>
      <c r="B5356" s="1832">
        <f>'Revenues 9-14'!D109</f>
        <v>135124</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135124</v>
      </c>
      <c r="C5508" s="2" t="s">
        <v>569</v>
      </c>
      <c r="D5508" s="2" t="str">
        <f t="shared" si="85"/>
        <v>Error?</v>
      </c>
    </row>
    <row r="5509" spans="1:4" x14ac:dyDescent="0.2">
      <c r="A5509" s="5">
        <v>5448</v>
      </c>
      <c r="B5509" s="1832">
        <f>'Revenues 9-14'!E5</f>
        <v>62100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62100</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65440</v>
      </c>
      <c r="C5526" s="2" t="s">
        <v>569</v>
      </c>
      <c r="D5526" s="2" t="str">
        <f t="shared" si="85"/>
        <v>Error?</v>
      </c>
    </row>
    <row r="5527" spans="1:4" x14ac:dyDescent="0.2">
      <c r="A5527" s="5">
        <v>5466</v>
      </c>
      <c r="B5527" s="1832">
        <f>'Revenues 9-14'!E109</f>
        <v>127540</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127540</v>
      </c>
      <c r="C5552" s="2" t="s">
        <v>569</v>
      </c>
      <c r="D5552" s="2" t="str">
        <f t="shared" si="85"/>
        <v>Error?</v>
      </c>
    </row>
    <row r="5553" spans="1:4" x14ac:dyDescent="0.2">
      <c r="A5553" s="5">
        <v>5492</v>
      </c>
      <c r="B5553" s="1832">
        <f>'Revenues 9-14'!F5</f>
        <v>18674</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18674</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146</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146</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5012</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5012</v>
      </c>
      <c r="C5587" s="2" t="s">
        <v>569</v>
      </c>
      <c r="D5587" s="2" t="str">
        <f t="shared" si="86"/>
        <v>Error?</v>
      </c>
    </row>
    <row r="5588" spans="1:4" x14ac:dyDescent="0.2">
      <c r="A5588" s="5">
        <v>5527</v>
      </c>
      <c r="B5588" s="1832">
        <f>'Revenues 9-14'!F109</f>
        <v>23832</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53064</v>
      </c>
      <c r="D5615" s="2" t="str">
        <f t="shared" si="86"/>
        <v>Error?</v>
      </c>
    </row>
    <row r="5616" spans="1:4" x14ac:dyDescent="0.2">
      <c r="A5616" s="10">
        <v>5555</v>
      </c>
      <c r="B5616" s="1832"/>
      <c r="D5616" s="2" t="str">
        <f t="shared" si="86"/>
        <v>OK</v>
      </c>
    </row>
    <row r="5617" spans="1:5" x14ac:dyDescent="0.2">
      <c r="A5617" s="5">
        <v>5556</v>
      </c>
      <c r="B5617" s="1832">
        <f>'Revenues 9-14'!F153</f>
        <v>99606</v>
      </c>
      <c r="D5617" s="2" t="str">
        <f t="shared" si="86"/>
        <v>Error?</v>
      </c>
    </row>
    <row r="5618" spans="1:5" x14ac:dyDescent="0.2">
      <c r="A5618" s="5">
        <v>5557</v>
      </c>
      <c r="B5618" s="1832">
        <f>'Revenues 9-14'!F155</f>
        <v>152670</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152670</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152670</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176502</v>
      </c>
      <c r="C5720" s="2" t="s">
        <v>569</v>
      </c>
      <c r="D5720" s="2" t="str">
        <f t="shared" si="88"/>
        <v>Error?</v>
      </c>
    </row>
    <row r="5721" spans="1:4" x14ac:dyDescent="0.2">
      <c r="A5721" s="5">
        <v>5660</v>
      </c>
      <c r="B5721" s="1832">
        <f>'Revenues 9-14'!G5</f>
        <v>39989</v>
      </c>
      <c r="D5721" s="2" t="str">
        <f t="shared" si="88"/>
        <v>Error?</v>
      </c>
    </row>
    <row r="5722" spans="1:4" x14ac:dyDescent="0.2">
      <c r="A5722" s="5">
        <v>5661</v>
      </c>
      <c r="B5722" s="1832">
        <f>'Revenues 9-14'!G7</f>
        <v>0</v>
      </c>
      <c r="D5722" s="2" t="str">
        <f t="shared" si="88"/>
        <v>Error?</v>
      </c>
    </row>
    <row r="5723" spans="1:4" x14ac:dyDescent="0.2">
      <c r="A5723" s="5">
        <v>5662</v>
      </c>
      <c r="B5723" s="1832">
        <f>'Revenues 9-14'!G8</f>
        <v>49987</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89976</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805</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805</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90781</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5599</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5599</v>
      </c>
      <c r="C5915" s="2" t="s">
        <v>569</v>
      </c>
      <c r="D5915" s="2" t="str">
        <f t="shared" si="91"/>
        <v>Error?</v>
      </c>
    </row>
    <row r="5916" spans="1:4" x14ac:dyDescent="0.2">
      <c r="A5916" s="5">
        <v>5855</v>
      </c>
      <c r="B5916" s="1832">
        <f>'Revenues 9-14'!I5</f>
        <v>7781</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7781</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402</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402</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8183</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7781</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7781</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38</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38</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7819</v>
      </c>
      <c r="C6023" s="2" t="s">
        <v>569</v>
      </c>
      <c r="D6023" s="2" t="str">
        <f t="shared" si="93"/>
        <v>Error?</v>
      </c>
    </row>
    <row r="6024" spans="1:5" x14ac:dyDescent="0.2">
      <c r="A6024" s="5">
        <v>5963</v>
      </c>
      <c r="B6024" s="1832">
        <f>'Revenues 9-14'!G109</f>
        <v>90781</v>
      </c>
      <c r="C6024" s="2" t="s">
        <v>569</v>
      </c>
      <c r="D6024" s="2" t="str">
        <f t="shared" si="93"/>
        <v>Error?</v>
      </c>
    </row>
    <row r="6025" spans="1:5" x14ac:dyDescent="0.2">
      <c r="A6025" s="5">
        <v>5964</v>
      </c>
      <c r="B6025" s="1832">
        <f>'Revenues 9-14'!H109</f>
        <v>5599</v>
      </c>
      <c r="C6025" s="2" t="s">
        <v>569</v>
      </c>
      <c r="D6025" s="2" t="str">
        <f t="shared" si="93"/>
        <v>Error?</v>
      </c>
    </row>
    <row r="6026" spans="1:5" x14ac:dyDescent="0.2">
      <c r="A6026" s="5">
        <v>5965</v>
      </c>
      <c r="B6026" s="1832">
        <f>'Revenues 9-14'!I109</f>
        <v>8183</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7819</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46</v>
      </c>
      <c r="D6031" s="2" t="str">
        <f t="shared" si="93"/>
        <v>Error?</v>
      </c>
    </row>
    <row r="6032" spans="1:5" x14ac:dyDescent="0.2">
      <c r="A6032" s="5">
        <v>5971</v>
      </c>
      <c r="B6032" s="1832">
        <f>'Acct Summary 7-8'!G15</f>
        <v>12902</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10792</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211.35</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7000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88426</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7000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88426</v>
      </c>
      <c r="D6215" s="2" t="str">
        <f t="shared" si="96"/>
        <v>Error?</v>
      </c>
      <c r="E6215" s="2" t="s">
        <v>189</v>
      </c>
    </row>
    <row r="6216" spans="1:5" x14ac:dyDescent="0.2">
      <c r="A6216">
        <v>6155</v>
      </c>
      <c r="B6216" s="1832">
        <f>'Assets-Liab 5-6'!J41</f>
        <v>88426</v>
      </c>
      <c r="D6216" s="2" t="str">
        <f t="shared" si="96"/>
        <v>Error?</v>
      </c>
      <c r="E6216" s="2" t="s">
        <v>189</v>
      </c>
    </row>
    <row r="6217" spans="1:5" x14ac:dyDescent="0.2">
      <c r="A6217">
        <v>6156</v>
      </c>
      <c r="B6217" s="1832">
        <f>'Assets-Liab 5-6'!J4</f>
        <v>53097</v>
      </c>
      <c r="D6217" s="2" t="str">
        <f t="shared" si="96"/>
        <v>Error?</v>
      </c>
      <c r="E6217" s="2" t="s">
        <v>189</v>
      </c>
    </row>
    <row r="6218" spans="1:5" x14ac:dyDescent="0.2">
      <c r="A6218">
        <v>6157</v>
      </c>
      <c r="B6218" s="1832">
        <f>'Assets-Liab 5-6'!J5</f>
        <v>35329</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69850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69850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69850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38115</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38115</v>
      </c>
      <c r="D6229" s="2" t="str">
        <f t="shared" si="96"/>
        <v>Error?</v>
      </c>
      <c r="E6229" s="2" t="s">
        <v>189</v>
      </c>
    </row>
    <row r="6230" spans="1:5" x14ac:dyDescent="0.2">
      <c r="A6230">
        <v>6169</v>
      </c>
      <c r="B6230" s="1832">
        <f>'Acct Summary 7-8'!J20</f>
        <v>31735</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31735</v>
      </c>
      <c r="D6263" s="2" t="str">
        <f t="shared" si="96"/>
        <v>Error?</v>
      </c>
      <c r="E6263" s="2" t="s">
        <v>189</v>
      </c>
    </row>
    <row r="6264" spans="1:5" x14ac:dyDescent="0.2">
      <c r="A6264">
        <v>6203</v>
      </c>
      <c r="B6264" s="1832">
        <f>'Acct Summary 7-8'!J79</f>
        <v>56691</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88426</v>
      </c>
      <c r="D6266" s="2" t="str">
        <f t="shared" si="96"/>
        <v>Error?</v>
      </c>
      <c r="E6266" s="2" t="s">
        <v>189</v>
      </c>
    </row>
    <row r="6267" spans="1:5" x14ac:dyDescent="0.2">
      <c r="A6267">
        <v>6206</v>
      </c>
      <c r="B6267" s="1832">
        <f>'Acct Summary 7-8'!C82</f>
        <v>-57600</v>
      </c>
      <c r="D6267" s="2" t="str">
        <f t="shared" si="96"/>
        <v>Error?</v>
      </c>
      <c r="E6267" s="2" t="s">
        <v>189</v>
      </c>
    </row>
    <row r="6268" spans="1:5" x14ac:dyDescent="0.2">
      <c r="A6268">
        <v>6207</v>
      </c>
      <c r="B6268" s="1832">
        <f>'Acct Summary 7-8'!D82</f>
        <v>55311</v>
      </c>
      <c r="D6268" s="2" t="str">
        <f t="shared" si="96"/>
        <v>Error?</v>
      </c>
      <c r="E6268" s="2" t="s">
        <v>189</v>
      </c>
    </row>
    <row r="6269" spans="1:5" x14ac:dyDescent="0.2">
      <c r="A6269">
        <v>6208</v>
      </c>
      <c r="B6269" s="1832">
        <f>'Acct Summary 7-8'!E82</f>
        <v>25292</v>
      </c>
      <c r="D6269" s="2" t="str">
        <f t="shared" si="96"/>
        <v>Error?</v>
      </c>
      <c r="E6269" s="2" t="s">
        <v>189</v>
      </c>
    </row>
    <row r="6270" spans="1:5" x14ac:dyDescent="0.2">
      <c r="A6270">
        <v>6209</v>
      </c>
      <c r="B6270" s="1832">
        <f>'Acct Summary 7-8'!F82</f>
        <v>2046</v>
      </c>
      <c r="D6270" s="2" t="str">
        <f t="shared" si="96"/>
        <v>Error?</v>
      </c>
      <c r="E6270" s="2" t="s">
        <v>189</v>
      </c>
    </row>
    <row r="6271" spans="1:5" x14ac:dyDescent="0.2">
      <c r="A6271">
        <v>6210</v>
      </c>
      <c r="B6271" s="1832">
        <f>'Acct Summary 7-8'!G82</f>
        <v>-5578</v>
      </c>
      <c r="D6271" s="2" t="str">
        <f t="shared" ref="D6271:D6334" si="97">IF(ISBLANK(B6271),"OK",IF(A6271-B6271=0,"OK","Error?"))</f>
        <v>Error?</v>
      </c>
      <c r="E6271" s="2" t="s">
        <v>189</v>
      </c>
    </row>
    <row r="6272" spans="1:5" x14ac:dyDescent="0.2">
      <c r="A6272">
        <v>6211</v>
      </c>
      <c r="B6272" s="1832">
        <f>'Acct Summary 7-8'!H82</f>
        <v>-103902</v>
      </c>
      <c r="D6272" s="2" t="str">
        <f t="shared" si="97"/>
        <v>Error?</v>
      </c>
      <c r="E6272" s="2" t="s">
        <v>189</v>
      </c>
    </row>
    <row r="6273" spans="1:5" x14ac:dyDescent="0.2">
      <c r="A6273">
        <v>6212</v>
      </c>
      <c r="B6273" s="1832">
        <f>'Acct Summary 7-8'!I82</f>
        <v>-91817</v>
      </c>
      <c r="D6273" s="2" t="str">
        <f t="shared" si="97"/>
        <v>Error?</v>
      </c>
      <c r="E6273" s="2" t="s">
        <v>189</v>
      </c>
    </row>
    <row r="6274" spans="1:5" x14ac:dyDescent="0.2">
      <c r="A6274">
        <v>6213</v>
      </c>
      <c r="B6274" s="1832">
        <f>'Acct Summary 7-8'!J82</f>
        <v>31735</v>
      </c>
      <c r="D6274" s="2" t="str">
        <f t="shared" si="97"/>
        <v>Error?</v>
      </c>
      <c r="E6274" s="2" t="s">
        <v>189</v>
      </c>
    </row>
    <row r="6275" spans="1:5" x14ac:dyDescent="0.2">
      <c r="A6275">
        <v>6214</v>
      </c>
      <c r="B6275" s="1832">
        <f>'Acct Summary 7-8'!K82</f>
        <v>7819</v>
      </c>
      <c r="D6275" s="2" t="str">
        <f t="shared" si="97"/>
        <v>Error?</v>
      </c>
      <c r="E6275" s="2" t="s">
        <v>189</v>
      </c>
    </row>
    <row r="6276" spans="1:5" x14ac:dyDescent="0.2">
      <c r="A6276">
        <v>6215</v>
      </c>
      <c r="B6276" s="1832">
        <f>'Acct Summary 7-8'!C83</f>
        <v>-5.3894686414328499E-2</v>
      </c>
      <c r="D6276" s="2" t="str">
        <f t="shared" si="97"/>
        <v>Error?</v>
      </c>
      <c r="E6276" s="2" t="s">
        <v>189</v>
      </c>
    </row>
    <row r="6277" spans="1:5" x14ac:dyDescent="0.2">
      <c r="A6277">
        <v>6216</v>
      </c>
      <c r="B6277" s="1832">
        <f>'Acct Summary 7-8'!D83</f>
        <v>0.46164054284140416</v>
      </c>
      <c r="D6277" s="2" t="str">
        <f t="shared" si="97"/>
        <v>Error?</v>
      </c>
      <c r="E6277" s="2" t="s">
        <v>189</v>
      </c>
    </row>
    <row r="6278" spans="1:5" x14ac:dyDescent="0.2">
      <c r="A6278">
        <v>6217</v>
      </c>
      <c r="B6278" s="1832">
        <f>'Acct Summary 7-8'!E83</f>
        <v>0.8479849795480453</v>
      </c>
      <c r="D6278" s="2" t="str">
        <f t="shared" si="97"/>
        <v>Error?</v>
      </c>
      <c r="E6278" s="2" t="s">
        <v>189</v>
      </c>
    </row>
    <row r="6279" spans="1:5" x14ac:dyDescent="0.2">
      <c r="A6279">
        <v>6218</v>
      </c>
      <c r="B6279" s="1832">
        <f>'Acct Summary 7-8'!F83</f>
        <v>2.2529069767441859E-2</v>
      </c>
      <c r="D6279" s="2" t="str">
        <f t="shared" si="97"/>
        <v>Error?</v>
      </c>
      <c r="E6279" s="2" t="s">
        <v>189</v>
      </c>
    </row>
    <row r="6280" spans="1:5" x14ac:dyDescent="0.2">
      <c r="A6280">
        <v>6219</v>
      </c>
      <c r="B6280" s="1832">
        <f>'Acct Summary 7-8'!G83</f>
        <v>-0.27892789278927893</v>
      </c>
      <c r="D6280" s="2" t="str">
        <f t="shared" si="97"/>
        <v>Error?</v>
      </c>
      <c r="E6280" s="2" t="s">
        <v>189</v>
      </c>
    </row>
    <row r="6281" spans="1:5" x14ac:dyDescent="0.2">
      <c r="A6281">
        <v>6220</v>
      </c>
      <c r="B6281" s="1832">
        <f>'Acct Summary 7-8'!H83</f>
        <v>-5.4780408077186689</v>
      </c>
      <c r="D6281" s="2" t="str">
        <f t="shared" si="97"/>
        <v>Error?</v>
      </c>
      <c r="E6281" s="2" t="s">
        <v>189</v>
      </c>
    </row>
    <row r="6282" spans="1:5" x14ac:dyDescent="0.2">
      <c r="A6282">
        <v>6221</v>
      </c>
      <c r="B6282" s="1832">
        <f>'Acct Summary 7-8'!I83</f>
        <v>-1.5719666489753292</v>
      </c>
      <c r="D6282" s="2" t="str">
        <f t="shared" si="97"/>
        <v>Error?</v>
      </c>
      <c r="E6282" s="2" t="s">
        <v>189</v>
      </c>
    </row>
    <row r="6283" spans="1:5" x14ac:dyDescent="0.2">
      <c r="A6283">
        <v>6222</v>
      </c>
      <c r="B6283" s="1832">
        <f>'Acct Summary 7-8'!J83</f>
        <v>0.35888765747630785</v>
      </c>
      <c r="D6283" s="2" t="str">
        <f t="shared" si="97"/>
        <v>Error?</v>
      </c>
      <c r="E6283" s="2" t="s">
        <v>189</v>
      </c>
    </row>
    <row r="6284" spans="1:5" x14ac:dyDescent="0.2">
      <c r="A6284">
        <v>6223</v>
      </c>
      <c r="B6284" s="1832">
        <f>'Acct Summary 7-8'!K83</f>
        <v>0.20308035946184613</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69531</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69531</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319</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319</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69850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63716</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75431</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510609</v>
      </c>
      <c r="D6983" s="2" t="str">
        <f t="shared" si="108"/>
        <v>Error?</v>
      </c>
    </row>
    <row r="6984" spans="1:4" x14ac:dyDescent="0.2">
      <c r="A6984">
        <v>6923</v>
      </c>
      <c r="B6984" s="1832">
        <f>'Expenditures 15-22'!K86</f>
        <v>510609</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510609</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38115</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69850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4326</v>
      </c>
      <c r="D7073" s="2" t="str">
        <f t="shared" si="109"/>
        <v>Error?</v>
      </c>
    </row>
    <row r="7074" spans="1:4" x14ac:dyDescent="0.2">
      <c r="A7074">
        <v>7013</v>
      </c>
      <c r="B7074" s="1832">
        <f>'Expenditures 15-22'!K216</f>
        <v>4326</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11005</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11005</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0</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0</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22553</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22553</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3188</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3188</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1369</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1369</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38115</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38115</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38115</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38115</v>
      </c>
      <c r="D7224" s="2" t="str">
        <f t="shared" si="111"/>
        <v>Error?</v>
      </c>
    </row>
    <row r="7225" spans="1:4" x14ac:dyDescent="0.2">
      <c r="A7225">
        <v>7164</v>
      </c>
      <c r="B7225" s="1832">
        <f>'Expenditures 15-22'!K343</f>
        <v>31735</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11715</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31067</v>
      </c>
      <c r="D7615" s="2" t="str">
        <f t="shared" ref="D7615:D7678" si="124">IF(ISBLANK(B7615),"OK",IF(A7615-B7615=0,"OK","Error?"))</f>
        <v>Error?</v>
      </c>
      <c r="E7615" s="2" t="s">
        <v>19</v>
      </c>
    </row>
    <row r="7616" spans="1:5" x14ac:dyDescent="0.2">
      <c r="A7616">
        <f t="shared" si="123"/>
        <v>7555</v>
      </c>
      <c r="B7616" s="1832">
        <f>'Cap Outlay Deprec 26'!D14</f>
        <v>9341</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40408</v>
      </c>
      <c r="D7618" s="2" t="str">
        <f t="shared" si="124"/>
        <v>Error?</v>
      </c>
      <c r="E7618" s="2" t="s">
        <v>19</v>
      </c>
    </row>
    <row r="7619" spans="1:5" x14ac:dyDescent="0.2">
      <c r="A7619">
        <f t="shared" si="123"/>
        <v>7558</v>
      </c>
      <c r="B7619" s="1832">
        <f>'Cap Outlay Deprec 26'!H14</f>
        <v>10356</v>
      </c>
      <c r="D7619" s="2" t="str">
        <f t="shared" si="124"/>
        <v>Error?</v>
      </c>
      <c r="E7619" s="2" t="s">
        <v>19</v>
      </c>
    </row>
    <row r="7620" spans="1:5" x14ac:dyDescent="0.2">
      <c r="A7620">
        <f t="shared" si="123"/>
        <v>7559</v>
      </c>
      <c r="B7620" s="1832">
        <f>'Cap Outlay Deprec 26'!I14</f>
        <v>13470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23826</v>
      </c>
      <c r="D7622" s="2" t="str">
        <f t="shared" si="124"/>
        <v>Error?</v>
      </c>
      <c r="E7622" s="2" t="s">
        <v>19</v>
      </c>
    </row>
    <row r="7623" spans="1:5" x14ac:dyDescent="0.2">
      <c r="A7623">
        <f t="shared" si="123"/>
        <v>7562</v>
      </c>
      <c r="B7623" s="1832">
        <f>'Cap Outlay Deprec 26'!L14</f>
        <v>16582</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145400</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5245</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32406</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71039</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71039</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3112</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38005</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5056</v>
      </c>
      <c r="D7724" s="2" t="str">
        <f t="shared" si="126"/>
        <v>Error?</v>
      </c>
      <c r="E7724" s="2" t="s">
        <v>822</v>
      </c>
      <c r="F7724" s="2"/>
    </row>
    <row r="7725" spans="1:6" x14ac:dyDescent="0.2">
      <c r="A7725">
        <v>7664</v>
      </c>
      <c r="B7725" s="1832">
        <f>'Rest Tax Levies-Tort Im 25'!J19</f>
        <v>60384</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65440</v>
      </c>
      <c r="D7727" s="2" t="str">
        <f t="shared" si="126"/>
        <v>Error?</v>
      </c>
      <c r="E7727" s="2" t="s">
        <v>822</v>
      </c>
    </row>
    <row r="7728" spans="1:6" x14ac:dyDescent="0.2">
      <c r="A7728">
        <v>7667</v>
      </c>
      <c r="B7728" s="1832">
        <f>'Revenues 9-14'!E103</f>
        <v>65440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103445</v>
      </c>
      <c r="D7730" s="2" t="str">
        <f t="shared" si="126"/>
        <v>Error?</v>
      </c>
      <c r="E7730" s="2" t="s">
        <v>822</v>
      </c>
    </row>
    <row r="7731" spans="1:6" x14ac:dyDescent="0.2">
      <c r="A7731">
        <v>7670</v>
      </c>
      <c r="B7731" s="1832">
        <f>'Revenues 9-14'!H103</f>
        <v>5599</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100000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0</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288150</v>
      </c>
      <c r="D7817" s="2" t="str">
        <f t="shared" si="128"/>
        <v>Error?</v>
      </c>
      <c r="E7817" s="4" t="s">
        <v>1966</v>
      </c>
    </row>
    <row r="7818" spans="1:5" x14ac:dyDescent="0.2">
      <c r="A7818">
        <v>7757</v>
      </c>
      <c r="B7818" s="1832">
        <f>'PCTC-OEPP 27-28'!F172</f>
        <v>76455</v>
      </c>
      <c r="D7818" s="2" t="str">
        <f t="shared" si="128"/>
        <v>Error?</v>
      </c>
      <c r="E7818" s="4" t="s">
        <v>1980</v>
      </c>
    </row>
    <row r="7819" spans="1:5" x14ac:dyDescent="0.2">
      <c r="A7819">
        <v>7758</v>
      </c>
      <c r="B7819" s="1832">
        <f>'PCTC-OEPP 27-28'!F173</f>
        <v>265</v>
      </c>
      <c r="D7819" s="2" t="str">
        <f t="shared" si="128"/>
        <v>Error?</v>
      </c>
      <c r="E7819" s="4" t="s">
        <v>1980</v>
      </c>
    </row>
    <row r="7820" spans="1:5" x14ac:dyDescent="0.2">
      <c r="A7820">
        <v>7759</v>
      </c>
      <c r="B7820" s="1832">
        <f>'ICR Computation 30'!E40</f>
        <v>-159176</v>
      </c>
      <c r="D7820" s="2" t="str">
        <f t="shared" si="128"/>
        <v>Error?</v>
      </c>
    </row>
    <row r="7821" spans="1:5" x14ac:dyDescent="0.2">
      <c r="A7821">
        <v>7760</v>
      </c>
      <c r="B7821" s="1832">
        <f>'ICR Computation 30'!G40</f>
        <v>-159176</v>
      </c>
      <c r="D7821" s="2" t="str">
        <f t="shared" si="128"/>
        <v>Error?</v>
      </c>
    </row>
    <row r="7822" spans="1:5" x14ac:dyDescent="0.2">
      <c r="A7822" s="1">
        <v>7761</v>
      </c>
      <c r="B7822" s="1832">
        <f>'PCTC-OEPP 27-28'!F14</f>
        <v>2919699</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75431</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1002</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766512</v>
      </c>
      <c r="D7834" s="2" t="str">
        <f t="shared" si="129"/>
        <v>Error?</v>
      </c>
      <c r="E7834" s="4" t="s">
        <v>1998</v>
      </c>
    </row>
    <row r="7835" spans="1:5" x14ac:dyDescent="0.2">
      <c r="A7835">
        <v>7774</v>
      </c>
      <c r="B7835" s="1832">
        <f>'PCTC-OEPP 27-28'!F78</f>
        <v>2153187</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10187.77856635912</v>
      </c>
      <c r="D7837" s="2" t="str">
        <f t="shared" si="129"/>
        <v>Error?</v>
      </c>
      <c r="E7837" s="4" t="s">
        <v>1998</v>
      </c>
    </row>
    <row r="7838" spans="1:5" x14ac:dyDescent="0.2">
      <c r="A7838">
        <v>7777</v>
      </c>
      <c r="B7838" s="1832">
        <f>'PCTC-OEPP 27-28'!F96</f>
        <v>1563</v>
      </c>
      <c r="D7838" s="2" t="str">
        <f t="shared" si="129"/>
        <v>Error?</v>
      </c>
      <c r="E7838" s="4" t="s">
        <v>1998</v>
      </c>
    </row>
    <row r="7839" spans="1:5" x14ac:dyDescent="0.2">
      <c r="A7839">
        <v>7778</v>
      </c>
      <c r="B7839" s="1832">
        <f>'PCTC-OEPP 27-28'!F102</f>
        <v>43162</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60573</v>
      </c>
      <c r="D7842" s="2" t="str">
        <f t="shared" si="129"/>
        <v>Error?</v>
      </c>
      <c r="E7842" s="4" t="s">
        <v>1998</v>
      </c>
    </row>
    <row r="7843" spans="1:5" x14ac:dyDescent="0.2">
      <c r="A7843">
        <v>7782</v>
      </c>
      <c r="B7843" s="1832">
        <f>'PCTC-OEPP 27-28'!F107</f>
        <v>0</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0</v>
      </c>
      <c r="D7846" s="2" t="str">
        <f t="shared" si="129"/>
        <v>Error?</v>
      </c>
      <c r="E7846" s="4" t="s">
        <v>1998</v>
      </c>
    </row>
    <row r="7847" spans="1:5" x14ac:dyDescent="0.2">
      <c r="A7847">
        <v>7786</v>
      </c>
      <c r="B7847" s="1832">
        <f>'PCTC-OEPP 27-28'!F112</f>
        <v>152670</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6149</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182321</v>
      </c>
      <c r="D7858" s="2" t="str">
        <f t="shared" si="129"/>
        <v>Error?</v>
      </c>
      <c r="E7858" s="4" t="s">
        <v>1998</v>
      </c>
    </row>
    <row r="7859" spans="1:5" x14ac:dyDescent="0.2">
      <c r="A7859">
        <v>7798</v>
      </c>
      <c r="B7859" s="1832">
        <f>'PCTC-OEPP 27-28'!F127</f>
        <v>145638</v>
      </c>
      <c r="D7859" s="2" t="str">
        <f t="shared" si="129"/>
        <v>Error?</v>
      </c>
      <c r="E7859" s="4" t="s">
        <v>1998</v>
      </c>
    </row>
    <row r="7860" spans="1:5" x14ac:dyDescent="0.2">
      <c r="A7860">
        <v>7799</v>
      </c>
      <c r="B7860" s="1832">
        <f>'PCTC-OEPP 27-28'!F128</f>
        <v>0</v>
      </c>
      <c r="D7860" s="2" t="str">
        <f t="shared" si="129"/>
        <v>Error?</v>
      </c>
      <c r="E7860" s="4" t="s">
        <v>1998</v>
      </c>
    </row>
    <row r="7861" spans="1:5" x14ac:dyDescent="0.2">
      <c r="A7861">
        <v>7800</v>
      </c>
      <c r="B7861" s="1832">
        <f>'PCTC-OEPP 27-28'!F129</f>
        <v>84510</v>
      </c>
      <c r="D7861" s="2" t="str">
        <f t="shared" si="129"/>
        <v>Error?</v>
      </c>
      <c r="E7861" s="4" t="s">
        <v>1998</v>
      </c>
    </row>
    <row r="7862" spans="1:5" x14ac:dyDescent="0.2">
      <c r="A7862">
        <v>7801</v>
      </c>
      <c r="B7862" s="1832">
        <f>'PCTC-OEPP 27-28'!F130</f>
        <v>0</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2603</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4446</v>
      </c>
      <c r="D7874" s="2" t="str">
        <f t="shared" si="129"/>
        <v>Error?</v>
      </c>
      <c r="E7874" s="4" t="s">
        <v>1998</v>
      </c>
    </row>
    <row r="7875" spans="1:5" x14ac:dyDescent="0.2">
      <c r="A7875">
        <v>7814</v>
      </c>
      <c r="B7875" s="1832">
        <f>'PCTC-OEPP 27-28'!F170</f>
        <v>5600</v>
      </c>
      <c r="D7875" s="2" t="str">
        <f t="shared" si="129"/>
        <v>Error?</v>
      </c>
      <c r="E7875" s="4" t="s">
        <v>1998</v>
      </c>
    </row>
    <row r="7876" spans="1:5" x14ac:dyDescent="0.2">
      <c r="A7876">
        <v>7815</v>
      </c>
      <c r="B7876" s="1832">
        <f>'PCTC-OEPP 27-28'!F171</f>
        <v>0</v>
      </c>
      <c r="D7876" s="2" t="str">
        <f t="shared" si="129"/>
        <v>Error?</v>
      </c>
      <c r="E7876" s="4" t="s">
        <v>1998</v>
      </c>
    </row>
    <row r="7877" spans="1:5" x14ac:dyDescent="0.2">
      <c r="A7877">
        <v>7816</v>
      </c>
      <c r="B7877" s="1832">
        <f>'PCTC-OEPP 27-28'!F175</f>
        <v>769339</v>
      </c>
      <c r="D7877" s="2" t="str">
        <f t="shared" si="129"/>
        <v>Error?</v>
      </c>
      <c r="E7877" s="4" t="s">
        <v>1998</v>
      </c>
    </row>
    <row r="7878" spans="1:5" x14ac:dyDescent="0.2">
      <c r="A7878">
        <v>7817</v>
      </c>
      <c r="B7878" s="1832">
        <f>'PCTC-OEPP 27-28'!F176</f>
        <v>1383848</v>
      </c>
      <c r="D7878" s="2" t="str">
        <f t="shared" si="129"/>
        <v>Error?</v>
      </c>
      <c r="E7878" s="4" t="s">
        <v>1998</v>
      </c>
    </row>
    <row r="7879" spans="1:5" x14ac:dyDescent="0.2">
      <c r="A7879">
        <v>7818</v>
      </c>
      <c r="B7879" s="1832">
        <f>'PCTC-OEPP 27-28'!F178</f>
        <v>1529248</v>
      </c>
      <c r="D7879" s="2" t="str">
        <f t="shared" si="129"/>
        <v>Error?</v>
      </c>
      <c r="E7879" s="4" t="s">
        <v>1998</v>
      </c>
    </row>
    <row r="7880" spans="1:5" x14ac:dyDescent="0.2">
      <c r="A7880">
        <v>7819</v>
      </c>
      <c r="B7880" s="1832">
        <f>'PCTC-OEPP 27-28'!F180</f>
        <v>7235.6186420629292</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8" t="s">
        <v>1181</v>
      </c>
      <c r="B2" s="2538"/>
      <c r="C2" s="2538"/>
      <c r="D2" s="2538"/>
      <c r="E2" s="2538"/>
      <c r="F2" s="2538"/>
      <c r="G2" s="2538"/>
      <c r="H2" s="2538"/>
      <c r="I2" s="2538"/>
      <c r="J2" s="2538"/>
      <c r="K2" s="2538"/>
      <c r="L2" s="2538"/>
    </row>
    <row r="3" spans="1:29" ht="13.5" customHeight="1" x14ac:dyDescent="0.2">
      <c r="A3" s="2524" t="s">
        <v>1180</v>
      </c>
      <c r="B3" s="2524"/>
      <c r="C3" s="2524"/>
      <c r="D3" s="2524"/>
      <c r="E3" s="2524"/>
      <c r="F3" s="2524"/>
      <c r="G3" s="2524"/>
      <c r="H3" s="2524"/>
      <c r="I3" s="2524"/>
      <c r="J3" s="2524"/>
      <c r="K3" s="2524"/>
      <c r="L3" s="2524"/>
    </row>
    <row r="4" spans="1:29" ht="13.5" customHeight="1" x14ac:dyDescent="0.2">
      <c r="A4" s="2555" t="str">
        <f>"Year Ending June 30, "&amp;'AFR20'!E2</f>
        <v>Year Ending June 30, 2020</v>
      </c>
      <c r="B4" s="2556"/>
      <c r="C4" s="2556"/>
      <c r="D4" s="2556"/>
      <c r="E4" s="2556"/>
      <c r="F4" s="2556"/>
      <c r="G4" s="2556"/>
      <c r="H4" s="2556"/>
      <c r="I4" s="2556"/>
      <c r="J4" s="2556"/>
      <c r="K4" s="2556"/>
      <c r="L4" s="2556"/>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8" t="str">
        <f>COVER!A17</f>
        <v xml:space="preserve">  Pleasant Hill SD 69</v>
      </c>
      <c r="B7" s="2519"/>
      <c r="C7" s="2519"/>
      <c r="D7" s="2557"/>
      <c r="E7" s="2558">
        <f>COVER!A13</f>
        <v>48072069002</v>
      </c>
      <c r="F7" s="2559"/>
      <c r="G7" s="2525" t="str">
        <f>COVER!T23</f>
        <v>066-004769</v>
      </c>
      <c r="H7" s="2526"/>
      <c r="I7" s="2526"/>
      <c r="J7" s="2526"/>
      <c r="K7" s="2526"/>
      <c r="L7" s="2527"/>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8"/>
      <c r="B9" s="2529"/>
      <c r="C9" s="2529"/>
      <c r="D9" s="2529"/>
      <c r="E9" s="2529"/>
      <c r="F9" s="2530"/>
      <c r="G9" s="2531" t="str">
        <f>COVER!T13</f>
        <v>Meister, Hilton, Chitwood &amp; Associates, Inc.</v>
      </c>
      <c r="H9" s="2532"/>
      <c r="I9" s="2532"/>
      <c r="J9" s="2532"/>
      <c r="K9" s="2532"/>
      <c r="L9" s="2533"/>
    </row>
    <row r="10" spans="1:29" ht="13.5" customHeight="1" x14ac:dyDescent="0.2">
      <c r="A10" s="2515" t="str">
        <f>COVER!A38</f>
        <v>Lisa Weaver</v>
      </c>
      <c r="B10" s="2516"/>
      <c r="C10" s="2516"/>
      <c r="D10" s="2516"/>
      <c r="E10" s="2516"/>
      <c r="F10" s="2517"/>
      <c r="G10" s="2531" t="str">
        <f>COVER!T17</f>
        <v>809 W. Detweiller Drive, Suite 806</v>
      </c>
      <c r="H10" s="2544"/>
      <c r="I10" s="2544"/>
      <c r="J10" s="2544"/>
      <c r="K10" s="2544"/>
      <c r="L10" s="2545"/>
    </row>
    <row r="11" spans="1:29" ht="13.5" customHeight="1" x14ac:dyDescent="0.2">
      <c r="A11" s="963" t="s">
        <v>1502</v>
      </c>
      <c r="B11" s="964"/>
      <c r="C11" s="965"/>
      <c r="D11" s="970"/>
      <c r="E11" s="965"/>
      <c r="F11" s="969"/>
      <c r="G11" s="2531" t="str">
        <f>COVER!T19</f>
        <v>Peoria</v>
      </c>
      <c r="H11" s="2544"/>
      <c r="I11" s="2544"/>
      <c r="J11" s="2544"/>
      <c r="K11" s="2544"/>
      <c r="L11" s="2545"/>
    </row>
    <row r="12" spans="1:29" ht="13.5" customHeight="1" x14ac:dyDescent="0.2">
      <c r="A12" s="2549" t="s">
        <v>1501</v>
      </c>
      <c r="B12" s="2550"/>
      <c r="C12" s="2550"/>
      <c r="D12" s="2550"/>
      <c r="E12" s="2550"/>
      <c r="F12" s="2551"/>
      <c r="G12" s="2546"/>
      <c r="H12" s="2547"/>
      <c r="I12" s="2547"/>
      <c r="J12" s="2547"/>
      <c r="K12" s="2547"/>
      <c r="L12" s="2548"/>
    </row>
    <row r="13" spans="1:29" ht="13.5" customHeight="1" x14ac:dyDescent="0.2">
      <c r="A13" s="2531"/>
      <c r="B13" s="2544"/>
      <c r="C13" s="2544"/>
      <c r="D13" s="2544"/>
      <c r="E13" s="2544"/>
      <c r="F13" s="2545"/>
      <c r="G13" s="2539" t="s">
        <v>1503</v>
      </c>
      <c r="H13" s="2540"/>
      <c r="I13" s="2552" t="str">
        <f>COVER!T25</f>
        <v>ron.hilton1@comcast.net</v>
      </c>
      <c r="J13" s="2553"/>
      <c r="K13" s="2553"/>
      <c r="L13" s="2554"/>
    </row>
    <row r="14" spans="1:29" ht="13.5" customHeight="1" x14ac:dyDescent="0.2">
      <c r="A14" s="2531" t="str">
        <f>COVER!A19</f>
        <v>3717 West Malone Street</v>
      </c>
      <c r="B14" s="2544"/>
      <c r="C14" s="2544"/>
      <c r="D14" s="2544"/>
      <c r="E14" s="2544"/>
      <c r="F14" s="2545"/>
      <c r="G14" s="974" t="s">
        <v>1175</v>
      </c>
      <c r="H14" s="972"/>
      <c r="I14" s="972"/>
      <c r="J14" s="972"/>
      <c r="K14" s="972"/>
      <c r="L14" s="973"/>
    </row>
    <row r="15" spans="1:29" ht="13.5" customHeight="1" x14ac:dyDescent="0.2">
      <c r="A15" s="2531" t="str">
        <f>COVER!A21</f>
        <v>Peoria</v>
      </c>
      <c r="B15" s="2544"/>
      <c r="C15" s="2544"/>
      <c r="D15" s="2544"/>
      <c r="E15" s="2544"/>
      <c r="F15" s="2545"/>
      <c r="G15" s="2541" t="str">
        <f>COVER!T15</f>
        <v>Ron Hilton</v>
      </c>
      <c r="H15" s="2542"/>
      <c r="I15" s="2542"/>
      <c r="J15" s="2542"/>
      <c r="K15" s="2542"/>
      <c r="L15" s="2543"/>
    </row>
    <row r="16" spans="1:29" ht="12.2" customHeight="1" x14ac:dyDescent="0.2">
      <c r="A16" s="2521">
        <f>COVER!A25</f>
        <v>61605</v>
      </c>
      <c r="B16" s="2522"/>
      <c r="C16" s="2522"/>
      <c r="D16" s="2522"/>
      <c r="E16" s="2522"/>
      <c r="F16" s="2523"/>
      <c r="G16" s="2534"/>
      <c r="H16" s="2535"/>
      <c r="I16" s="2535"/>
      <c r="J16" s="2535"/>
      <c r="K16" s="2535"/>
      <c r="L16" s="2536"/>
    </row>
    <row r="17" spans="1:13" ht="12.2" customHeight="1" x14ac:dyDescent="0.2">
      <c r="A17" s="2537"/>
      <c r="B17" s="2522"/>
      <c r="C17" s="2522"/>
      <c r="D17" s="2522"/>
      <c r="E17" s="2522"/>
      <c r="F17" s="2523"/>
      <c r="G17" s="974" t="s">
        <v>1174</v>
      </c>
      <c r="H17" s="972"/>
      <c r="I17" s="972"/>
      <c r="J17" s="972"/>
      <c r="K17" s="976" t="s">
        <v>1173</v>
      </c>
      <c r="L17" s="969"/>
      <c r="M17" s="962"/>
    </row>
    <row r="18" spans="1:13" ht="12.2" customHeight="1" x14ac:dyDescent="0.2">
      <c r="A18" s="2515"/>
      <c r="B18" s="2516"/>
      <c r="C18" s="2516"/>
      <c r="D18" s="2516"/>
      <c r="E18" s="2516"/>
      <c r="F18" s="2517"/>
      <c r="G18" s="2518" t="str">
        <f>COVER!T21</f>
        <v>(309) 683-0441</v>
      </c>
      <c r="H18" s="2519"/>
      <c r="I18" s="2519"/>
      <c r="J18" s="2519"/>
      <c r="K18" s="2518" t="str">
        <f>COVER!X21</f>
        <v>(309) 692-0492</v>
      </c>
      <c r="L18" s="252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60" t="str">
        <f>'Single Audit Cover'!A7</f>
        <v xml:space="preserve">  Pleasant Hill SD 69</v>
      </c>
      <c r="B1" s="2561"/>
      <c r="C1" s="2561"/>
      <c r="D1" s="2561"/>
    </row>
    <row r="2" spans="1:11" s="991" customFormat="1" ht="12.75" x14ac:dyDescent="0.2">
      <c r="A2" s="2562">
        <f>'Single Audit Cover'!E7</f>
        <v>48072069002</v>
      </c>
      <c r="B2" s="2563"/>
      <c r="C2" s="2563"/>
      <c r="D2" s="2563"/>
    </row>
    <row r="3" spans="1:11" s="991" customFormat="1" ht="12.75" x14ac:dyDescent="0.2">
      <c r="A3" s="2560" t="s">
        <v>1496</v>
      </c>
      <c r="B3" s="2561"/>
      <c r="C3" s="2561"/>
      <c r="D3" s="2561"/>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5" t="str">
        <f>'Single Audit Cover'!A7</f>
        <v xml:space="preserve">  Pleasant Hill SD 69</v>
      </c>
      <c r="B1" s="2565"/>
      <c r="C1" s="2565"/>
      <c r="D1" s="2565"/>
      <c r="E1" s="2565"/>
    </row>
    <row r="2" spans="1:5" x14ac:dyDescent="0.2">
      <c r="A2" s="2566">
        <f>'Single Audit Cover'!E7</f>
        <v>48072069002</v>
      </c>
      <c r="B2" s="2566"/>
      <c r="C2" s="2566"/>
      <c r="D2" s="2566"/>
      <c r="E2" s="2566"/>
    </row>
    <row r="3" spans="1:5" ht="4.5" customHeight="1" x14ac:dyDescent="0.2"/>
    <row r="4" spans="1:5" x14ac:dyDescent="0.2">
      <c r="A4" s="2565" t="s">
        <v>1234</v>
      </c>
      <c r="B4" s="2565"/>
      <c r="C4" s="2565"/>
      <c r="D4" s="2565"/>
      <c r="E4" s="2565"/>
    </row>
    <row r="5" spans="1:5" x14ac:dyDescent="0.2">
      <c r="A5" s="2568" t="str">
        <f>'Single Audit Cover'!A4</f>
        <v>Year Ending June 30, 2020</v>
      </c>
      <c r="B5" s="2568"/>
      <c r="C5" s="2568"/>
      <c r="D5" s="2568"/>
      <c r="E5" s="2568"/>
    </row>
    <row r="6" spans="1:5" x14ac:dyDescent="0.2">
      <c r="A6" s="2565" t="s">
        <v>1233</v>
      </c>
      <c r="B6" s="2565"/>
      <c r="C6" s="2565"/>
      <c r="D6" s="2565"/>
      <c r="E6" s="2565"/>
    </row>
    <row r="8" spans="1:5" x14ac:dyDescent="0.2">
      <c r="A8" s="1036" t="s">
        <v>1232</v>
      </c>
    </row>
    <row r="10" spans="1:5" x14ac:dyDescent="0.2">
      <c r="A10" s="1037" t="s">
        <v>1231</v>
      </c>
      <c r="B10" s="1038" t="s">
        <v>1230</v>
      </c>
      <c r="C10" s="1038"/>
      <c r="D10" s="1039">
        <f>SUM('Acct Summary 7-8'!C7:K7)</f>
        <v>425118</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10792</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-5600</v>
      </c>
    </row>
    <row r="19" spans="1:4" ht="13.5" thickBot="1" x14ac:dyDescent="0.25">
      <c r="A19" s="1041" t="s">
        <v>1224</v>
      </c>
      <c r="D19" s="1042">
        <f>SUM(D10:D17)</f>
        <v>430310</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7"/>
      <c r="B24" s="2567"/>
      <c r="D24" s="1044"/>
    </row>
    <row r="25" spans="1:4" x14ac:dyDescent="0.2">
      <c r="A25" s="2564"/>
      <c r="B25" s="2564"/>
      <c r="D25" s="1044"/>
    </row>
    <row r="26" spans="1:4" x14ac:dyDescent="0.2">
      <c r="A26" s="2564"/>
      <c r="B26" s="2564"/>
      <c r="D26" s="1044"/>
    </row>
    <row r="27" spans="1:4" x14ac:dyDescent="0.2">
      <c r="A27" s="2564"/>
      <c r="B27" s="2564"/>
      <c r="D27" s="1044"/>
    </row>
    <row r="28" spans="1:4" x14ac:dyDescent="0.2">
      <c r="A28" s="2564"/>
      <c r="B28" s="2564"/>
      <c r="D28" s="1044"/>
    </row>
    <row r="29" spans="1:4" x14ac:dyDescent="0.2">
      <c r="A29" s="2564"/>
      <c r="B29" s="2564"/>
      <c r="D29" s="1044"/>
    </row>
    <row r="30" spans="1:4" x14ac:dyDescent="0.2">
      <c r="A30" s="2564"/>
      <c r="B30" s="2564"/>
      <c r="D30" s="1044"/>
    </row>
    <row r="32" spans="1:4" x14ac:dyDescent="0.2">
      <c r="A32" s="1036" t="s">
        <v>1222</v>
      </c>
      <c r="D32" s="1039">
        <f>SUM(D19:D30)</f>
        <v>430310</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4"/>
      <c r="B40" s="2564"/>
      <c r="D40" s="1044"/>
    </row>
    <row r="41" spans="1:4" x14ac:dyDescent="0.2">
      <c r="A41" s="2564"/>
      <c r="B41" s="2564"/>
      <c r="D41" s="1047"/>
    </row>
    <row r="42" spans="1:4" x14ac:dyDescent="0.2">
      <c r="A42" s="2564"/>
      <c r="B42" s="2564"/>
      <c r="D42" s="1047"/>
    </row>
    <row r="43" spans="1:4" x14ac:dyDescent="0.2">
      <c r="A43" s="2564"/>
      <c r="B43" s="2564"/>
      <c r="D43" s="1047"/>
    </row>
    <row r="44" spans="1:4" x14ac:dyDescent="0.2">
      <c r="A44" s="2564"/>
      <c r="B44" s="2564"/>
      <c r="D44" s="1047"/>
    </row>
    <row r="45" spans="1:4" x14ac:dyDescent="0.2">
      <c r="A45" s="2564"/>
      <c r="B45" s="2564"/>
      <c r="D45" s="1047"/>
    </row>
    <row r="47" spans="1:4" x14ac:dyDescent="0.2">
      <c r="B47" s="1048" t="s">
        <v>1216</v>
      </c>
      <c r="C47" s="1048"/>
      <c r="D47" s="1049">
        <f>SUM(D35:D45)</f>
        <v>0</v>
      </c>
    </row>
    <row r="49" spans="2:4" x14ac:dyDescent="0.2">
      <c r="B49" s="1048" t="s">
        <v>1215</v>
      </c>
      <c r="C49" s="1048"/>
      <c r="D49" s="1049">
        <f>D32-D47</f>
        <v>430310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4" t="str">
        <f>'Single Audit Cover'!A7</f>
        <v xml:space="preserve">  Pleasant Hill SD 69</v>
      </c>
      <c r="C1" s="2569"/>
      <c r="D1" s="2569"/>
      <c r="E1" s="2569"/>
      <c r="F1" s="2569"/>
      <c r="G1" s="2569"/>
      <c r="H1" s="2569"/>
      <c r="I1" s="2569"/>
      <c r="J1" s="2569"/>
      <c r="K1" s="2569"/>
      <c r="L1" s="2569"/>
      <c r="M1" s="2569"/>
    </row>
    <row r="2" spans="2:14" ht="15" x14ac:dyDescent="0.2">
      <c r="B2" s="2570">
        <f>'Single Audit Cover'!E7</f>
        <v>48072069002</v>
      </c>
      <c r="C2" s="2570"/>
      <c r="D2" s="2570"/>
      <c r="E2" s="2570"/>
      <c r="F2" s="2570"/>
      <c r="G2" s="2570"/>
      <c r="H2" s="2570"/>
      <c r="I2" s="2570"/>
      <c r="J2" s="2570"/>
      <c r="K2" s="2570"/>
      <c r="L2" s="2570"/>
      <c r="M2" s="2570"/>
      <c r="N2" s="1078"/>
    </row>
    <row r="3" spans="2:14" ht="15" x14ac:dyDescent="0.2">
      <c r="B3" s="2571" t="s">
        <v>1208</v>
      </c>
      <c r="C3" s="2571"/>
      <c r="D3" s="2571"/>
      <c r="E3" s="2571"/>
      <c r="F3" s="2571"/>
      <c r="G3" s="2571"/>
      <c r="H3" s="2571"/>
      <c r="I3" s="2571"/>
      <c r="J3" s="2571"/>
      <c r="K3" s="2571"/>
      <c r="L3" s="2571"/>
      <c r="M3" s="2571"/>
      <c r="N3" s="1078"/>
    </row>
    <row r="4" spans="2:14" ht="15" x14ac:dyDescent="0.2">
      <c r="B4" s="2572" t="str">
        <f>'Single Audit Cover'!A4</f>
        <v>Year Ending June 30, 2020</v>
      </c>
      <c r="C4" s="2572"/>
      <c r="D4" s="2572"/>
      <c r="E4" s="2572"/>
      <c r="F4" s="2572"/>
      <c r="G4" s="2572"/>
      <c r="H4" s="2572"/>
      <c r="I4" s="2572"/>
      <c r="J4" s="2572"/>
      <c r="K4" s="2572"/>
      <c r="L4" s="2572"/>
      <c r="M4" s="2572"/>
      <c r="N4" s="1078"/>
    </row>
    <row r="5" spans="2:14" x14ac:dyDescent="0.2">
      <c r="H5" s="1917"/>
      <c r="J5" s="1917"/>
    </row>
    <row r="6" spans="2:14" x14ac:dyDescent="0.2">
      <c r="B6" s="1079"/>
      <c r="C6" s="1080"/>
      <c r="D6" s="1081" t="s">
        <v>1254</v>
      </c>
      <c r="E6" s="1082" t="s">
        <v>524</v>
      </c>
      <c r="F6" s="1083"/>
      <c r="G6" s="1084" t="s">
        <v>1711</v>
      </c>
      <c r="H6" s="1082"/>
      <c r="I6" s="1082"/>
      <c r="J6" s="1918"/>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6" t="str">
        <f>"7/1/"&amp;MID('AFR20'!$E$2,3,2)-2&amp;"-6/30/"&amp;MID('AFR20'!$E$2,3,2)-1</f>
        <v>7/1/18-6/30/19</v>
      </c>
      <c r="F9" s="1916" t="str">
        <f>"7/1/"&amp;MID('AFR20'!$E$2,3,2)-1&amp;"-6/30/"&amp;MID('AFR20'!$E$2,3,2)</f>
        <v>7/1/19-6/30/20</v>
      </c>
      <c r="G9" s="1916" t="str">
        <f>"7/1/"&amp;MID('AFR20'!$E$2,3,2)-2&amp;"-6/30/"&amp;MID('AFR20'!$E$2,3,2)-1</f>
        <v>7/1/18-6/30/19</v>
      </c>
      <c r="H9" s="1093" t="s">
        <v>1565</v>
      </c>
      <c r="I9" s="1916"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4" t="str">
        <f>'Single Audit Cover'!A7</f>
        <v xml:space="preserve">  Pleasant Hill SD 69</v>
      </c>
      <c r="B1" s="2574"/>
      <c r="C1" s="2574"/>
      <c r="D1" s="2574"/>
      <c r="E1" s="2574"/>
      <c r="F1" s="2574"/>
    </row>
    <row r="2" spans="1:7" ht="13.5" customHeight="1" x14ac:dyDescent="0.2">
      <c r="A2" s="2570">
        <f>'Single Audit Cover'!E7</f>
        <v>48072069002</v>
      </c>
      <c r="B2" s="2570"/>
      <c r="C2" s="2570"/>
      <c r="D2" s="2570"/>
      <c r="E2" s="2570"/>
      <c r="F2" s="2570"/>
      <c r="G2" s="1051"/>
    </row>
    <row r="3" spans="1:7" ht="15.75" customHeight="1" x14ac:dyDescent="0.2">
      <c r="A3" s="2575" t="s">
        <v>1260</v>
      </c>
      <c r="B3" s="2575"/>
      <c r="C3" s="2575"/>
      <c r="D3" s="2575"/>
      <c r="E3" s="2575"/>
      <c r="F3" s="2575"/>
    </row>
    <row r="4" spans="1:7" ht="13.5" customHeight="1" x14ac:dyDescent="0.2">
      <c r="A4" s="2576" t="str">
        <f>'Single Audit Cover'!A4</f>
        <v>Year Ending June 30, 2020</v>
      </c>
      <c r="B4" s="2576"/>
      <c r="C4" s="2576"/>
      <c r="D4" s="2576"/>
      <c r="E4" s="2576"/>
      <c r="F4" s="2576"/>
    </row>
    <row r="5" spans="1:7" ht="8.25" customHeight="1" x14ac:dyDescent="0.2">
      <c r="C5" s="295"/>
      <c r="D5" s="295"/>
    </row>
    <row r="6" spans="1:7" ht="13.5" customHeight="1" x14ac:dyDescent="0.2">
      <c r="A6" s="1052" t="s">
        <v>1705</v>
      </c>
      <c r="C6" s="295"/>
      <c r="D6" s="295"/>
    </row>
    <row r="7" spans="1:7" ht="60.95" customHeight="1" x14ac:dyDescent="0.2">
      <c r="A7" s="2573" t="s">
        <v>1706</v>
      </c>
      <c r="B7" s="2573"/>
      <c r="C7" s="2573"/>
      <c r="D7" s="2573"/>
      <c r="E7" s="2573"/>
      <c r="F7" s="2573"/>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3" t="s">
        <v>1708</v>
      </c>
      <c r="B13" s="2573"/>
      <c r="C13" s="2573"/>
      <c r="D13" s="2573"/>
      <c r="E13" s="2573"/>
      <c r="F13" s="2573"/>
    </row>
    <row r="14" spans="1:7" ht="9.75" customHeight="1" x14ac:dyDescent="0.2">
      <c r="C14" s="1036"/>
      <c r="D14" s="1036"/>
    </row>
    <row r="15" spans="1:7" ht="13.5" customHeight="1" x14ac:dyDescent="0.2">
      <c r="C15" s="1476" t="s">
        <v>1259</v>
      </c>
      <c r="D15" s="2578" t="s">
        <v>1258</v>
      </c>
      <c r="E15" s="2578"/>
      <c r="F15" s="2578"/>
    </row>
    <row r="16" spans="1:7" ht="13.5" customHeight="1" x14ac:dyDescent="0.2">
      <c r="A16" s="1058"/>
      <c r="B16" s="1052" t="s">
        <v>1257</v>
      </c>
      <c r="C16" s="1476" t="s">
        <v>1256</v>
      </c>
      <c r="D16" s="2579" t="s">
        <v>1571</v>
      </c>
      <c r="E16" s="2579"/>
      <c r="F16" s="2579"/>
    </row>
    <row r="17" spans="1:6" ht="20.45" customHeight="1" x14ac:dyDescent="0.2">
      <c r="A17" s="1059"/>
      <c r="B17" s="1060"/>
      <c r="C17" s="1061"/>
      <c r="D17" s="2577"/>
      <c r="E17" s="2577"/>
      <c r="F17" s="2577"/>
    </row>
    <row r="18" spans="1:6" ht="20.65" customHeight="1" x14ac:dyDescent="0.2">
      <c r="A18" s="1059"/>
      <c r="B18" s="1060"/>
      <c r="C18" s="1061"/>
      <c r="D18" s="2577"/>
      <c r="E18" s="2577"/>
      <c r="F18" s="2577"/>
    </row>
    <row r="19" spans="1:6" ht="20.65" customHeight="1" x14ac:dyDescent="0.2">
      <c r="A19" s="1059"/>
      <c r="B19" s="1060"/>
      <c r="C19" s="1061"/>
      <c r="D19" s="2577"/>
      <c r="E19" s="2577"/>
      <c r="F19" s="2577"/>
    </row>
    <row r="20" spans="1:6" ht="20.65" customHeight="1" x14ac:dyDescent="0.2">
      <c r="A20" s="1059"/>
      <c r="B20" s="1060"/>
      <c r="C20" s="1061"/>
      <c r="D20" s="2577"/>
      <c r="E20" s="2577"/>
      <c r="F20" s="2577"/>
    </row>
    <row r="21" spans="1:6" ht="20.65" customHeight="1" x14ac:dyDescent="0.2">
      <c r="A21" s="1059"/>
      <c r="B21" s="1060"/>
      <c r="C21" s="1061"/>
      <c r="D21" s="2577"/>
      <c r="E21" s="2577"/>
      <c r="F21" s="2577"/>
    </row>
    <row r="22" spans="1:6" ht="20.65" customHeight="1" x14ac:dyDescent="0.2">
      <c r="A22" s="1059"/>
      <c r="B22" s="1060"/>
      <c r="C22" s="1061"/>
      <c r="D22" s="2577"/>
      <c r="E22" s="2577"/>
      <c r="F22" s="2577"/>
    </row>
    <row r="23" spans="1:6" ht="20.65" customHeight="1" x14ac:dyDescent="0.2">
      <c r="A23" s="1059"/>
      <c r="B23" s="1060"/>
      <c r="C23" s="1061"/>
      <c r="D23" s="2577"/>
      <c r="E23" s="2577"/>
      <c r="F23" s="2577"/>
    </row>
    <row r="24" spans="1:6" ht="20.65" customHeight="1" x14ac:dyDescent="0.2">
      <c r="A24" s="1059"/>
      <c r="B24" s="1060"/>
      <c r="C24" s="1061"/>
      <c r="D24" s="2577"/>
      <c r="E24" s="2577"/>
      <c r="F24" s="2577"/>
    </row>
    <row r="25" spans="1:6" ht="20.65" customHeight="1" x14ac:dyDescent="0.2">
      <c r="A25" s="1059"/>
      <c r="B25" s="1060"/>
      <c r="C25" s="1061"/>
      <c r="D25" s="2577"/>
      <c r="E25" s="2577"/>
      <c r="F25" s="2577"/>
    </row>
    <row r="26" spans="1:6" ht="20.65" customHeight="1" x14ac:dyDescent="0.2">
      <c r="A26" s="1059"/>
      <c r="B26" s="1060"/>
      <c r="C26" s="1061"/>
      <c r="D26" s="2577"/>
      <c r="E26" s="2577"/>
      <c r="F26" s="2577"/>
    </row>
    <row r="27" spans="1:6" ht="20.65" customHeight="1" x14ac:dyDescent="0.2">
      <c r="A27" s="1059"/>
      <c r="B27" s="1060"/>
      <c r="C27" s="1061"/>
      <c r="D27" s="2577"/>
      <c r="E27" s="2577"/>
      <c r="F27" s="2577"/>
    </row>
    <row r="28" spans="1:6" ht="20.65" customHeight="1" x14ac:dyDescent="0.2">
      <c r="A28" s="1059"/>
      <c r="B28" s="1060"/>
      <c r="C28" s="1061"/>
      <c r="D28" s="2577"/>
      <c r="E28" s="2577"/>
      <c r="F28" s="2577"/>
    </row>
    <row r="29" spans="1:6" ht="20.65" customHeight="1" x14ac:dyDescent="0.2">
      <c r="A29" s="1059"/>
      <c r="B29" s="1060"/>
      <c r="C29" s="1061"/>
      <c r="D29" s="2577"/>
      <c r="E29" s="2577"/>
      <c r="F29" s="2577"/>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81" t="s">
        <v>1709</v>
      </c>
      <c r="B32" s="2581"/>
      <c r="C32" s="2581"/>
      <c r="D32" s="2581"/>
      <c r="E32" s="2581"/>
      <c r="F32" s="2581"/>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82">
        <f>+C33+C34</f>
        <v>0</v>
      </c>
      <c r="F34" s="2583"/>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4" t="s">
        <v>1573</v>
      </c>
      <c r="C49" s="2584"/>
      <c r="D49" s="2584"/>
      <c r="E49" s="1168"/>
    </row>
    <row r="50" spans="1:5" s="1076" customFormat="1" ht="3.75" customHeight="1" x14ac:dyDescent="0.2">
      <c r="A50" s="1075"/>
      <c r="B50" s="1475"/>
      <c r="C50" s="1475"/>
      <c r="D50" s="1475"/>
      <c r="E50" s="1168"/>
    </row>
    <row r="51" spans="1:5" s="1076" customFormat="1" ht="20.25" customHeight="1" x14ac:dyDescent="0.2">
      <c r="A51" s="1077">
        <v>6</v>
      </c>
      <c r="B51" s="2580" t="s">
        <v>1534</v>
      </c>
      <c r="C51" s="2580"/>
      <c r="D51" s="2580"/>
    </row>
    <row r="52" spans="1:5" ht="14.25" customHeight="1" x14ac:dyDescent="0.2">
      <c r="A52" s="1077"/>
      <c r="B52" s="2580"/>
      <c r="C52" s="2580"/>
      <c r="D52" s="2580"/>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9" t="str">
        <f>'Single Audit Cover'!A7</f>
        <v xml:space="preserve">  Pleasant Hill SD 69</v>
      </c>
      <c r="C1" s="2590"/>
      <c r="D1" s="2590"/>
      <c r="E1" s="2590"/>
      <c r="F1" s="2590"/>
      <c r="G1" s="2590"/>
      <c r="H1" s="2590"/>
      <c r="I1" s="2590"/>
      <c r="J1" s="1178"/>
    </row>
    <row r="2" spans="2:10" s="295" customFormat="1" ht="12.75" customHeight="1" x14ac:dyDescent="0.2">
      <c r="B2" s="2591">
        <f>'Single Audit Cover'!E7</f>
        <v>48072069002</v>
      </c>
      <c r="C2" s="2592"/>
      <c r="D2" s="2592"/>
      <c r="E2" s="2592"/>
      <c r="F2" s="2592"/>
      <c r="G2" s="2592"/>
      <c r="H2" s="2592"/>
      <c r="I2" s="2592"/>
      <c r="J2" s="1178"/>
    </row>
    <row r="3" spans="2:10" s="295" customFormat="1" ht="12.75" customHeight="1" x14ac:dyDescent="0.2">
      <c r="B3" s="2593" t="s">
        <v>1274</v>
      </c>
      <c r="C3" s="2594"/>
      <c r="D3" s="2594"/>
      <c r="E3" s="2594"/>
      <c r="F3" s="2594"/>
      <c r="G3" s="2594"/>
      <c r="H3" s="2594"/>
      <c r="I3" s="2594"/>
      <c r="J3" s="1179"/>
    </row>
    <row r="4" spans="2:10" s="295" customFormat="1" ht="12.75" customHeight="1" x14ac:dyDescent="0.2">
      <c r="B4" s="2593" t="str">
        <f>'Single Audit Cover'!A4</f>
        <v>Year Ending June 30, 2020</v>
      </c>
      <c r="C4" s="2594"/>
      <c r="D4" s="2594"/>
      <c r="E4" s="2594"/>
      <c r="F4" s="2594"/>
      <c r="G4" s="2594"/>
      <c r="H4" s="2594"/>
      <c r="I4" s="2594"/>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3" t="s">
        <v>1273</v>
      </c>
      <c r="C7" s="2594"/>
      <c r="D7" s="2594"/>
      <c r="E7" s="2594"/>
      <c r="F7" s="2594"/>
      <c r="G7" s="2594"/>
      <c r="H7" s="2594"/>
      <c r="I7" s="2594"/>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5"/>
      <c r="D11" s="2595"/>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96"/>
      <c r="E29" s="2596"/>
      <c r="F29" s="2596"/>
      <c r="G29" s="2596"/>
      <c r="H29" s="2596"/>
      <c r="I29" s="2596"/>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597" t="s">
        <v>1728</v>
      </c>
      <c r="D37" s="2598"/>
      <c r="E37" s="2598"/>
      <c r="F37" s="2599"/>
      <c r="G37" s="2597" t="s">
        <v>1575</v>
      </c>
      <c r="H37" s="2598"/>
      <c r="I37" s="2599"/>
    </row>
    <row r="38" spans="2:9" ht="16.5" customHeight="1" x14ac:dyDescent="0.2">
      <c r="B38" s="1200"/>
      <c r="C38" s="2585"/>
      <c r="D38" s="2586"/>
      <c r="E38" s="2586"/>
      <c r="F38" s="2587"/>
      <c r="G38" s="2600"/>
      <c r="H38" s="2601"/>
      <c r="I38" s="2602"/>
    </row>
    <row r="39" spans="2:9" ht="16.5" customHeight="1" x14ac:dyDescent="0.2">
      <c r="B39" s="1200"/>
      <c r="C39" s="2585"/>
      <c r="D39" s="2586"/>
      <c r="E39" s="2586"/>
      <c r="F39" s="2587"/>
      <c r="G39" s="2588"/>
      <c r="H39" s="2588"/>
      <c r="I39" s="2588"/>
    </row>
    <row r="40" spans="2:9" ht="16.5" customHeight="1" x14ac:dyDescent="0.2">
      <c r="B40" s="1200"/>
      <c r="C40" s="2585"/>
      <c r="D40" s="2586"/>
      <c r="E40" s="2586"/>
      <c r="F40" s="2587"/>
      <c r="G40" s="2588"/>
      <c r="H40" s="2588"/>
      <c r="I40" s="2588"/>
    </row>
    <row r="41" spans="2:9" ht="16.5" customHeight="1" x14ac:dyDescent="0.2">
      <c r="B41" s="1200"/>
      <c r="C41" s="2585"/>
      <c r="D41" s="2586"/>
      <c r="E41" s="2586"/>
      <c r="F41" s="2587"/>
      <c r="G41" s="2588"/>
      <c r="H41" s="2588"/>
      <c r="I41" s="2588"/>
    </row>
    <row r="42" spans="2:9" ht="16.5" customHeight="1" x14ac:dyDescent="0.2">
      <c r="B42" s="1200"/>
      <c r="C42" s="2585"/>
      <c r="D42" s="2586"/>
      <c r="E42" s="2586"/>
      <c r="F42" s="2587"/>
      <c r="G42" s="2588"/>
      <c r="H42" s="2588"/>
      <c r="I42" s="2588"/>
    </row>
    <row r="43" spans="2:9" ht="16.5" customHeight="1" x14ac:dyDescent="0.2">
      <c r="B43" s="1200"/>
      <c r="C43" s="2603" t="s">
        <v>1576</v>
      </c>
      <c r="D43" s="2604"/>
      <c r="E43" s="2604"/>
      <c r="F43" s="2605"/>
      <c r="G43" s="2606">
        <f>SUM(G38:I42)</f>
        <v>0</v>
      </c>
      <c r="H43" s="2606"/>
      <c r="I43" s="2606"/>
    </row>
    <row r="44" spans="2:9" ht="12.75" customHeight="1" x14ac:dyDescent="0.2"/>
    <row r="45" spans="2:9" ht="12.75" customHeight="1" x14ac:dyDescent="0.2">
      <c r="B45" s="1919" t="str">
        <f>"Total Federal Expenditures for 7/1/"&amp;MID('AFR20'!E2,3,2)-1&amp;"-6/30/"&amp;MID('AFR20'!E2,3,2)</f>
        <v>Total Federal Expenditures for 7/1/19-6/30/20</v>
      </c>
      <c r="C45" s="1920"/>
      <c r="D45" s="2607">
        <v>0</v>
      </c>
      <c r="E45" s="2608"/>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609"/>
      <c r="F49" s="2609"/>
      <c r="G49" s="2609"/>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20" zoomScale="110" zoomScaleNormal="110" workbookViewId="0">
      <selection activeCell="B33" sqref="B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9" t="str">
        <f>'Single Audit Cover'!A7</f>
        <v xml:space="preserve">  Pleasant Hill SD 69</v>
      </c>
      <c r="C1" s="2589"/>
      <c r="D1" s="2589"/>
      <c r="E1" s="2589"/>
      <c r="F1" s="2589"/>
      <c r="G1" s="2589"/>
      <c r="H1" s="2589"/>
      <c r="I1" s="2589"/>
      <c r="J1" s="2589"/>
      <c r="K1" s="2589"/>
      <c r="L1" s="1144"/>
      <c r="M1" s="1144"/>
    </row>
    <row r="2" spans="1:13" ht="12" customHeight="1" x14ac:dyDescent="0.2">
      <c r="B2" s="2591">
        <f>'Single Audit Cover'!E7</f>
        <v>48072069002</v>
      </c>
      <c r="C2" s="2591"/>
      <c r="D2" s="2591"/>
      <c r="E2" s="2591"/>
      <c r="F2" s="2591"/>
      <c r="G2" s="2591"/>
      <c r="H2" s="2591"/>
      <c r="I2" s="2591"/>
      <c r="J2" s="2591"/>
      <c r="K2" s="2591"/>
      <c r="L2" s="1145"/>
      <c r="M2" s="1146"/>
    </row>
    <row r="3" spans="1:13" ht="10.35" customHeight="1" x14ac:dyDescent="0.2">
      <c r="B3" s="2612" t="s">
        <v>1274</v>
      </c>
      <c r="C3" s="2612"/>
      <c r="D3" s="2612"/>
      <c r="E3" s="2612"/>
      <c r="F3" s="2612"/>
      <c r="G3" s="2612"/>
      <c r="H3" s="2612"/>
      <c r="I3" s="2612"/>
      <c r="J3" s="2612"/>
      <c r="K3" s="2612"/>
      <c r="L3" s="1147"/>
      <c r="M3" s="1147"/>
    </row>
    <row r="4" spans="1:13" ht="14.25" customHeight="1" x14ac:dyDescent="0.2">
      <c r="B4" s="2613" t="str">
        <f>'Single Audit Cover'!A4</f>
        <v>Year Ending June 30, 2020</v>
      </c>
      <c r="C4" s="2613"/>
      <c r="D4" s="2613"/>
      <c r="E4" s="2613"/>
      <c r="F4" s="2613"/>
      <c r="G4" s="2613"/>
      <c r="H4" s="2613"/>
      <c r="I4" s="2613"/>
      <c r="J4" s="2613"/>
      <c r="K4" s="2613"/>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3" t="s">
        <v>1285</v>
      </c>
      <c r="C7" s="2613"/>
      <c r="D7" s="2614"/>
      <c r="E7" s="2614"/>
      <c r="F7" s="2614"/>
      <c r="G7" s="2614"/>
      <c r="H7" s="2614"/>
      <c r="I7" s="2614"/>
      <c r="J7" s="2614"/>
      <c r="K7" s="2614"/>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21" t="str">
        <f>'AFR20'!$E$2&amp;"-"</f>
        <v>2020-</v>
      </c>
      <c r="D10" s="1155">
        <v>1</v>
      </c>
      <c r="E10" s="300"/>
      <c r="F10" s="1156" t="s">
        <v>1284</v>
      </c>
      <c r="G10" s="1157"/>
      <c r="H10" s="1158" t="s">
        <v>1283</v>
      </c>
      <c r="I10" s="1157" t="s">
        <v>2060</v>
      </c>
      <c r="J10" s="1159" t="s">
        <v>1282</v>
      </c>
      <c r="K10" s="300"/>
      <c r="L10" s="1151"/>
    </row>
    <row r="11" spans="1:13" ht="13.5" customHeight="1" x14ac:dyDescent="0.2">
      <c r="B11" s="300"/>
      <c r="C11" s="300"/>
      <c r="D11" s="300"/>
      <c r="E11" s="300"/>
      <c r="F11" s="300"/>
      <c r="G11" s="1153"/>
      <c r="H11" s="300"/>
      <c r="I11" s="1160" t="s">
        <v>1281</v>
      </c>
      <c r="J11" s="300"/>
      <c r="K11" s="1161">
        <v>1990</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1" t="s">
        <v>2082</v>
      </c>
      <c r="C14" s="2611"/>
      <c r="D14" s="2611"/>
      <c r="E14" s="2611"/>
      <c r="F14" s="2611"/>
      <c r="G14" s="2611"/>
      <c r="H14" s="2611"/>
      <c r="I14" s="2611"/>
      <c r="J14" s="2611"/>
      <c r="K14" s="2611"/>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1" t="s">
        <v>2083</v>
      </c>
      <c r="C17" s="2611"/>
      <c r="D17" s="2611"/>
      <c r="E17" s="2611"/>
      <c r="F17" s="2611"/>
      <c r="G17" s="2611"/>
      <c r="H17" s="2611"/>
      <c r="I17" s="2611"/>
      <c r="J17" s="2611"/>
      <c r="K17" s="2611"/>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5" t="s">
        <v>2084</v>
      </c>
      <c r="C20" s="2615"/>
      <c r="D20" s="2611"/>
      <c r="E20" s="2611"/>
      <c r="F20" s="2611"/>
      <c r="G20" s="2611"/>
      <c r="H20" s="2611"/>
      <c r="I20" s="2611"/>
      <c r="J20" s="2611"/>
      <c r="K20" s="2611"/>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1" t="s">
        <v>2085</v>
      </c>
      <c r="C23" s="2611"/>
      <c r="D23" s="2611"/>
      <c r="E23" s="2611"/>
      <c r="F23" s="2611"/>
      <c r="G23" s="2611"/>
      <c r="H23" s="2611"/>
      <c r="I23" s="2611"/>
      <c r="J23" s="2611"/>
      <c r="K23" s="2611"/>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1" t="s">
        <v>2086</v>
      </c>
      <c r="C26" s="2611"/>
      <c r="D26" s="2611"/>
      <c r="E26" s="2611"/>
      <c r="F26" s="2611"/>
      <c r="G26" s="2611"/>
      <c r="H26" s="2611"/>
      <c r="I26" s="2611"/>
      <c r="J26" s="2611"/>
      <c r="K26" s="2611"/>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0" t="s">
        <v>2087</v>
      </c>
      <c r="C29" s="2610"/>
      <c r="D29" s="2611"/>
      <c r="E29" s="2611"/>
      <c r="F29" s="2611"/>
      <c r="G29" s="2611"/>
      <c r="H29" s="2611"/>
      <c r="I29" s="2611"/>
      <c r="J29" s="2611"/>
      <c r="K29" s="2611"/>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10" t="s">
        <v>2088</v>
      </c>
      <c r="C32" s="2610"/>
      <c r="D32" s="2611"/>
      <c r="E32" s="2611"/>
      <c r="F32" s="2611"/>
      <c r="G32" s="2611"/>
      <c r="H32" s="2611"/>
      <c r="I32" s="2611"/>
      <c r="J32" s="2611"/>
      <c r="K32" s="2611"/>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36&amp;R&amp;8Page 36</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19" zoomScale="110" zoomScaleNormal="110" workbookViewId="0">
      <selection activeCell="B33" sqref="B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9" t="str">
        <f>'Single Audit Cover'!A7</f>
        <v xml:space="preserve">  Pleasant Hill SD 69</v>
      </c>
      <c r="C1" s="2589"/>
      <c r="D1" s="2589"/>
      <c r="E1" s="2589"/>
      <c r="F1" s="2589"/>
      <c r="G1" s="2589"/>
      <c r="H1" s="2589"/>
      <c r="I1" s="2589"/>
      <c r="J1" s="2589"/>
      <c r="K1" s="2589"/>
      <c r="L1" s="1144"/>
      <c r="M1" s="1144"/>
    </row>
    <row r="2" spans="1:13" ht="12" customHeight="1" x14ac:dyDescent="0.2">
      <c r="B2" s="2591">
        <f>'Single Audit Cover'!E7</f>
        <v>48072069002</v>
      </c>
      <c r="C2" s="2591"/>
      <c r="D2" s="2591"/>
      <c r="E2" s="2591"/>
      <c r="F2" s="2591"/>
      <c r="G2" s="2591"/>
      <c r="H2" s="2591"/>
      <c r="I2" s="2591"/>
      <c r="J2" s="2591"/>
      <c r="K2" s="2591"/>
      <c r="L2" s="1145"/>
      <c r="M2" s="1146"/>
    </row>
    <row r="3" spans="1:13" ht="10.35" customHeight="1" x14ac:dyDescent="0.2">
      <c r="B3" s="2612" t="s">
        <v>1274</v>
      </c>
      <c r="C3" s="2612"/>
      <c r="D3" s="2612"/>
      <c r="E3" s="2612"/>
      <c r="F3" s="2612"/>
      <c r="G3" s="2612"/>
      <c r="H3" s="2612"/>
      <c r="I3" s="2612"/>
      <c r="J3" s="2612"/>
      <c r="K3" s="2612"/>
      <c r="L3" s="2037"/>
      <c r="M3" s="2037"/>
    </row>
    <row r="4" spans="1:13" ht="14.25" customHeight="1" x14ac:dyDescent="0.2">
      <c r="B4" s="2613" t="str">
        <f>'Single Audit Cover'!A4</f>
        <v>Year Ending June 30, 2020</v>
      </c>
      <c r="C4" s="2613"/>
      <c r="D4" s="2613"/>
      <c r="E4" s="2613"/>
      <c r="F4" s="2613"/>
      <c r="G4" s="2613"/>
      <c r="H4" s="2613"/>
      <c r="I4" s="2613"/>
      <c r="J4" s="2613"/>
      <c r="K4" s="2613"/>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3" t="s">
        <v>1285</v>
      </c>
      <c r="C7" s="2613"/>
      <c r="D7" s="2614"/>
      <c r="E7" s="2614"/>
      <c r="F7" s="2614"/>
      <c r="G7" s="2614"/>
      <c r="H7" s="2614"/>
      <c r="I7" s="2614"/>
      <c r="J7" s="2614"/>
      <c r="K7" s="2614"/>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21" t="str">
        <f>'AFR20'!$E$2&amp;"-"</f>
        <v>2020-</v>
      </c>
      <c r="D10" s="1155">
        <v>2</v>
      </c>
      <c r="E10" s="300"/>
      <c r="F10" s="1156" t="s">
        <v>1284</v>
      </c>
      <c r="G10" s="1157"/>
      <c r="H10" s="1158" t="s">
        <v>1283</v>
      </c>
      <c r="I10" s="1157" t="s">
        <v>2060</v>
      </c>
      <c r="J10" s="1159" t="s">
        <v>1282</v>
      </c>
      <c r="K10" s="300"/>
      <c r="L10" s="1151"/>
    </row>
    <row r="11" spans="1:13" ht="13.5" customHeight="1" x14ac:dyDescent="0.2">
      <c r="B11" s="300"/>
      <c r="C11" s="300"/>
      <c r="D11" s="300"/>
      <c r="E11" s="300"/>
      <c r="F11" s="300"/>
      <c r="G11" s="1153"/>
      <c r="H11" s="300"/>
      <c r="I11" s="1160" t="s">
        <v>1281</v>
      </c>
      <c r="J11" s="300"/>
      <c r="K11" s="1161">
        <v>2019</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1" t="s">
        <v>2089</v>
      </c>
      <c r="C14" s="2611"/>
      <c r="D14" s="2611"/>
      <c r="E14" s="2611"/>
      <c r="F14" s="2611"/>
      <c r="G14" s="2611"/>
      <c r="H14" s="2611"/>
      <c r="I14" s="2611"/>
      <c r="J14" s="2611"/>
      <c r="K14" s="2611"/>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52.9" customHeight="1" x14ac:dyDescent="0.2">
      <c r="B17" s="2611" t="s">
        <v>2090</v>
      </c>
      <c r="C17" s="2611"/>
      <c r="D17" s="2611"/>
      <c r="E17" s="2611"/>
      <c r="F17" s="2611"/>
      <c r="G17" s="2611"/>
      <c r="H17" s="2611"/>
      <c r="I17" s="2611"/>
      <c r="J17" s="2611"/>
      <c r="K17" s="2611"/>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5" t="s">
        <v>2091</v>
      </c>
      <c r="C20" s="2615"/>
      <c r="D20" s="2611"/>
      <c r="E20" s="2611"/>
      <c r="F20" s="2611"/>
      <c r="G20" s="2611"/>
      <c r="H20" s="2611"/>
      <c r="I20" s="2611"/>
      <c r="J20" s="2611"/>
      <c r="K20" s="2611"/>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1" t="s">
        <v>2092</v>
      </c>
      <c r="C23" s="2611"/>
      <c r="D23" s="2611"/>
      <c r="E23" s="2611"/>
      <c r="F23" s="2611"/>
      <c r="G23" s="2611"/>
      <c r="H23" s="2611"/>
      <c r="I23" s="2611"/>
      <c r="J23" s="2611"/>
      <c r="K23" s="2611"/>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1" t="s">
        <v>2093</v>
      </c>
      <c r="C26" s="2611"/>
      <c r="D26" s="2611"/>
      <c r="E26" s="2611"/>
      <c r="F26" s="2611"/>
      <c r="G26" s="2611"/>
      <c r="H26" s="2611"/>
      <c r="I26" s="2611"/>
      <c r="J26" s="2611"/>
      <c r="K26" s="2611"/>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0" t="s">
        <v>2094</v>
      </c>
      <c r="C29" s="2610"/>
      <c r="D29" s="2611"/>
      <c r="E29" s="2611"/>
      <c r="F29" s="2611"/>
      <c r="G29" s="2611"/>
      <c r="H29" s="2611"/>
      <c r="I29" s="2611"/>
      <c r="J29" s="2611"/>
      <c r="K29" s="2611"/>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10" t="s">
        <v>2095</v>
      </c>
      <c r="C32" s="2610"/>
      <c r="D32" s="2611"/>
      <c r="E32" s="2611"/>
      <c r="F32" s="2611"/>
      <c r="G32" s="2611"/>
      <c r="H32" s="2611"/>
      <c r="I32" s="2611"/>
      <c r="J32" s="2611"/>
      <c r="K32" s="2611"/>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37&amp;R&amp;8Page 37</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topLeftCell="A25" zoomScale="110" zoomScaleNormal="110" workbookViewId="0">
      <selection activeCell="H40" sqref="H4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9" t="str">
        <f>'Single Audit Cover'!A7</f>
        <v xml:space="preserve">  Pleasant Hill SD 69</v>
      </c>
      <c r="C1" s="2589"/>
      <c r="D1" s="2589"/>
      <c r="E1" s="2589"/>
      <c r="F1" s="2589"/>
      <c r="G1" s="2589"/>
      <c r="H1" s="2589"/>
      <c r="I1" s="2589"/>
      <c r="J1" s="2589"/>
      <c r="K1" s="2589"/>
      <c r="L1" s="1144"/>
      <c r="M1" s="1144"/>
    </row>
    <row r="2" spans="1:13" ht="12" customHeight="1" x14ac:dyDescent="0.2">
      <c r="B2" s="2591">
        <f>'Single Audit Cover'!E7</f>
        <v>48072069002</v>
      </c>
      <c r="C2" s="2591"/>
      <c r="D2" s="2591"/>
      <c r="E2" s="2591"/>
      <c r="F2" s="2591"/>
      <c r="G2" s="2591"/>
      <c r="H2" s="2591"/>
      <c r="I2" s="2591"/>
      <c r="J2" s="2591"/>
      <c r="K2" s="2591"/>
      <c r="L2" s="1145"/>
      <c r="M2" s="1146"/>
    </row>
    <row r="3" spans="1:13" ht="10.35" customHeight="1" x14ac:dyDescent="0.2">
      <c r="B3" s="2612" t="s">
        <v>1274</v>
      </c>
      <c r="C3" s="2612"/>
      <c r="D3" s="2612"/>
      <c r="E3" s="2612"/>
      <c r="F3" s="2612"/>
      <c r="G3" s="2612"/>
      <c r="H3" s="2612"/>
      <c r="I3" s="2612"/>
      <c r="J3" s="2612"/>
      <c r="K3" s="2612"/>
      <c r="L3" s="2037"/>
      <c r="M3" s="2037"/>
    </row>
    <row r="4" spans="1:13" ht="14.25" customHeight="1" x14ac:dyDescent="0.2">
      <c r="B4" s="2613" t="str">
        <f>'Single Audit Cover'!A4</f>
        <v>Year Ending June 30, 2020</v>
      </c>
      <c r="C4" s="2613"/>
      <c r="D4" s="2613"/>
      <c r="E4" s="2613"/>
      <c r="F4" s="2613"/>
      <c r="G4" s="2613"/>
      <c r="H4" s="2613"/>
      <c r="I4" s="2613"/>
      <c r="J4" s="2613"/>
      <c r="K4" s="2613"/>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3" t="s">
        <v>1285</v>
      </c>
      <c r="C7" s="2613"/>
      <c r="D7" s="2614"/>
      <c r="E7" s="2614"/>
      <c r="F7" s="2614"/>
      <c r="G7" s="2614"/>
      <c r="H7" s="2614"/>
      <c r="I7" s="2614"/>
      <c r="J7" s="2614"/>
      <c r="K7" s="2614"/>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21" t="str">
        <f>'AFR20'!$E$2&amp;"-"</f>
        <v>2020-</v>
      </c>
      <c r="D10" s="1155">
        <v>3</v>
      </c>
      <c r="E10" s="300"/>
      <c r="F10" s="1156" t="s">
        <v>1284</v>
      </c>
      <c r="G10" s="1157"/>
      <c r="H10" s="1158" t="s">
        <v>1283</v>
      </c>
      <c r="I10" s="1157" t="s">
        <v>2060</v>
      </c>
      <c r="J10" s="1159" t="s">
        <v>1282</v>
      </c>
      <c r="K10" s="300"/>
      <c r="L10" s="1151"/>
    </row>
    <row r="11" spans="1:13" ht="13.5" customHeight="1" x14ac:dyDescent="0.2">
      <c r="B11" s="300"/>
      <c r="C11" s="300"/>
      <c r="D11" s="300"/>
      <c r="E11" s="300"/>
      <c r="F11" s="300"/>
      <c r="G11" s="1153"/>
      <c r="H11" s="300"/>
      <c r="I11" s="1160" t="s">
        <v>1281</v>
      </c>
      <c r="J11" s="300"/>
      <c r="K11" s="1161">
        <v>2006</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54" customHeight="1" x14ac:dyDescent="0.2">
      <c r="B14" s="2611" t="s">
        <v>2096</v>
      </c>
      <c r="C14" s="2611"/>
      <c r="D14" s="2611"/>
      <c r="E14" s="2611"/>
      <c r="F14" s="2611"/>
      <c r="G14" s="2611"/>
      <c r="H14" s="2611"/>
      <c r="I14" s="2611"/>
      <c r="J14" s="2611"/>
      <c r="K14" s="2611"/>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67.900000000000006" customHeight="1" x14ac:dyDescent="0.2">
      <c r="B17" s="2611" t="s">
        <v>2097</v>
      </c>
      <c r="C17" s="2611"/>
      <c r="D17" s="2611"/>
      <c r="E17" s="2611"/>
      <c r="F17" s="2611"/>
      <c r="G17" s="2611"/>
      <c r="H17" s="2611"/>
      <c r="I17" s="2611"/>
      <c r="J17" s="2611"/>
      <c r="K17" s="2611"/>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5" t="s">
        <v>2098</v>
      </c>
      <c r="C20" s="2615"/>
      <c r="D20" s="2611"/>
      <c r="E20" s="2611"/>
      <c r="F20" s="2611"/>
      <c r="G20" s="2611"/>
      <c r="H20" s="2611"/>
      <c r="I20" s="2611"/>
      <c r="J20" s="2611"/>
      <c r="K20" s="2611"/>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1" t="s">
        <v>2099</v>
      </c>
      <c r="C23" s="2611"/>
      <c r="D23" s="2611"/>
      <c r="E23" s="2611"/>
      <c r="F23" s="2611"/>
      <c r="G23" s="2611"/>
      <c r="H23" s="2611"/>
      <c r="I23" s="2611"/>
      <c r="J23" s="2611"/>
      <c r="K23" s="2611"/>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1" t="s">
        <v>2100</v>
      </c>
      <c r="C26" s="2611"/>
      <c r="D26" s="2611"/>
      <c r="E26" s="2611"/>
      <c r="F26" s="2611"/>
      <c r="G26" s="2611"/>
      <c r="H26" s="2611"/>
      <c r="I26" s="2611"/>
      <c r="J26" s="2611"/>
      <c r="K26" s="2611"/>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8.6" customHeight="1" x14ac:dyDescent="0.2">
      <c r="B29" s="2610" t="s">
        <v>2101</v>
      </c>
      <c r="C29" s="2610"/>
      <c r="D29" s="2611"/>
      <c r="E29" s="2611"/>
      <c r="F29" s="2611"/>
      <c r="G29" s="2611"/>
      <c r="H29" s="2611"/>
      <c r="I29" s="2611"/>
      <c r="J29" s="2611"/>
      <c r="K29" s="2611"/>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55.15" customHeight="1" x14ac:dyDescent="0.2">
      <c r="B32" s="2610" t="s">
        <v>2102</v>
      </c>
      <c r="C32" s="2610"/>
      <c r="D32" s="2611"/>
      <c r="E32" s="2611"/>
      <c r="F32" s="2611"/>
      <c r="G32" s="2611"/>
      <c r="H32" s="2611"/>
      <c r="I32" s="2611"/>
      <c r="J32" s="2611"/>
      <c r="K32" s="2611"/>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38&amp;R&amp;8Page 38</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D14" sqref="D14:F14"/>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 xml:space="preserve">  Pleasant Hill SD 69</v>
      </c>
      <c r="C1" s="2616"/>
      <c r="D1" s="2616"/>
      <c r="E1" s="2616"/>
      <c r="F1" s="2616"/>
      <c r="G1" s="2616"/>
      <c r="H1" s="2616"/>
      <c r="I1" s="2616"/>
      <c r="J1" s="2616"/>
      <c r="K1" s="2616"/>
      <c r="L1" s="1221"/>
    </row>
    <row r="2" spans="1:12" ht="12.75" customHeight="1" x14ac:dyDescent="0.2">
      <c r="B2" s="2617">
        <f>'Single Audit Cover'!E7</f>
        <v>48072069002</v>
      </c>
      <c r="C2" s="2617"/>
      <c r="D2" s="2617"/>
      <c r="E2" s="2617"/>
      <c r="F2" s="2617"/>
      <c r="G2" s="2617"/>
      <c r="H2" s="2617"/>
      <c r="I2" s="2617"/>
      <c r="J2" s="2617"/>
      <c r="K2" s="2617"/>
      <c r="L2" s="1222"/>
    </row>
    <row r="3" spans="1:12" ht="12.75" customHeight="1" x14ac:dyDescent="0.2">
      <c r="B3" s="2612" t="s">
        <v>1274</v>
      </c>
      <c r="C3" s="2612"/>
      <c r="D3" s="2612"/>
      <c r="E3" s="2612"/>
      <c r="F3" s="2612"/>
      <c r="G3" s="2612"/>
      <c r="H3" s="2612"/>
      <c r="I3" s="2612"/>
      <c r="J3" s="2612"/>
      <c r="K3" s="2612"/>
      <c r="L3" s="1147"/>
    </row>
    <row r="4" spans="1:12" ht="12.75" customHeight="1" x14ac:dyDescent="0.2">
      <c r="B4" s="2612" t="str">
        <f>'Single Audit Cover'!A4</f>
        <v>Year Ending June 30, 2020</v>
      </c>
      <c r="C4" s="2612"/>
      <c r="D4" s="2612"/>
      <c r="E4" s="2612"/>
      <c r="F4" s="2612"/>
      <c r="G4" s="2612"/>
      <c r="H4" s="2612"/>
      <c r="I4" s="2612"/>
      <c r="J4" s="2612"/>
      <c r="K4" s="2612"/>
      <c r="L4" s="1147"/>
    </row>
    <row r="5" spans="1:12" ht="5.25" customHeight="1" x14ac:dyDescent="0.2">
      <c r="B5" s="1036" t="s">
        <v>1159</v>
      </c>
      <c r="C5" s="1036"/>
      <c r="L5" s="300"/>
    </row>
    <row r="6" spans="1:12" ht="30.75" customHeight="1" x14ac:dyDescent="0.2">
      <c r="A6" s="300"/>
      <c r="B6" s="2618" t="s">
        <v>1297</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21"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6"/>
      <c r="G12" s="2596"/>
      <c r="H12" s="2596"/>
      <c r="I12" s="2596"/>
      <c r="J12" s="2596"/>
      <c r="K12" s="2596"/>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9"/>
      <c r="E14" s="2619"/>
      <c r="F14" s="2619"/>
      <c r="H14" s="1230" t="s">
        <v>1292</v>
      </c>
      <c r="I14" s="2620"/>
      <c r="J14" s="2620"/>
      <c r="K14" s="2620"/>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0"/>
      <c r="E16" s="2620"/>
      <c r="F16" s="2620"/>
      <c r="G16" s="2620"/>
      <c r="H16" s="2620"/>
      <c r="I16" s="2620"/>
      <c r="J16" s="2620"/>
      <c r="K16" s="2620"/>
      <c r="L16" s="300"/>
    </row>
    <row r="17" spans="2:12" ht="13.5" customHeight="1" x14ac:dyDescent="0.2">
      <c r="B17" s="1156" t="s">
        <v>1290</v>
      </c>
      <c r="C17" s="1156"/>
      <c r="D17" s="2621"/>
      <c r="E17" s="2621"/>
      <c r="F17" s="2621"/>
      <c r="G17" s="2621"/>
      <c r="H17" s="2621"/>
      <c r="I17" s="2621"/>
      <c r="J17" s="2621"/>
      <c r="K17" s="2621"/>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1"/>
      <c r="C20" s="2611"/>
      <c r="D20" s="2611"/>
      <c r="E20" s="2611"/>
      <c r="F20" s="2611"/>
      <c r="G20" s="2611"/>
      <c r="H20" s="2611"/>
      <c r="I20" s="2611"/>
      <c r="J20" s="2611"/>
      <c r="K20" s="2611"/>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11"/>
      <c r="C23" s="2611"/>
      <c r="D23" s="2611"/>
      <c r="E23" s="2611"/>
      <c r="F23" s="2611"/>
      <c r="G23" s="2611"/>
      <c r="H23" s="2611"/>
      <c r="I23" s="2611"/>
      <c r="J23" s="2611"/>
      <c r="K23" s="2611"/>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11"/>
      <c r="C26" s="2611"/>
      <c r="D26" s="2611"/>
      <c r="E26" s="2611"/>
      <c r="F26" s="2611"/>
      <c r="G26" s="2611"/>
      <c r="H26" s="2611"/>
      <c r="I26" s="2611"/>
      <c r="J26" s="2611"/>
      <c r="K26" s="2611"/>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11"/>
      <c r="C29" s="2611"/>
      <c r="D29" s="2611"/>
      <c r="E29" s="2611"/>
      <c r="F29" s="2611"/>
      <c r="G29" s="2611"/>
      <c r="H29" s="2611"/>
      <c r="I29" s="2611"/>
      <c r="J29" s="2611"/>
      <c r="K29" s="2611"/>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1"/>
      <c r="C32" s="2611"/>
      <c r="D32" s="2611"/>
      <c r="E32" s="2611"/>
      <c r="F32" s="2611"/>
      <c r="G32" s="2611"/>
      <c r="H32" s="2611"/>
      <c r="I32" s="2611"/>
      <c r="J32" s="2611"/>
      <c r="K32" s="2611"/>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11"/>
      <c r="C35" s="2611"/>
      <c r="D35" s="2611"/>
      <c r="E35" s="2611"/>
      <c r="F35" s="2611"/>
      <c r="G35" s="2611"/>
      <c r="H35" s="2611"/>
      <c r="I35" s="2611"/>
      <c r="J35" s="2611"/>
      <c r="K35" s="2611"/>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1"/>
      <c r="C38" s="2611"/>
      <c r="D38" s="2611"/>
      <c r="E38" s="2611"/>
      <c r="F38" s="2611"/>
      <c r="G38" s="2611"/>
      <c r="H38" s="2611"/>
      <c r="I38" s="2611"/>
      <c r="J38" s="2611"/>
      <c r="K38" s="2611"/>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11"/>
      <c r="C41" s="2611"/>
      <c r="D41" s="2611"/>
      <c r="E41" s="2611"/>
      <c r="F41" s="2611"/>
      <c r="G41" s="2611"/>
      <c r="H41" s="2611"/>
      <c r="I41" s="2611"/>
      <c r="J41" s="2611"/>
      <c r="K41" s="2611"/>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73"/>
  <sheetViews>
    <sheetView showGridLines="0" zoomScale="110" zoomScaleNormal="110" workbookViewId="0">
      <selection activeCell="D17" sqref="D1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9" t="str">
        <f>'Single Audit Cover'!A7</f>
        <v xml:space="preserve">  Pleasant Hill SD 69</v>
      </c>
      <c r="C1" s="2589"/>
      <c r="D1" s="2589"/>
      <c r="E1" s="1240"/>
    </row>
    <row r="2" spans="2:5" s="1058" customFormat="1" ht="12.75" customHeight="1" x14ac:dyDescent="0.2">
      <c r="B2" s="2591">
        <f>'Single Audit Cover'!E7</f>
        <v>48072069002</v>
      </c>
      <c r="C2" s="2591"/>
      <c r="D2" s="2591"/>
      <c r="E2" s="1241"/>
    </row>
    <row r="3" spans="2:5" ht="12.75" customHeight="1" x14ac:dyDescent="0.2">
      <c r="B3" s="2612" t="s">
        <v>1743</v>
      </c>
      <c r="C3" s="2612"/>
      <c r="D3" s="2612"/>
      <c r="E3" s="1050"/>
    </row>
    <row r="4" spans="2:5" s="1058" customFormat="1" ht="12.75" customHeight="1" x14ac:dyDescent="0.2">
      <c r="B4" s="2622" t="str">
        <f>'Single Audit Cover'!A4</f>
        <v>Year Ending June 30, 2020</v>
      </c>
      <c r="C4" s="2622"/>
      <c r="D4" s="2622"/>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6" t="s">
        <v>2103</v>
      </c>
      <c r="C8" s="301" t="s">
        <v>2104</v>
      </c>
      <c r="D8" s="301" t="s">
        <v>2105</v>
      </c>
      <c r="E8" s="302"/>
    </row>
    <row r="9" spans="2:5" ht="13.5" customHeight="1" x14ac:dyDescent="0.2">
      <c r="B9" s="1245"/>
      <c r="C9" s="301" t="s">
        <v>2106</v>
      </c>
      <c r="D9" s="301" t="s">
        <v>2107</v>
      </c>
      <c r="E9" s="301"/>
    </row>
    <row r="10" spans="2:5" ht="13.5" customHeight="1" x14ac:dyDescent="0.2">
      <c r="B10" s="1245"/>
      <c r="C10" s="301"/>
      <c r="D10" s="301"/>
      <c r="E10" s="301"/>
    </row>
    <row r="11" spans="2:5" ht="13.5" customHeight="1" x14ac:dyDescent="0.2">
      <c r="B11" s="1245" t="s">
        <v>2108</v>
      </c>
      <c r="C11" s="301" t="s">
        <v>2114</v>
      </c>
      <c r="D11" s="301" t="s">
        <v>2105</v>
      </c>
      <c r="E11" s="301"/>
    </row>
    <row r="12" spans="2:5" ht="13.5" customHeight="1" x14ac:dyDescent="0.2">
      <c r="B12" s="1245"/>
      <c r="C12" s="301" t="s">
        <v>2115</v>
      </c>
      <c r="D12" s="301" t="s">
        <v>2112</v>
      </c>
      <c r="E12" s="301"/>
    </row>
    <row r="13" spans="2:5" ht="13.5" customHeight="1" x14ac:dyDescent="0.2">
      <c r="B13" s="1245"/>
      <c r="C13" s="301" t="s">
        <v>2116</v>
      </c>
      <c r="D13" s="301"/>
      <c r="E13" s="301"/>
    </row>
    <row r="14" spans="2:5" ht="13.5" customHeight="1" x14ac:dyDescent="0.2">
      <c r="B14" s="1245"/>
      <c r="C14" s="301"/>
      <c r="D14" s="301"/>
      <c r="E14" s="301"/>
    </row>
    <row r="15" spans="2:5" ht="13.5" customHeight="1" x14ac:dyDescent="0.2">
      <c r="B15" s="1245" t="s">
        <v>2109</v>
      </c>
      <c r="C15" s="301" t="s">
        <v>2110</v>
      </c>
      <c r="D15" s="301" t="s">
        <v>2105</v>
      </c>
      <c r="E15" s="301"/>
    </row>
    <row r="16" spans="2:5" ht="13.5" customHeight="1" x14ac:dyDescent="0.2">
      <c r="B16" s="1245"/>
      <c r="C16" s="301" t="s">
        <v>2111</v>
      </c>
      <c r="D16" s="301" t="s">
        <v>2117</v>
      </c>
      <c r="E16" s="301"/>
    </row>
    <row r="17" spans="2:5" ht="13.5" customHeight="1" x14ac:dyDescent="0.2">
      <c r="B17" s="1245"/>
      <c r="C17" s="301" t="s">
        <v>2113</v>
      </c>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39&amp;R&amp;8Page 39</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www.w3.org/XML/1998/namespace"/>
    <ds:schemaRef ds:uri="http://schemas.microsoft.com/office/infopath/2007/PartnerControls"/>
    <ds:schemaRef ds:uri="http://purl.org/dc/dcmitype/"/>
    <ds:schemaRef ds:uri="6ce3111e-7420-4802-b50a-75d4e9a0b980"/>
    <ds:schemaRef ds:uri="http://schemas.microsoft.com/office/2006/metadata/properties"/>
    <ds:schemaRef ds:uri="http://purl.org/dc/terms/"/>
    <ds:schemaRef ds:uri="http://purl.org/dc/elements/1.1/"/>
    <ds:schemaRef ds:uri="http://schemas.microsoft.com/office/2006/documentManagement/types"/>
    <ds:schemaRef ds:uri="http://schemas.microsoft.com/sharepoint/v3"/>
    <ds:schemaRef ds:uri="http://schemas.openxmlformats.org/package/2006/metadata/core-properties"/>
    <ds:schemaRef ds:uri="4d435f69-8686-490b-bd6d-b153bf22ab50"/>
    <ds:schemaRef ds:uri="d21dc803-237d-4c68-8692-8d731fd29118"/>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16</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Sec-2 (2)</vt:lpstr>
      <vt:lpstr>SF&amp;QC Sec-2 (3)</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2020-10-29T18:40:10Z</cp:lastPrinted>
  <dcterms:created xsi:type="dcterms:W3CDTF">2003-10-29T19:06:34Z</dcterms:created>
  <dcterms:modified xsi:type="dcterms:W3CDTF">2020-10-30T21:54:03Z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