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133114EC-4911-4E92-8540-8603FEA0410A}"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Finding 2020-001" sheetId="185" r:id="rId31"/>
    <sheet name="SSPAF" sheetId="177" r:id="rId32"/>
    <sheet name="CAP-001" sheetId="187" r:id="rId33"/>
    <sheet name="SF&amp;QC Sec-2" sheetId="175" r:id="rId34"/>
    <sheet name="SF&amp;QC Sec-3" sheetId="176" r:id="rId35"/>
  </sheets>
  <externalReferences>
    <externalReference r:id="rId36"/>
    <externalReference r:id="rId37"/>
  </externalReferences>
  <definedNames>
    <definedName name="\J">#REF!</definedName>
    <definedName name="\L">#REF!</definedName>
    <definedName name="\S">#REF!</definedName>
    <definedName name="\W">#REF!</definedName>
    <definedName name="__123Graph_A" hidden="1">[1]Ed!#REF!</definedName>
    <definedName name="_xlnm._FilterDatabase" localSheetId="23" hidden="1">'AFR20'!$A$1:$F$7884</definedName>
    <definedName name="AA">#REF!</definedName>
    <definedName name="AB">#REF!</definedName>
    <definedName name="AG">[1]StofRev!#REF!</definedName>
    <definedName name="AH">[1]StofRev!#REF!</definedName>
    <definedName name="CAP">#REF!</definedName>
    <definedName name="CELL">'[1]CP Exp'!#REF!</definedName>
    <definedName name="COASLIPR">#REF!</definedName>
    <definedName name="combdalpr">#REF!</definedName>
    <definedName name="combdrevbpr">#REF!</definedName>
    <definedName name="combdrevbugpr">#REF!</definedName>
    <definedName name="CORXBDPR">#REF!</definedName>
    <definedName name="pass" localSheetId="32">#REF!</definedName>
    <definedName name="pass" localSheetId="30">#REF!</definedName>
    <definedName name="pass">#REF!</definedName>
    <definedName name="pass1" localSheetId="32">#REF!</definedName>
    <definedName name="pass1" localSheetId="30">#REF!</definedName>
    <definedName name="pass1">#REF!</definedName>
    <definedName name="pass2" localSheetId="30">#REF!</definedName>
    <definedName name="pass2">#REF!</definedName>
    <definedName name="pass3" localSheetId="30">#REF!</definedName>
    <definedName name="pass3">#REF!</definedName>
    <definedName name="pass4" localSheetId="30">#REF!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Q">#REF!</definedName>
    <definedName name="R_">#REF!</definedName>
    <definedName name="_xlnm.Recorder">#REF!</definedName>
    <definedName name="SCHADDRS" localSheetId="27">#REF!</definedName>
    <definedName name="SCHADDRS" localSheetId="32">#REF!</definedName>
    <definedName name="SCHADDRS" localSheetId="14">#REF!</definedName>
    <definedName name="SCHADDRS" localSheetId="21">#REF!</definedName>
    <definedName name="SCHADDRS" localSheetId="4">#REF!</definedName>
    <definedName name="SCHADDRS" localSheetId="30">#REF!</definedName>
    <definedName name="SCHADDRS" localSheetId="28">#REF!</definedName>
    <definedName name="SCHADDRS" localSheetId="26">#REF!</definedName>
    <definedName name="SCHADDRS" localSheetId="29">#REF!</definedName>
    <definedName name="SCHADDRS" localSheetId="33">#REF!</definedName>
    <definedName name="SCHADDRS" localSheetId="34">#REF!</definedName>
    <definedName name="SCHADDRS" localSheetId="25">#REF!</definedName>
    <definedName name="SCHADDRS" localSheetId="24">#REF!</definedName>
    <definedName name="SCHADDRS" localSheetId="31">#REF!</definedName>
    <definedName name="SCHADDRS">#REF!</definedName>
    <definedName name="SCHCTY" localSheetId="27">#REF!</definedName>
    <definedName name="SCHCTY" localSheetId="32">#REF!</definedName>
    <definedName name="SCHCTY" localSheetId="14">#REF!</definedName>
    <definedName name="SCHCTY" localSheetId="21">#REF!</definedName>
    <definedName name="SCHCTY" localSheetId="4">#REF!</definedName>
    <definedName name="SCHCTY" localSheetId="30">#REF!</definedName>
    <definedName name="SCHCTY" localSheetId="28">#REF!</definedName>
    <definedName name="SCHCTY" localSheetId="26">#REF!</definedName>
    <definedName name="SCHCTY" localSheetId="29">#REF!</definedName>
    <definedName name="SCHCTY" localSheetId="33">#REF!</definedName>
    <definedName name="SCHCTY" localSheetId="34">#REF!</definedName>
    <definedName name="SCHCTY" localSheetId="25">#REF!</definedName>
    <definedName name="SCHCTY" localSheetId="24">#REF!</definedName>
    <definedName name="SCHCTY" localSheetId="31">#REF!</definedName>
    <definedName name="SCHCTY">#REF!</definedName>
    <definedName name="SCHNMBR" localSheetId="27">#REF!</definedName>
    <definedName name="SCHNMBR" localSheetId="32">#REF!</definedName>
    <definedName name="SCHNMBR" localSheetId="14">#REF!</definedName>
    <definedName name="SCHNMBR" localSheetId="21">#REF!</definedName>
    <definedName name="SCHNMBR" localSheetId="4">#REF!</definedName>
    <definedName name="SCHNMBR" localSheetId="30">#REF!</definedName>
    <definedName name="SCHNMBR" localSheetId="28">#REF!</definedName>
    <definedName name="SCHNMBR" localSheetId="26">#REF!</definedName>
    <definedName name="SCHNMBR" localSheetId="29">#REF!</definedName>
    <definedName name="SCHNMBR" localSheetId="33">#REF!</definedName>
    <definedName name="SCHNMBR" localSheetId="34">#REF!</definedName>
    <definedName name="SCHNMBR" localSheetId="25">#REF!</definedName>
    <definedName name="SCHNMBR" localSheetId="24">#REF!</definedName>
    <definedName name="SCHNMBR" localSheetId="31">#REF!</definedName>
    <definedName name="SCHNMBR">#REF!</definedName>
    <definedName name="SCHNME" localSheetId="27">#REF!</definedName>
    <definedName name="SCHNME" localSheetId="32">#REF!</definedName>
    <definedName name="SCHNME" localSheetId="14">#REF!</definedName>
    <definedName name="SCHNME" localSheetId="21">#REF!</definedName>
    <definedName name="SCHNME" localSheetId="4">#REF!</definedName>
    <definedName name="SCHNME" localSheetId="30">#REF!</definedName>
    <definedName name="SCHNME" localSheetId="28">#REF!</definedName>
    <definedName name="SCHNME" localSheetId="26">#REF!</definedName>
    <definedName name="SCHNME" localSheetId="29">#REF!</definedName>
    <definedName name="SCHNME" localSheetId="33">#REF!</definedName>
    <definedName name="SCHNME" localSheetId="34">#REF!</definedName>
    <definedName name="SCHNME" localSheetId="25">#REF!</definedName>
    <definedName name="SCHNME" localSheetId="24">#REF!</definedName>
    <definedName name="SCHNME" localSheetId="31">#REF!</definedName>
    <definedName name="SCHNME">#REF!</definedName>
    <definedName name="ShadedAdjCash1">'[2]Adjusted Cash Balances - AJEs'!$B$6,'[2]Adjusted Cash Balances - AJEs'!$C$6,'[2]Adjusted Cash Balances - AJEs'!$D$6,'[2]Adjusted Cash Balances - AJEs'!$E$6,'[2]Adjusted Cash Balances - AJEs'!$F$6,'[2]Adjusted Cash Balances - AJEs'!$G$6,'[2]Adjusted Cash Balances - AJEs'!$H$6,'[2]Adjusted Cash Balances - AJEs'!$I$6,'[2]Adjusted Cash Balances - AJEs'!$J$6,'[2]Adjusted Cash Balances - AJEs'!$K$6,'[2]Adjusted Cash Balances - AJEs'!$L$6,'[2]Adjusted Cash Balances - AJEs'!$M$6,'[2]Adjusted Cash Balances - AJEs'!$N$6,'[2]Adjusted Cash Balances - AJEs'!$O$6,'[2]Adjusted Cash Balances - AJEs'!$P$6,'[2]Adjusted Cash Balances - AJEs'!$B$22,'[2]Adjusted Cash Balances - AJEs'!$C$22,'[2]Adjusted Cash Balances - AJEs'!$D$22,'[2]Adjusted Cash Balances - AJEs'!$E$22,'[2]Adjusted Cash Balances - AJEs'!$F$22,'[2]Adjusted Cash Balances - AJEs'!$G$22,'[2]Adjusted Cash Balances - AJEs'!$H$22,'[2]Adjusted Cash Balances - AJEs'!$I$22,'[2]Adjusted Cash Balances - AJEs'!$J$22,'[2]Adjusted Cash Balances - AJEs'!$K$22,'[2]Adjusted Cash Balances - AJEs'!$L$22,'[2]Adjusted Cash Balances - AJEs'!$M$22,'[2]Adjusted Cash Balances - AJEs'!$N$22,'[2]Adjusted Cash Balances - AJEs'!$O$22,'[2]Adjusted Cash Balances - AJEs'!$P$22,'[2]Adjusted Cash Balances - AJEs'!$B$23,'[2]Adjusted Cash Balances - AJEs'!$C$23,'[2]Adjusted Cash Balances - AJEs'!$D$23,'[2]Adjusted Cash Balances - AJEs'!$E$23,'[2]Adjusted Cash Balances - AJEs'!$F$23,'[2]Adjusted Cash Balances - AJEs'!$G$23,'[2]Adjusted Cash Balances - AJEs'!$H$23,'[2]Adjusted Cash Balances - AJEs'!$I$23,'[2]Adjusted Cash Balances - AJEs'!$J$23,'[2]Adjusted Cash Balances - AJEs'!$K$23</definedName>
    <definedName name="ShadedAdjCash2">'[2]Adjusted Cash Balances - AJEs'!$L$23,'[2]Adjusted Cash Balances - AJEs'!$M$23,'[2]Adjusted Cash Balances - AJEs'!$N$23,'[2]Adjusted Cash Balances - AJEs'!$O$23,'[2]Adjusted Cash Balances - AJEs'!$P$23,'[2]Adjusted Cash Balances - AJEs'!$Q$23,'[2]Adjusted Cash Balances - AJEs'!$P$24,'[2]Adjusted Cash Balances - AJEs'!$O$24,'[2]Adjusted Cash Balances - AJEs'!$N$24,'[2]Adjusted Cash Balances - AJEs'!$M$24,'[2]Adjusted Cash Balances - AJEs'!$L$24,'[2]Adjusted Cash Balances - AJEs'!$K$24,'[2]Adjusted Cash Balances - AJEs'!$J$24,'[2]Adjusted Cash Balances - AJEs'!$I$24,'[2]Adjusted Cash Balances - AJEs'!$H$24,'[2]Adjusted Cash Balances - AJEs'!$G$24,'[2]Adjusted Cash Balances - AJEs'!$F$24,'[2]Adjusted Cash Balances - AJEs'!$E$24,'[2]Adjusted Cash Balances - AJEs'!$D$24,'[2]Adjusted Cash Balances - AJEs'!$C$24,'[2]Adjusted Cash Balances - AJEs'!$B$24,'[2]Adjusted Cash Balances - AJEs'!$B$26,'[2]Adjusted Cash Balances - AJEs'!$C$26,'[2]Adjusted Cash Balances - AJEs'!$D$26,'[2]Adjusted Cash Balances - AJEs'!$E$26,'[2]Adjusted Cash Balances - AJEs'!$F$26,'[2]Adjusted Cash Balances - AJEs'!$G$26,'[2]Adjusted Cash Balances - AJEs'!$H$26,'[2]Adjusted Cash Balances - AJEs'!$I$26,'[2]Adjusted Cash Balances - AJEs'!$J$26,'[2]Adjusted Cash Balances - AJEs'!$K$26,'[2]Adjusted Cash Balances - AJEs'!$L$26,'[2]Adjusted Cash Balances - AJEs'!$M$26,'[2]Adjusted Cash Balances - AJEs'!$N$26,'[2]Adjusted Cash Balances - AJEs'!$O$26,'[2]Adjusted Cash Balances - AJEs'!$P$26,'[2]Adjusted Cash Balances - AJEs'!$P$28,'[2]Adjusted Cash Balances - AJEs'!$O$28</definedName>
    <definedName name="ShadedAdjCash3">'[2]Adjusted Cash Balances - AJEs'!$L$28,'[2]Adjusted Cash Balances - AJEs'!$K$28,'[2]Adjusted Cash Balances - AJEs'!$J$28,'[2]Adjusted Cash Balances - AJEs'!$I$28,'[2]Adjusted Cash Balances - AJEs'!$H$28,'[2]Adjusted Cash Balances - AJEs'!$G$28,'[2]Adjusted Cash Balances - AJEs'!$F$28,'[2]Adjusted Cash Balances - AJEs'!$E$28,'[2]Adjusted Cash Balances - AJEs'!$D$28,'[2]Adjusted Cash Balances - AJEs'!$C$28,'[2]Adjusted Cash Balances - AJEs'!$B$28</definedName>
    <definedName name="ShadedBankRec1">'[2]Bank Reconciliation'!$F$11,'[2]Bank Reconciliation'!$H$11,'[2]Bank Reconciliation'!$H$12,'[2]Bank Reconciliation'!$H$13,'[2]Bank Reconciliation'!$F$12,'[2]Bank Reconciliation'!$F$13,'[2]Bank Reconciliation'!$F$14,'[2]Bank Reconciliation'!$F$15,'[2]Bank Reconciliation'!$F$16,'[2]Bank Reconciliation'!$F$17,'[2]Bank Reconciliation'!$F$18,'[2]Bank Reconciliation'!$F$19,'[2]Bank Reconciliation'!$F$19,'[2]Bank Reconciliation'!$F$20,'[2]Bank Reconciliation'!$F$21,'[2]Bank Reconciliation'!$F$22,'[2]Bank Reconciliation'!$F$23,'[2]Bank Reconciliation'!$F$24,'[2]Bank Reconciliation'!$F$25,'[2]Bank Reconciliation'!$D$25,'[2]Bank Reconciliation'!$H$14,'[2]Bank Reconciliation'!$H$15,'[2]Bank Reconciliation'!$H$16,'[2]Bank Reconciliation'!$H$17,'[2]Bank Reconciliation'!$H$18,'[2]Bank Reconciliation'!$H$19,'[2]Bank Reconciliation'!$H$20,'[2]Bank Reconciliation'!$H$21,'[2]Bank Reconciliation'!$H$22,'[2]Bank Reconciliation'!$H$23,'[2]Bank Reconciliation'!$H$24,'[2]Bank Reconciliation'!$H$25,'[2]Bank Reconciliation'!$J$25,'[2]Bank Reconciliation'!$J$24,'[2]Bank Reconciliation'!$J$23,'[2]Bank Reconciliation'!$J$22,'[2]Bank Reconciliation'!$J$21,'[2]Bank Reconciliation'!$J$20,'[2]Bank Reconciliation'!$J$19,'[2]Bank Reconciliation'!$J$18,'[2]Bank Reconciliation'!$J$17</definedName>
    <definedName name="ShadedBankRec2">'[2]Bank Reconciliation'!$J$16,'[2]Bank Reconciliation'!$J$15,'[2]Bank Reconciliation'!$J$13,'[2]Bank Reconciliation'!$J$14,'[2]Bank Reconciliation'!$J$12,'[2]Bank Reconciliation'!$J$11,'[2]Bank Reconciliation'!$J$41,'[2]Bank Reconciliation'!$J$43,'[2]Bank Reconciliation'!$J$52,'[2]Bank Reconciliation'!$J$55</definedName>
    <definedName name="ShadedFund1">'[1]S - Adjusted Fund Balances'!$C$8,'[1]S - Adjusted Fund Balances'!$D$8,'[1]S - Adjusted Fund Balances'!$E$8,'[1]S - Adjusted Fund Balances'!$F$8,'[1]S - Adjusted Fund Balances'!$G$8,'[1]S - Adjusted Fund Balances'!$H$8,'[1]S - Adjusted Fund Balances'!$I$8,'[1]S - Adjusted Fund Balances'!$J$8,'[1]S - Adjusted Fund Balances'!$K$8,'[1]S - Adjusted Fund Balances'!$L$8,'[1]S - Adjusted Fund Balances'!$M$8,'[1]S - Adjusted Fund Balances'!$N$8,'[1]S - Adjusted Fund Balances'!$O$8,'[1]S - Adjusted Fund Balances'!$P$8,'[1]S - Adjusted Fund Balances'!$Q$8,'[1]S - Adjusted Fund Balances'!$Q$16,'[1]S - Adjusted Fund Balances'!$P$16,'[1]S - Adjusted Fund Balances'!$O$16,'[1]S - Adjusted Fund Balances'!$N$16,'[1]S - Adjusted Fund Balances'!$M$16,'[1]S - Adjusted Fund Balances'!$L$16,'[1]S - Adjusted Fund Balances'!$K$16,'[1]S - Adjusted Fund Balances'!$J$16,'[1]S - Adjusted Fund Balances'!$I$16,'[1]S - Adjusted Fund Balances'!$H$16,'[1]S - Adjusted Fund Balances'!$G$16,'[1]S - Adjusted Fund Balances'!$F$16,'[1]S - Adjusted Fund Balances'!$E$16,'[1]S - Adjusted Fund Balances'!$D$16,'[1]S - Adjusted Fund Balances'!$C$16,'[1]S - Adjusted Fund Balances'!$C$17,'[1]S - Adjusted Fund Balances'!$D$17,'[1]S - Adjusted Fund Balances'!$E$17,'[1]S - Adjusted Fund Balances'!$F$17,'[1]S - Adjusted Fund Balances'!$G$17,'[1]S - Adjusted Fund Balances'!$H$17,'[1]S - Adjusted Fund Balances'!$I$17,'[1]S - Adjusted Fund Balances'!$J$17,'[1]S - Adjusted Fund Balances'!$K$17,'[1]S - Adjusted Fund Balances'!$L$17</definedName>
    <definedName name="ShadedFund2">'[1]S - Adjusted Fund Balances'!$M$17,'[1]S - Adjusted Fund Balances'!$N$17,'[1]S - Adjusted Fund Balances'!$O$17,'[1]S - Adjusted Fund Balances'!$P$17,'[1]S - Adjusted Fund Balances'!$Q$17,'[1]S - Adjusted Fund Balances'!$Q$18,'[1]S - Adjusted Fund Balances'!$P$18,'[1]S - Adjusted Fund Balances'!$O$18,'[1]S - Adjusted Fund Balances'!$N$18,'[1]S - Adjusted Fund Balances'!$M$18,'[1]S - Adjusted Fund Balances'!$L$18,'[1]S - Adjusted Fund Balances'!$K$18,'[1]S - Adjusted Fund Balances'!$J$18,'[1]S - Adjusted Fund Balances'!$I$18,'[1]S - Adjusted Fund Balances'!$H$18,'[1]S - Adjusted Fund Balances'!$G$18,'[1]S - Adjusted Fund Balances'!$F$18,'[1]S - Adjusted Fund Balances'!$E$18,'[1]S - Adjusted Fund Balances'!$D$18,'[1]S - Adjusted Fund Balances'!$C$18,'[1]S - Adjusted Fund Balances'!$C$13,'[1]S - Adjusted Fund Balances'!$D$13,'[1]S - Adjusted Fund Balances'!$E$13,'[1]S - Adjusted Fund Balances'!$F$13,'[1]S - Adjusted Fund Balances'!$G$13,'[1]S - Adjusted Fund Balances'!$H$13,'[1]S - Adjusted Fund Balances'!$I$13,'[1]S - Adjusted Fund Balances'!$J$13,'[1]S - Adjusted Fund Balances'!$K$13,'[1]S - Adjusted Fund Balances'!$L$13,'[1]S - Adjusted Fund Balances'!$M$13,'[1]S - Adjusted Fund Balances'!$N$13,'[1]S - Adjusted Fund Balances'!$O$13,'[1]S - Adjusted Fund Balances'!$P$13,'[1]S - Adjusted Fund Balances'!$Q$13,'[1]S - Adjusted Fund Balances'!$Q$12,'[1]S - Adjusted Fund Balances'!$Q$11,'[1]S - Adjusted Fund Balances'!$Q$10</definedName>
    <definedName name="ShadedFund3">'[1]S - Adjusted Fund Balances'!$Q$20,'[1]S - Adjusted Fund Balances'!$Q$21,'[1]S - Adjusted Fund Balances'!$Q$22,'[1]S - Adjusted Fund Balances'!$Q$23,'[1]S - Adjusted Fund Balances'!$P$23,'[1]S - Adjusted Fund Balances'!$O$23,'[1]S - Adjusted Fund Balances'!$N$23,'[1]S - Adjusted Fund Balances'!$M$23,'[1]S - Adjusted Fund Balances'!$L$23,'[1]S - Adjusted Fund Balances'!$K$23,'[1]S - Adjusted Fund Balances'!$J$23,'[1]S - Adjusted Fund Balances'!$I$23,'[1]S - Adjusted Fund Balances'!$H$23,'[1]S - Adjusted Fund Balances'!$G$23,'[1]S - Adjusted Fund Balances'!$F$23,'[1]S - Adjusted Fund Balances'!$E$23,'[1]S - Adjusted Fund Balances'!$D$23,'[1]S - Adjusted Fund Balances'!$C$23,'[1]S - Adjusted Fund Balances'!$C$33,'[1]S - Adjusted Fund Balances'!$D$33,'[1]S - Adjusted Fund Balances'!$E$33,'[1]S - Adjusted Fund Balances'!$F$33,'[1]S - Adjusted Fund Balances'!$G$33,'[1]S - Adjusted Fund Balances'!$H$33,'[1]S - Adjusted Fund Balances'!$I$33,'[1]S - Adjusted Fund Balances'!$J$33,'[1]S - Adjusted Fund Balances'!$K$33,'[1]S - Adjusted Fund Balances'!$L$33,'[1]S - Adjusted Fund Balances'!$M$33,'[1]S - Adjusted Fund Balances'!$N$33,'[1]S - Adjusted Fund Balances'!$O$33,'[1]S - Adjusted Fund Balances'!$P$33,'[1]S - Adjusted Fund Balances'!$Q$33,'[1]S - Adjusted Fund Balances'!$Q$32,'[1]S - Adjusted Fund Balances'!$Q$31,'[1]S - Adjusted Fund Balances'!$Q$30</definedName>
    <definedName name="ShadedFund4">'[1]S - Adjusted Fund Balances'!$Q$35,'[1]S - Adjusted Fund Balances'!$Q$36,'[1]S - Adjusted Fund Balances'!$Q$37,'[1]S - Adjusted Fund Balances'!$Q$38,'[1]S - Adjusted Fund Balances'!$Q$60,'[1]S - Adjusted Fund Balances'!$Q$61,'[1]S - Adjusted Fund Balances'!$Q$62,'[1]S - Adjusted Fund Balances'!$Q$63,'[1]S - Adjusted Fund Balances'!$P$38,'[1]S - Adjusted Fund Balances'!$O$38,'[1]S - Adjusted Fund Balances'!$N$38,'[1]S - Adjusted Fund Balances'!$M$38,'[1]S - Adjusted Fund Balances'!$L$38,'[1]S - Adjusted Fund Balances'!$K$38,'[1]S - Adjusted Fund Balances'!$J$38,'[1]S - Adjusted Fund Balances'!$I$38,'[1]S - Adjusted Fund Balances'!$I$63,'[1]S - Adjusted Fund Balances'!$J$63,'[1]S - Adjusted Fund Balances'!$K$63,'[1]S - Adjusted Fund Balances'!$L$63,'[1]S - Adjusted Fund Balances'!$M$63,'[1]S - Adjusted Fund Balances'!$N$63,'[1]S - Adjusted Fund Balances'!$O$63,'[1]S - Adjusted Fund Balances'!$P$63,'[1]S - Adjusted Fund Balances'!$H$38,'[1]S - Adjusted Fund Balances'!$G$38,'[1]S - Adjusted Fund Balances'!$F$38,'[1]S - Adjusted Fund Balances'!$E$38,'[1]S - Adjusted Fund Balances'!$D$38,'[1]S - Adjusted Fund Balances'!$C$38,'[1]S - Adjusted Fund Balances'!$C$63,'[1]S - Adjusted Fund Balances'!$D$63,'[1]S - Adjusted Fund Balances'!$E$63,'[1]S - Adjusted Fund Balances'!$F$63,'[1]S - Adjusted Fund Balances'!$G$63,'[1]S - Adjusted Fund Balances'!$H$63</definedName>
    <definedName name="ShadedFund5">'[1]S - Adjusted Fund Balances'!$C$68,'[1]S - Adjusted Fund Balances'!$C$85,'[1]S - Adjusted Fund Balances'!$D$85,'[1]S - Adjusted Fund Balances'!$E$85,'[1]S - Adjusted Fund Balances'!$F$85,'[1]S - Adjusted Fund Balances'!$G$85,'[1]S - Adjusted Fund Balances'!$H$85,'[1]S - Adjusted Fund Balances'!$I$85,'[1]S - Adjusted Fund Balances'!$J$85,'[1]S - Adjusted Fund Balances'!$J$68,'[1]S - Adjusted Fund Balances'!$I$68,'[1]S - Adjusted Fund Balances'!$H$68,'[1]S - Adjusted Fund Balances'!$G$68,'[1]S - Adjusted Fund Balances'!$F$68,'[1]S - Adjusted Fund Balances'!$E$68,'[1]S - Adjusted Fund Balances'!$D$68,'[1]S - Adjusted Fund Balances'!$K$68,'[1]S - Adjusted Fund Balances'!$L$68,'[1]S - Adjusted Fund Balances'!$M$68,'[1]S - Adjusted Fund Balances'!$N$68,'[1]S - Adjusted Fund Balances'!$O$68,'[1]S - Adjusted Fund Balances'!$P$68,'[1]S - Adjusted Fund Balances'!$Q$68,'[1]S - Adjusted Fund Balances'!$Q$85,'[1]S - Adjusted Fund Balances'!$P$85,'[1]S - Adjusted Fund Balances'!$O$85,'[1]S - Adjusted Fund Balances'!$N$85,'[1]S - Adjusted Fund Balances'!$M$85,'[1]S - Adjusted Fund Balances'!$L$85,'[1]S - Adjusted Fund Balances'!$K$85,'[1]S - Adjusted Fund Balances'!$Q$67,'[1]S - Adjusted Fund Balances'!$Q$66,'[1]S - Adjusted Fund Balances'!$Q$65</definedName>
    <definedName name="speclcombgpr">#REF!</definedName>
    <definedName name="SPECPR">#REF!</definedName>
    <definedName name="SUPT" localSheetId="27">#REF!</definedName>
    <definedName name="SUPT" localSheetId="32">#REF!</definedName>
    <definedName name="SUPT" localSheetId="14">#REF!</definedName>
    <definedName name="SUPT" localSheetId="21">#REF!</definedName>
    <definedName name="SUPT" localSheetId="4">#REF!</definedName>
    <definedName name="SUPT" localSheetId="30">#REF!</definedName>
    <definedName name="SUPT" localSheetId="28">#REF!</definedName>
    <definedName name="SUPT" localSheetId="26">#REF!</definedName>
    <definedName name="SUPT" localSheetId="29">#REF!</definedName>
    <definedName name="SUPT" localSheetId="33">#REF!</definedName>
    <definedName name="SUPT" localSheetId="34">#REF!</definedName>
    <definedName name="SUPT" localSheetId="25">#REF!</definedName>
    <definedName name="SUPT" localSheetId="24">#REF!</definedName>
    <definedName name="SUPT" localSheetId="31">#REF!</definedName>
    <definedName name="SUPT">#REF!</definedName>
    <definedName name="V">'[1]CP Exp'!#REF!</definedName>
    <definedName name="wcpr">#REF!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2" i="8" l="1"/>
  <c r="M63" i="184" l="1"/>
  <c r="G63" i="184"/>
  <c r="M66" i="184"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F159" i="34"/>
  <c r="B30" i="36"/>
  <c r="B33" i="36" s="1"/>
  <c r="B43" i="36" s="1"/>
  <c r="B56" i="36" s="1"/>
  <c r="B66" i="36" s="1"/>
  <c r="B70" i="36" s="1"/>
  <c r="B74" i="36" s="1"/>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F56" i="34" s="1"/>
  <c r="B7832" i="106" s="1"/>
  <c r="D7832" i="106" s="1"/>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D106" i="106"/>
  <c r="D107" i="106"/>
  <c r="B108" i="106"/>
  <c r="D108"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B7001" i="106" s="1"/>
  <c r="D7001" i="106" s="1"/>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H41" i="4"/>
  <c r="B6289" i="106" s="1"/>
  <c r="D6289"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D3412" i="106"/>
  <c r="D3413" i="106"/>
  <c r="D3415" i="106"/>
  <c r="D3416" i="106"/>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3" i="106"/>
  <c r="D6243" i="106" s="1"/>
  <c r="B6244" i="106"/>
  <c r="D6244"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8" i="106"/>
  <c r="D6258" i="106" s="1"/>
  <c r="B6260" i="106"/>
  <c r="D6260" i="106" s="1"/>
  <c r="J76" i="4"/>
  <c r="B6261" i="106" s="1"/>
  <c r="D6261" i="106" s="1"/>
  <c r="B6265" i="106"/>
  <c r="D6265" i="106" s="1"/>
  <c r="B6290" i="106"/>
  <c r="D6290" i="106" s="1"/>
  <c r="B6291" i="106"/>
  <c r="D6291" i="106" s="1"/>
  <c r="B6293" i="106"/>
  <c r="D6293" i="106" s="1"/>
  <c r="B6294" i="106"/>
  <c r="D6294"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2" i="106"/>
  <c r="D7002" i="106" s="1"/>
  <c r="B7003" i="106"/>
  <c r="D7003"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4" i="106"/>
  <c r="D7654" i="106" s="1"/>
  <c r="B7655" i="106"/>
  <c r="D7655" i="106" s="1"/>
  <c r="B7657" i="106"/>
  <c r="D7657" i="106" s="1"/>
  <c r="B7658" i="106"/>
  <c r="D7658" i="106" s="1"/>
  <c r="B7660" i="106"/>
  <c r="D7660" i="106" s="1"/>
  <c r="B7661" i="106"/>
  <c r="D7661" i="106" s="1"/>
  <c r="B7663" i="106"/>
  <c r="D7663" i="106" s="1"/>
  <c r="B7664" i="106"/>
  <c r="D7664" i="106" s="1"/>
  <c r="B7666" i="106"/>
  <c r="D7666" i="106" s="1"/>
  <c r="B7667" i="106"/>
  <c r="D7667"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7" i="36"/>
  <c r="D38" i="36"/>
  <c r="D39" i="36"/>
  <c r="D40" i="36"/>
  <c r="D41" i="36"/>
  <c r="D42" i="36"/>
  <c r="D71" i="36"/>
  <c r="B64" i="127"/>
  <c r="B65" i="127"/>
  <c r="E27" i="108"/>
  <c r="G27"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33" i="118"/>
  <c r="D22" i="37"/>
  <c r="D24" i="37"/>
  <c r="B4270" i="106" s="1"/>
  <c r="D4270" i="106" s="1"/>
  <c r="D69" i="36" l="1"/>
  <c r="G30" i="108"/>
  <c r="B7078" i="106"/>
  <c r="D7078" i="106" s="1"/>
  <c r="F52" i="34"/>
  <c r="B7831" i="106" s="1"/>
  <c r="D7831" i="106" s="1"/>
  <c r="H28" i="118"/>
  <c r="F42" i="34"/>
  <c r="B7047" i="106"/>
  <c r="D7047" i="106" s="1"/>
  <c r="L22" i="37"/>
  <c r="F50" i="34"/>
  <c r="D14" i="4"/>
  <c r="B2570" i="106" s="1"/>
  <c r="D2570" i="106" s="1"/>
  <c r="G35" i="108"/>
  <c r="B2805" i="106"/>
  <c r="D2805" i="106" s="1"/>
  <c r="H365" i="29"/>
  <c r="B7242" i="106" s="1"/>
  <c r="D7242" i="106" s="1"/>
  <c r="B2724" i="106"/>
  <c r="D2724" i="106" s="1"/>
  <c r="D36" i="108"/>
  <c r="C129" i="29"/>
  <c r="B1225" i="106" s="1"/>
  <c r="D1225" i="106" s="1"/>
  <c r="C352" i="29"/>
  <c r="B3621" i="106" s="1"/>
  <c r="D3621" i="106" s="1"/>
  <c r="H342" i="29"/>
  <c r="B7221" i="106" s="1"/>
  <c r="D7221" i="106" s="1"/>
  <c r="B7074" i="106"/>
  <c r="D7074" i="106" s="1"/>
  <c r="F64" i="34"/>
  <c r="G39" i="108"/>
  <c r="I210" i="29"/>
  <c r="B7071" i="106" s="1"/>
  <c r="D7071" i="106" s="1"/>
  <c r="J129" i="29"/>
  <c r="B7038" i="106" s="1"/>
  <c r="D7038" i="106" s="1"/>
  <c r="I129" i="29"/>
  <c r="B7037" i="106" s="1"/>
  <c r="D7037" i="106" s="1"/>
  <c r="G26" i="108"/>
  <c r="F36" i="34"/>
  <c r="B7828" i="106" s="1"/>
  <c r="D7828" i="106" s="1"/>
  <c r="F70" i="34"/>
  <c r="B7189" i="106"/>
  <c r="D7189" i="106" s="1"/>
  <c r="E64" i="184"/>
  <c r="N64" i="184" s="1"/>
  <c r="B7153" i="106"/>
  <c r="D7153" i="106" s="1"/>
  <c r="E60" i="184"/>
  <c r="N60" i="184" s="1"/>
  <c r="B1274" i="106"/>
  <c r="D1274" i="106" s="1"/>
  <c r="H12" i="184"/>
  <c r="J210" i="29"/>
  <c r="B7072" i="106" s="1"/>
  <c r="D7072" i="106" s="1"/>
  <c r="F34" i="34"/>
  <c r="B7826" i="106" s="1"/>
  <c r="D7826" i="106" s="1"/>
  <c r="D68" i="36"/>
  <c r="B7162" i="106"/>
  <c r="D7162" i="106" s="1"/>
  <c r="E61" i="184"/>
  <c r="N61" i="184" s="1"/>
  <c r="B7705" i="106"/>
  <c r="D7705" i="106" s="1"/>
  <c r="E67" i="184"/>
  <c r="N67" i="184" s="1"/>
  <c r="F77" i="4"/>
  <c r="B3255" i="106" s="1"/>
  <c r="D3255" i="106" s="1"/>
  <c r="F68" i="34"/>
  <c r="F36" i="108"/>
  <c r="B7696" i="106"/>
  <c r="D7696" i="106" s="1"/>
  <c r="E66" i="184"/>
  <c r="N66" i="184" s="1"/>
  <c r="B7171" i="106"/>
  <c r="D7171" i="106" s="1"/>
  <c r="E62" i="184"/>
  <c r="N62" i="184" s="1"/>
  <c r="B7135" i="106"/>
  <c r="D7135" i="106" s="1"/>
  <c r="E58" i="184"/>
  <c r="N58" i="184" s="1"/>
  <c r="B7198" i="106"/>
  <c r="D7198" i="106" s="1"/>
  <c r="E65" i="184"/>
  <c r="N65" i="184" s="1"/>
  <c r="B7126" i="106"/>
  <c r="D7126" i="106" s="1"/>
  <c r="E57" i="184"/>
  <c r="H15" i="184"/>
  <c r="F37" i="34"/>
  <c r="B7829" i="106" s="1"/>
  <c r="D7829" i="106" s="1"/>
  <c r="D31" i="108"/>
  <c r="E16" i="184"/>
  <c r="H16" i="184" s="1"/>
  <c r="C342" i="29"/>
  <c r="B7216" i="106" s="1"/>
  <c r="D7216" i="106" s="1"/>
  <c r="B7180" i="106"/>
  <c r="D7180" i="106" s="1"/>
  <c r="E63" i="184"/>
  <c r="N63" i="184" s="1"/>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L16" i="11" l="1"/>
  <c r="B2061" i="106" s="1"/>
  <c r="D2061" i="106" s="1"/>
  <c r="B2031" i="106"/>
  <c r="D2031" i="106" s="1"/>
  <c r="B7215" i="106"/>
  <c r="D7215" i="106" s="1"/>
  <c r="C367" i="29"/>
  <c r="B3622" i="106" s="1"/>
  <c r="D3622" i="106" s="1"/>
  <c r="J151" i="29"/>
  <c r="B7052" i="106" s="1"/>
  <c r="D7052" i="106" s="1"/>
  <c r="B4435" i="106"/>
  <c r="D4435" i="106" s="1"/>
  <c r="C151" i="29"/>
  <c r="B1226" i="106" s="1"/>
  <c r="D1226" i="106" s="1"/>
  <c r="I151" i="29"/>
  <c r="F59" i="34" s="1"/>
  <c r="L114" i="29"/>
  <c r="K365" i="29"/>
  <c r="B7243" i="106" s="1"/>
  <c r="D7243" i="106" s="1"/>
  <c r="B7235" i="106"/>
  <c r="D7235" i="106" s="1"/>
  <c r="B6216" i="106"/>
  <c r="D6216" i="106" s="1"/>
  <c r="B1381" i="106"/>
  <c r="D1381" i="106" s="1"/>
  <c r="F66" i="34"/>
  <c r="B1266" i="106"/>
  <c r="D1266" i="106" s="1"/>
  <c r="F41" i="108"/>
  <c r="G43" i="108" s="1"/>
  <c r="H19" i="184"/>
  <c r="L20" i="184" s="1"/>
  <c r="E19" i="184"/>
  <c r="B5770" i="106"/>
  <c r="D5770" i="106" s="1"/>
  <c r="N57" i="184"/>
  <c r="N68" i="184" s="1"/>
  <c r="E68" i="184"/>
  <c r="B5527" i="106"/>
  <c r="D5527" i="106" s="1"/>
  <c r="E367" i="29"/>
  <c r="B3636" i="106" s="1"/>
  <c r="D3636" i="106" s="1"/>
  <c r="B3635" i="106"/>
  <c r="D3635" i="106" s="1"/>
  <c r="B1328" i="106"/>
  <c r="D1328" i="106" s="1"/>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D3674" i="106"/>
  <c r="B3573" i="106"/>
  <c r="D3573" i="106" s="1"/>
  <c r="K4" i="4"/>
  <c r="B6028" i="106"/>
  <c r="D6028" i="106" s="1"/>
  <c r="D170" i="5"/>
  <c r="F4" i="4"/>
  <c r="B2591" i="106" s="1"/>
  <c r="D2591" i="106" s="1"/>
  <c r="B5588" i="106"/>
  <c r="D5588" i="106" s="1"/>
  <c r="B124" i="106"/>
  <c r="D124"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B7051" i="106"/>
  <c r="D7051" i="106" s="1"/>
  <c r="K367" i="29"/>
  <c r="B3678" i="106" s="1"/>
  <c r="D3678" i="106" s="1"/>
  <c r="K16" i="4"/>
  <c r="B3574" i="106" s="1"/>
  <c r="D3574"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2567" i="106"/>
  <c r="D2567" i="106" s="1"/>
  <c r="J19" i="4" l="1"/>
  <c r="B6229" i="106" s="1"/>
  <c r="D6229" i="106" s="1"/>
  <c r="K17" i="4"/>
  <c r="B3575" i="106" s="1"/>
  <c r="D3575" i="106" s="1"/>
  <c r="J20" i="4"/>
  <c r="J78" i="4" s="1"/>
  <c r="F77" i="34"/>
  <c r="B7834" i="106" s="1"/>
  <c r="D7834" i="106" s="1"/>
  <c r="F8" i="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K20" i="4"/>
  <c r="B3576" i="106" s="1"/>
  <c r="D3576" i="106" s="1"/>
  <c r="B6230" i="106"/>
  <c r="D6230" i="106" s="1"/>
  <c r="F10" i="4"/>
  <c r="B4125" i="106" s="1"/>
  <c r="D4125" i="106"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F16" i="37"/>
  <c r="C19" i="4"/>
  <c r="B4136" i="106" s="1"/>
  <c r="D4136" i="106" s="1"/>
  <c r="B288" i="106"/>
  <c r="D288" i="106" s="1"/>
  <c r="I18" i="11"/>
  <c r="B7625" i="106"/>
  <c r="B2662" i="106"/>
  <c r="D2662" i="106" s="1"/>
  <c r="B3227" i="106"/>
  <c r="D3227" i="106" s="1"/>
  <c r="D9" i="146"/>
  <c r="F19" i="4"/>
  <c r="B4139" i="106" s="1"/>
  <c r="D4139" i="106" s="1"/>
  <c r="B2600" i="106"/>
  <c r="D2600" i="106" s="1"/>
  <c r="F20" i="4"/>
  <c r="B2573" i="106"/>
  <c r="D2573" i="106" s="1"/>
  <c r="D19" i="4"/>
  <c r="B4137" i="106" s="1"/>
  <c r="D4137" i="106" s="1"/>
  <c r="C9" i="146"/>
  <c r="C10" i="146" s="1"/>
  <c r="B6263" i="106"/>
  <c r="D6263" i="106" s="1"/>
  <c r="D10" i="146" l="1"/>
  <c r="D78" i="4"/>
  <c r="B3239" i="106" s="1"/>
  <c r="D3239" i="106" s="1"/>
  <c r="F8" i="146"/>
  <c r="F78" i="34"/>
  <c r="F80" i="34" s="1"/>
  <c r="B7837" i="106" s="1"/>
  <c r="D7837" i="106" s="1"/>
  <c r="B7822" i="106"/>
  <c r="F78" i="4"/>
  <c r="B2601" i="106"/>
  <c r="D2601" i="106" s="1"/>
  <c r="K17" i="118"/>
  <c r="B7631" i="106"/>
  <c r="F177" i="34"/>
  <c r="A7262" i="106"/>
  <c r="D7261" i="106"/>
  <c r="H16" i="37"/>
  <c r="G78" i="4"/>
  <c r="B2613" i="106"/>
  <c r="D2613" i="106" s="1"/>
  <c r="B2562" i="106"/>
  <c r="D2562" i="106" s="1"/>
  <c r="C78" i="4"/>
  <c r="B10" i="146"/>
  <c r="F9" i="146"/>
  <c r="B2636" i="106"/>
  <c r="D2636" i="106" s="1"/>
  <c r="D81" i="4" l="1"/>
  <c r="D82" i="4" s="1"/>
  <c r="F10" i="146"/>
  <c r="F176" i="34"/>
  <c r="B7878" i="106" s="1"/>
  <c r="D7878" i="106" s="1"/>
  <c r="B7835" i="106"/>
  <c r="D7835" i="106" s="1"/>
  <c r="B3233" i="106"/>
  <c r="D3233" i="106" s="1"/>
  <c r="A7263" i="106"/>
  <c r="D7262" i="106"/>
  <c r="J20" i="118"/>
  <c r="O16" i="118"/>
  <c r="K20" i="118"/>
  <c r="F81" i="4"/>
  <c r="B3256" i="106"/>
  <c r="D3256" i="106" s="1"/>
  <c r="G81" i="4"/>
  <c r="B3262" i="106"/>
  <c r="D3262" i="106" s="1"/>
  <c r="B1644" i="106" l="1"/>
  <c r="D1644" i="106" s="1"/>
  <c r="C11" i="146"/>
  <c r="D58" i="36"/>
  <c r="F178" i="34"/>
  <c r="O17" i="118"/>
  <c r="O20" i="118" s="1"/>
  <c r="G82" i="4"/>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A7265" i="106"/>
  <c r="D7264" i="106"/>
  <c r="B6270" i="106"/>
  <c r="D6270" i="106" s="1"/>
  <c r="F83" i="4"/>
  <c r="B6279" i="106" s="1"/>
  <c r="D6279" i="106" s="1"/>
  <c r="B6271" i="106"/>
  <c r="D6271" i="106" s="1"/>
  <c r="G83" i="4"/>
  <c r="B6280" i="106" s="1"/>
  <c r="D6280"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2663" i="106" l="1"/>
  <c r="D2663" i="106" s="1"/>
  <c r="B3322" i="106"/>
  <c r="D3322" i="106" s="1"/>
  <c r="B3590" i="106"/>
  <c r="D3590" i="106" s="1"/>
  <c r="B6292" i="106"/>
  <c r="D6292" i="106" s="1"/>
  <c r="B3273" i="106"/>
  <c r="D3273" i="106" s="1"/>
  <c r="B3585" i="106"/>
  <c r="D358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05" i="106"/>
  <c r="D105" i="106" s="1"/>
  <c r="B6295" i="106" l="1"/>
  <c r="D6295" i="106" s="1"/>
  <c r="H44" i="4"/>
  <c r="B3296" i="106" s="1"/>
  <c r="D3296" i="106" s="1"/>
  <c r="E38" i="4"/>
  <c r="B6286" i="106" s="1"/>
  <c r="D6286" i="106" s="1"/>
  <c r="B6245" i="106"/>
  <c r="D6245" i="106" s="1"/>
  <c r="B6242" i="106"/>
  <c r="D6242" i="106" s="1"/>
  <c r="E37" i="4"/>
  <c r="D72" i="36"/>
  <c r="B2848" i="106"/>
  <c r="D2848" i="106" s="1"/>
  <c r="H76" i="4"/>
  <c r="D73" i="36"/>
  <c r="B6257" i="106"/>
  <c r="D6257" i="106" s="1"/>
  <c r="K76" i="4"/>
  <c r="B6259" i="106"/>
  <c r="D6259" i="106" s="1"/>
  <c r="I76" i="4"/>
  <c r="B3417" i="106"/>
  <c r="D3417" i="106" s="1"/>
  <c r="D13" i="3"/>
  <c r="D34" i="36"/>
  <c r="B1645" i="106"/>
  <c r="D1645" i="106" s="1"/>
  <c r="B3321" i="106"/>
  <c r="D3321" i="106" s="1"/>
  <c r="B1687" i="106"/>
  <c r="D1687" i="106" s="1"/>
  <c r="D36" i="36" l="1"/>
  <c r="H24" i="118"/>
  <c r="K24" i="118" s="1"/>
  <c r="O23" i="118" s="1"/>
  <c r="O25" i="118" s="1"/>
  <c r="B3414" i="106"/>
  <c r="D3414" i="106" s="1"/>
  <c r="D35" i="36"/>
  <c r="C13" i="3"/>
  <c r="E13" i="3"/>
  <c r="B131" i="106" s="1"/>
  <c r="D131" i="106" s="1"/>
  <c r="B3411" i="106"/>
  <c r="D3411" i="106" s="1"/>
  <c r="B3298" i="106"/>
  <c r="D3298" i="106" s="1"/>
  <c r="H77" i="4"/>
  <c r="B6285" i="106"/>
  <c r="D6285" i="106" s="1"/>
  <c r="E44" i="4"/>
  <c r="B3586" i="106"/>
  <c r="D3586" i="106" s="1"/>
  <c r="K77" i="4"/>
  <c r="B3318" i="106"/>
  <c r="D3318" i="106" s="1"/>
  <c r="I77" i="4"/>
  <c r="B3589" i="106"/>
  <c r="D3589" i="106" s="1"/>
  <c r="B6264" i="106"/>
  <c r="D6264" i="106" s="1"/>
  <c r="J81" i="4"/>
  <c r="B109" i="106"/>
  <c r="D109" i="106" s="1"/>
  <c r="D45" i="36"/>
  <c r="B77" i="106"/>
  <c r="D77" i="106" s="1"/>
  <c r="B3274" i="106" l="1"/>
  <c r="D3274" i="106" s="1"/>
  <c r="E77" i="4"/>
  <c r="B3299" i="106"/>
  <c r="D3299" i="106" s="1"/>
  <c r="H78" i="4"/>
  <c r="B3587" i="106"/>
  <c r="D3587" i="106" s="1"/>
  <c r="K78" i="4"/>
  <c r="B3319" i="106"/>
  <c r="D3319" i="106" s="1"/>
  <c r="I78" i="4"/>
  <c r="D64" i="36"/>
  <c r="J82" i="4"/>
  <c r="B6266" i="106"/>
  <c r="D6266" i="106" s="1"/>
  <c r="B1617" i="106"/>
  <c r="D1617" i="106" s="1"/>
  <c r="C81" i="4"/>
  <c r="B3300" i="106" l="1"/>
  <c r="D3300" i="106" s="1"/>
  <c r="H81" i="4"/>
  <c r="B3277" i="106"/>
  <c r="D3277" i="106" s="1"/>
  <c r="E78" i="4"/>
  <c r="B3588" i="106"/>
  <c r="D3588" i="106" s="1"/>
  <c r="K81" i="4"/>
  <c r="B3320" i="106"/>
  <c r="D3320" i="106" s="1"/>
  <c r="I81" i="4"/>
  <c r="J16" i="37" s="1"/>
  <c r="B4269" i="106" s="1"/>
  <c r="D4269" i="106" s="1"/>
  <c r="J83" i="4"/>
  <c r="B6283" i="106" s="1"/>
  <c r="D6283" i="106" s="1"/>
  <c r="B6274" i="106"/>
  <c r="D6274" i="106" s="1"/>
  <c r="B11" i="146"/>
  <c r="C82" i="4"/>
  <c r="B1630" i="106"/>
  <c r="D1630" i="106" s="1"/>
  <c r="H12" i="118" l="1"/>
  <c r="K12" i="118" s="1"/>
  <c r="O11" i="118" s="1"/>
  <c r="O13" i="118" s="1"/>
  <c r="O35" i="118" s="1"/>
  <c r="O37" i="118" s="1"/>
  <c r="B140" i="106"/>
  <c r="D140" i="106" s="1"/>
  <c r="E41" i="3"/>
  <c r="B3278" i="106"/>
  <c r="D3278" i="106" s="1"/>
  <c r="E81" i="4"/>
  <c r="B1700" i="106"/>
  <c r="D1700" i="106" s="1"/>
  <c r="H82" i="4"/>
  <c r="K82" i="4"/>
  <c r="B3591" i="106"/>
  <c r="D3591" i="106" s="1"/>
  <c r="B2912" i="106"/>
  <c r="D2912" i="106" s="1"/>
  <c r="I41" i="3"/>
  <c r="D63" i="36"/>
  <c r="I82" i="4"/>
  <c r="E11" i="146"/>
  <c r="F11" i="146" s="1"/>
  <c r="B3323" i="106"/>
  <c r="D3323" i="106" s="1"/>
  <c r="B6267" i="106"/>
  <c r="D6267" i="106" s="1"/>
  <c r="C83" i="4"/>
  <c r="B6276" i="106" s="1"/>
  <c r="D6276" i="106" s="1"/>
  <c r="B141" i="106" l="1"/>
  <c r="D141" i="106" s="1"/>
  <c r="D46" i="36"/>
  <c r="H83" i="4"/>
  <c r="B6281" i="106" s="1"/>
  <c r="D6281" i="106" s="1"/>
  <c r="B6272" i="106"/>
  <c r="D6272" i="106" s="1"/>
  <c r="B1658" i="106"/>
  <c r="D1658" i="106" s="1"/>
  <c r="E82" i="4"/>
  <c r="D59" i="36"/>
  <c r="B6275" i="106"/>
  <c r="D6275" i="106" s="1"/>
  <c r="K83" i="4"/>
  <c r="B6284" i="106" s="1"/>
  <c r="D6284" i="106" s="1"/>
  <c r="D29" i="36"/>
  <c r="J24" i="24" s="1"/>
  <c r="C12" i="146"/>
  <c r="I83" i="4"/>
  <c r="B6282" i="106" s="1"/>
  <c r="D6282" i="106" s="1"/>
  <c r="B6273" i="106"/>
  <c r="D6273" i="106" s="1"/>
  <c r="D50" i="36"/>
  <c r="B2913" i="106"/>
  <c r="D2913" i="106" s="1"/>
  <c r="B189" i="106"/>
  <c r="D189" i="106" s="1"/>
  <c r="G41" i="3"/>
  <c r="D61" i="36"/>
  <c r="B282" i="106" l="1"/>
  <c r="D282" i="106" s="1"/>
  <c r="N23" i="3"/>
  <c r="B212" i="106"/>
  <c r="D212" i="106" s="1"/>
  <c r="H41" i="3"/>
  <c r="D62" i="36"/>
  <c r="B6269" i="106"/>
  <c r="D6269" i="106" s="1"/>
  <c r="E83" i="4"/>
  <c r="B6278" i="106" s="1"/>
  <c r="D6278" i="106" s="1"/>
  <c r="B3567" i="106"/>
  <c r="D3567" i="106" s="1"/>
  <c r="K41" i="3"/>
  <c r="D65" i="36"/>
  <c r="D48" i="36"/>
  <c r="B190" i="106"/>
  <c r="D190" i="106" s="1"/>
  <c r="B284" i="106" l="1"/>
  <c r="D284" i="106" s="1"/>
  <c r="D55" i="36"/>
  <c r="B213" i="106"/>
  <c r="D213" i="106" s="1"/>
  <c r="D49" i="36"/>
  <c r="B3568" i="106"/>
  <c r="D3568" i="106" s="1"/>
  <c r="D52" i="36"/>
  <c r="D76" i="36"/>
  <c r="B92" i="106"/>
  <c r="D92" i="106" s="1"/>
  <c r="C41" i="3"/>
  <c r="D57" i="36"/>
  <c r="B93" i="106" l="1"/>
  <c r="D93" i="106" s="1"/>
  <c r="D4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<sst xmlns="http://schemas.openxmlformats.org/spreadsheetml/2006/main" count="5220" uniqueCount="2122">
  <si>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</si>
  <si>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</si>
  <si>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</si>
  <si>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</si>
  <si>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</si>
  <si>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</si>
  <si>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</si>
  <si>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</si>
  <si>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</si>
  <si>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</si>
  <si>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</si>
  <si>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</si>
  <si>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</si>
  <si>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</si>
  <si>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</si>
  <si>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</si>
  <si>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</si>
  <si>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</si>
  <si>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</si>
  <si>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</si>
  <si>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</si>
  <si>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</si>
  <si>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</si>
  <si>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</si>
  <si>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</si>
  <si>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</si>
  <si>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</si>
  <si>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</si>
  <si>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</si>
  <si>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</si>
  <si>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</si>
  <si>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</si>
  <si>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</si>
  <si>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</si>
  <si>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</si>
  <si>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</si>
  <si>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</si>
  <si>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</si>
  <si>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</si>
  <si>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</si>
  <si>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</si>
  <si>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</si>
  <si>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</si>
  <si>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</si>
  <si>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</si>
  <si>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</si>
  <si>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</si>
  <si>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</si>
  <si>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</si>
  <si>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</si>
  <si>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</si>
  <si>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</si>
  <si>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</si>
  <si>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</si>
  <si>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</si>
  <si>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</si>
  <si>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</si>
  <si>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</si>
  <si>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</si>
  <si>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</si>
  <si>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</si>
  <si>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</si>
  <si>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</si>
  <si>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</si>
  <si>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</si>
  <si>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</si>
  <si>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</si>
  <si>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</si>
  <si>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</si>
  <si>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</si>
  <si>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</si>
  <si>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</si>
  <si>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</si>
  <si>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</si>
  <si>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</si>
  <si>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</si>
  <si>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</si>
  <si>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</si>
  <si>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</si>
  <si>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</si>
  <si>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</si>
  <si>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</si>
  <si>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</si>
  <si>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</si>
  <si>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</si>
  <si>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</si>
  <si>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</si>
  <si>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</si>
  <si>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</si>
  <si>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</si>
  <si>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</si>
  <si>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</si>
  <si>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</si>
  <si>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</si>
  <si>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</si>
  <si>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</si>
  <si>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</si>
  <si>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</si>
  <si>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</si>
  <si>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</si>
  <si>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</si>
  <si>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</si>
  <si>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</si>
  <si>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</si>
  <si>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</si>
  <si>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</si>
  <si>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</si>
  <si>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</si>
  <si>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</si>
  <si>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</si>
  <si>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</si>
  <si>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</si>
  <si>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</si>
  <si>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</si>
  <si>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</si>
  <si>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</si>
  <si>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</si>
  <si>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</si>
  <si>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</si>
  <si>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</si>
  <si>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</si>
  <si>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</si>
  <si>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</si>
  <si>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</si>
  <si>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</si>
  <si>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</si>
  <si>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</si>
  <si>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</si>
  <si>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</si>
  <si>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</si>
  <si>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</si>
  <si>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</si>
  <si>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</si>
  <si>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</si>
  <si>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</si>
  <si>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</si>
  <si>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</si>
  <si>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</si>
  <si>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</si>
  <si>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</si>
  <si>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</si>
  <si>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</si>
  <si>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</si>
  <si>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</si>
  <si>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</si>
  <si>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</si>
  <si>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</si>
  <si>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</si>
  <si>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</si>
  <si>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</si>
  <si>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</si>
  <si>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</si>
  <si>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</si>
  <si>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</si>
  <si>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</si>
  <si>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</si>
  <si>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</si>
  <si>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</si>
  <si>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</si>
  <si>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</si>
  <si>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</si>
  <si>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</si>
  <si>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</si>
  <si>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</si>
  <si>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</si>
  <si>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</si>
  <si>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</si>
  <si>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</si>
  <si>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</si>
  <si>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</si>
  <si>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</si>
  <si>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</si>
  <si>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</si>
  <si>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</si>
  <si>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</si>
  <si>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</si>
  <si>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</si>
  <si>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</si>
  <si>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</si>
  <si>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</si>
  <si>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</si>
  <si>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</si>
  <si>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</si>
  <si>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</si>
  <si>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</si>
  <si>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</si>
  <si>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</si>
  <si>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</si>
  <si>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</si>
  <si>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</si>
  <si>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</si>
  <si>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</si>
  <si>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</si>
  <si>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</si>
  <si>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</si>
  <si>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</si>
  <si>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</si>
  <si>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</si>
  <si>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</si>
  <si>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</si>
  <si>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</si>
  <si>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</si>
  <si>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</si>
  <si>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</si>
  <si>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</si>
  <si>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</si>
  <si>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</si>
  <si>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</si>
  <si>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</si>
  <si>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</si>
  <si>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</si>
  <si>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</si>
  <si>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</si>
  <si>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</si>
  <si>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</si>
  <si>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</si>
  <si>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</si>
  <si>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</si>
  <si>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</si>
  <si>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</si>
  <si>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</si>
  <si>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</si>
  <si>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</si>
  <si>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</si>
  <si>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</si>
  <si>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</si>
  <si>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</si>
  <si>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</si>
  <si>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</si>
  <si>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</si>
  <si>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</si>
  <si>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</si>
  <si>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</si>
  <si>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</si>
  <si>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</si>
  <si>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</si>
  <si>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</si>
  <si>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</si>
  <si>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</si>
  <si>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</si>
  <si>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</si>
  <si>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</si>
  <si>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</si>
  <si>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</si>
  <si>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</si>
  <si>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</si>
  <si>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</si>
  <si>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</si>
  <si>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</si>
  <si>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</si>
  <si>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</si>
  <si>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</si>
  <si>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</si>
  <si>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</si>
  <si>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</si>
  <si>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</si>
  <si>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</si>
  <si>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</si>
  <si>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</si>
  <si>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</si>
  <si>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</si>
  <si>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</si>
  <si>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</si>
  <si>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</si>
  <si>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</si>
  <si>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</si>
  <si>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</si>
  <si>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</si>
  <si>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</si>
  <si>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</si>
  <si>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</si>
  <si>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</si>
  <si>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</si>
  <si>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</si>
  <si>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</si>
  <si>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</si>
  <si>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</si>
  <si>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</si>
  <si>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</si>
  <si>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</si>
  <si>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</si>
  <si>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</si>
  <si>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</si>
  <si>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</si>
  <si>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</si>
  <si>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</si>
  <si>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</si>
  <si>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</si>
  <si>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</si>
  <si>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</si>
  <si>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</si>
  <si>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</si>
  <si>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</si>
  <si>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</si>
  <si>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</si>
  <si>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</si>
  <si>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</si>
  <si>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</si>
  <si>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</si>
  <si>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</si>
  <si>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</si>
  <si>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</si>
  <si>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</si>
  <si>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</si>
  <si>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</si>
  <si>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</si>
  <si>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</si>
  <si>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</si>
  <si>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</si>
  <si>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</si>
  <si>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</si>
  <si>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</si>
  <si>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</si>
  <si>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</si>
  <si>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</si>
  <si>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</si>
  <si>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</si>
  <si>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</si>
  <si>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</si>
  <si>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</si>
  <si>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</si>
  <si>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</si>
  <si>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</si>
  <si>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</si>
  <si>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</si>
  <si>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</si>
  <si>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</si>
  <si>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</si>
  <si>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</si>
  <si>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</si>
  <si>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</si>
  <si>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</si>
  <si>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</si>
  <si>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</si>
  <si>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</si>
  <si>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</si>
  <si>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</si>
  <si>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</si>
  <si>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</si>
  <si>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</si>
  <si>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</si>
  <si>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</si>
  <si>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</si>
  <si>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</si>
  <si>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</si>
  <si>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</si>
  <si>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</si>
  <si>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</si>
  <si>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</si>
  <si>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</si>
  <si>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</si>
  <si>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</si>
  <si>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</si>
  <si>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</si>
  <si>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</si>
  <si>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</si>
  <si>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</si>
  <si>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</si>
  <si>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</si>
  <si>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</si>
  <si>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</si>
  <si>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</si>
  <si>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</si>
  <si>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</si>
  <si>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</si>
  <si>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</si>
  <si>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</si>
  <si>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</si>
  <si>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</si>
  <si>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</si>
  <si>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</si>
  <si>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</si>
  <si>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</si>
  <si>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</si>
  <si>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</si>
  <si>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</si>
  <si>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</si>
  <si>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</si>
  <si>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</si>
  <si>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</si>
  <si>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</si>
  <si>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</si>
  <si>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</si>
  <si>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</si>
  <si>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</si>
  <si>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</si>
  <si>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</si>
  <si>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</si>
  <si>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</si>
  <si>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</si>
  <si>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</si>
  <si>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</si>
  <si>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</si>
  <si>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</si>
  <si>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</si>
  <si>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</si>
  <si>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</si>
  <si>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</si>
  <si>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</si>
  <si>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</si>
  <si>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</si>
  <si>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</si>
  <si>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</si>
  <si>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</si>
  <si>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</si>
  <si>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</si>
  <si>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</si>
  <si>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</si>
  <si>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</si>
  <si>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</si>
  <si>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</si>
  <si>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</si>
  <si>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</si>
  <si>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</si>
  <si>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</si>
  <si>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</si>
  <si>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</si>
  <si>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</si>
  <si>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</si>
  <si>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</si>
  <si>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</si>
  <si>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</si>
  <si>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</si>
  <si>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</si>
  <si>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</si>
  <si>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</si>
  <si>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</si>
  <si>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</si>
  <si>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</si>
  <si>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</si>
  <si>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</si>
  <si>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</si>
  <si>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</si>
  <si>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</si>
  <si>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</si>
  <si>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</si>
  <si>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</si>
  <si>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</si>
  <si>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</si>
  <si>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</si>
  <si>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</si>
  <si>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</si>
  <si>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</si>
  <si>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</si>
  <si>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</si>
  <si>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</si>
  <si>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</si>
  <si>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</si>
  <si>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</si>
  <si>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</si>
  <si>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</si>
  <si>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</si>
  <si>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</si>
  <si>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</si>
  <si>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</si>
  <si>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</si>
  <si>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</si>
  <si>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</si>
  <si>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</si>
  <si>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</si>
  <si>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</si>
  <si>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</si>
  <si>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</si>
  <si>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</si>
  <si>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</si>
  <si>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</si>
  <si>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</si>
  <si>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</si>
  <si>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</si>
  <si>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</si>
  <si>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</si>
  <si>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</si>
  <si>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</si>
  <si>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</si>
  <si>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</si>
  <si>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</si>
  <si>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</si>
  <si>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</si>
  <si>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</si>
  <si>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</si>
  <si>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</si>
  <si>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</si>
  <si>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</si>
  <si>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</si>
  <si>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</si>
  <si>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</si>
  <si>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</si>
  <si>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</si>
  <si>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</si>
  <si>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</si>
  <si>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</si>
  <si>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</si>
  <si>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</si>
  <si>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</si>
  <si>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</si>
  <si>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</si>
  <si>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</si>
  <si>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</si>
  <si>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</si>
  <si>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</si>
  <si>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</si>
  <si>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</si>
  <si>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</si>
  <si>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</si>
  <si>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</si>
  <si>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</si>
  <si>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</si>
  <si>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</si>
  <si>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</si>
  <si>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</si>
  <si>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</si>
  <si>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</si>
  <si>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</si>
  <si>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</si>
  <si>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</si>
  <si>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</si>
  <si>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</si>
  <si>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</si>
  <si>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</si>
  <si>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</si>
  <si>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</si>
  <si>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</si>
  <si>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</si>
  <si>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</si>
  <si>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</si>
  <si>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</si>
  <si>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</si>
  <si>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</si>
  <si>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</si>
  <si>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</si>
  <si>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</si>
  <si>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</si>
  <si>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</si>
  <si>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</si>
  <si>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</si>
  <si>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</si>
  <si>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</si>
  <si>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</si>
  <si>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</si>
  <si>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</si>
  <si>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</si>
  <si>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</si>
  <si>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</si>
  <si>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</si>
  <si>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</si>
  <si>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</si>
  <si>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</si>
  <si>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</si>
  <si>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</si>
  <si>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</si>
  <si>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</si>
  <si>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</si>
  <si>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</si>
  <si>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</si>
  <si>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</si>
  <si>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</si>
  <si>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</si>
  <si>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</si>
  <si>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</si>
  <si>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</si>
  <si>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</si>
  <si>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</si>
  <si>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</si>
  <si>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</si>
  <si>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</si>
  <si>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</si>
  <si>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</si>
  <si>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</si>
  <si>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</si>
  <si>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</si>
  <si>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</si>
  <si>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</si>
  <si>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</si>
  <si>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</si>
  <si>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</si>
  <si>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</si>
  <si>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</si>
  <si>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</si>
  <si>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</si>
  <si>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</si>
  <si>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</si>
  <si>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</si>
  <si>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</si>
  <si>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</si>
  <si>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</si>
  <si>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</si>
  <si>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</si>
  <si>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</si>
  <si>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</si>
  <si>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</si>
  <si>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</si>
  <si>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</si>
  <si>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</si>
  <si>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</si>
  <si>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</si>
  <si>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</si>
  <si>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</si>
  <si>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</si>
  <si>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</si>
  <si>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</si>
  <si>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</si>
  <si>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</si>
  <si>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</si>
  <si>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</si>
  <si>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</si>
  <si>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</si>
  <si>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</si>
  <si>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</si>
  <si>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</si>
  <si>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</si>
  <si>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</si>
  <si>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</si>
  <si>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</si>
  <si>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</si>
  <si>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</si>
  <si>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</si>
  <si>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</si>
  <si>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</si>
  <si>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</si>
  <si>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</si>
  <si>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</si>
  <si>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</si>
  <si>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</si>
  <si>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</si>
  <si>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</si>
  <si>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</si>
  <si>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</si>
  <si>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</si>
  <si>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</si>
  <si>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</si>
  <si>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</si>
  <si>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</si>
  <si>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</si>
  <si>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</si>
  <si>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</si>
  <si>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</si>
  <si>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</si>
  <si>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</si>
  <si>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</si>
  <si>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</si>
  <si>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</si>
  <si>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</si>
  <si>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</si>
  <si>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</si>
  <si>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</si>
  <si>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</si>
  <si>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</si>
  <si>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</si>
  <si>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</si>
  <si>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</si>
  <si>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</si>
  <si>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</si>
  <si>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</si>
  <si>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</si>
  <si>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</si>
  <si>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</si>
  <si>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</si>
  <si>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</si>
  <si>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</si>
  <si>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</si>
  <si>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</si>
  <si>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</si>
  <si>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</si>
  <si>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</si>
  <si>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</si>
  <si>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</si>
  <si>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</si>
  <si>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</si>
  <si>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</si>
  <si>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</si>
  <si>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</si>
  <si>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</si>
  <si>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</si>
  <si>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</si>
  <si>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</si>
  <si>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</si>
  <si>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</si>
  <si>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</si>
  <si>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</si>
  <si>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</si>
  <si>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</si>
  <si>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</si>
  <si>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</si>
  <si>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</si>
  <si>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</si>
  <si>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</si>
  <si>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</si>
  <si>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</si>
  <si>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</si>
  <si>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</si>
  <si>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</si>
  <si>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</si>
  <si>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</si>
  <si>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</si>
  <si>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</si>
  <si>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</si>
  <si>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</si>
  <si>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</si>
  <si>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</si>
  <si>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</si>
  <si>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</si>
  <si>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</si>
  <si>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</si>
  <si>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</si>
  <si>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</si>
  <si>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</si>
  <si>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</si>
  <si>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</si>
  <si>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</si>
  <si>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</si>
  <si>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</si>
  <si>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</si>
  <si>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</si>
  <si>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</si>
  <si>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</si>
  <si>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</si>
  <si>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</si>
  <si>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</si>
  <si>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</si>
  <si>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</si>
  <si>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</si>
  <si>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</si>
  <si>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</si>
  <si>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</si>
  <si>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</si>
  <si>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</si>
  <si>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</si>
  <si>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</si>
  <si>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</si>
  <si>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</si>
  <si>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</si>
  <si>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</si>
  <si>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</si>
  <si>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</si>
  <si>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</si>
  <si>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</si>
  <si>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</si>
  <si>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</si>
  <si>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</si>
  <si>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</si>
  <si>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</si>
  <si>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</si>
  <si>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</si>
  <si>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</si>
  <si>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</si>
  <si>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</si>
  <si>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</si>
  <si>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</si>
  <si>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</si>
  <si>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</si>
  <si>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</si>
  <si>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</si>
  <si>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</si>
  <si>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</si>
  <si>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</si>
  <si>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</si>
  <si>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</si>
  <si>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</si>
  <si>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</si>
  <si>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</si>
  <si>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</si>
  <si>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</si>
  <si>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</si>
  <si>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</si>
  <si>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</si>
  <si>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</si>
  <si>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</si>
  <si>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</si>
  <si>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</si>
  <si>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</si>
  <si>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</si>
  <si>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</si>
  <si>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</si>
  <si>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</si>
  <si>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</si>
  <si>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</si>
  <si>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</si>
  <si>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</si>
  <si>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</si>
  <si>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</si>
  <si>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</si>
  <si>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</si>
  <si>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</si>
  <si>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</si>
  <si>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</si>
  <si>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</si>
  <si>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</si>
  <si>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</si>
  <si>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</si>
  <si>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</si>
  <si>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</si>
  <si>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</si>
  <si>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</si>
  <si>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</si>
  <si>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</si>
  <si>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</si>
  <si>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</si>
  <si>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</si>
  <si>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</si>
  <si>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</si>
  <si>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</si>
  <si>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</si>
  <si>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</si>
  <si>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</si>
  <si>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</si>
  <si>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</si>
  <si>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</si>
  <si>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</si>
  <si>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</si>
  <si>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</si>
  <si>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</si>
  <si>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</si>
  <si>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</si>
  <si>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</si>
  <si>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</si>
  <si>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</si>
  <si>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</si>
  <si>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</si>
  <si>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</si>
  <si>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</si>
  <si>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</si>
  <si>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</si>
  <si>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</si>
  <si>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</si>
  <si>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</si>
  <si>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</si>
  <si>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</si>
  <si>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</si>
  <si>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</si>
  <si>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</si>
  <si>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</si>
  <si>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</si>
  <si>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</si>
  <si>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</si>
  <si>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</si>
  <si>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</si>
  <si>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</si>
  <si>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</si>
  <si>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</si>
  <si>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</si>
  <si>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</si>
  <si>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</si>
  <si>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</si>
  <si>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</si>
  <si>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</si>
  <si>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</si>
  <si>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</si>
  <si>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</si>
  <si>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</si>
  <si>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</si>
  <si>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</si>
  <si>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</si>
  <si>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</si>
  <si>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</si>
  <si>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</si>
  <si>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</si>
  <si>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</si>
  <si>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</si>
  <si>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</si>
  <si>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</si>
  <si>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</si>
  <si>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</si>
  <si>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</si>
  <si>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</si>
  <si>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</si>
  <si>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</si>
  <si>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</si>
  <si>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</si>
  <si>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</si>
  <si>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</si>
  <si>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</si>
  <si>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</si>
  <si>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</si>
  <si>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</si>
  <si>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</si>
  <si>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</si>
  <si>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</si>
  <si>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</si>
  <si>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</si>
  <si>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</si>
  <si>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</si>
  <si>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</si>
  <si>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</si>
  <si>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</si>
  <si>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</si>
  <si>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</si>
  <si>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</si>
  <si>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</si>
  <si>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</si>
  <si>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</si>
  <si>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</si>
  <si>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</si>
  <si>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</si>
  <si>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</si>
  <si>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</si>
  <si>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</si>
  <si>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</si>
  <si>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</si>
  <si>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</si>
  <si>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</si>
  <si>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</si>
  <si>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</si>
  <si>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</si>
  <si>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</si>
  <si>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</si>
  <si>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</si>
  <si>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</si>
  <si>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</si>
  <si>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</si>
  <si>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</si>
  <si>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</si>
  <si>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</si>
  <si>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</si>
  <si>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</si>
  <si>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</si>
  <si>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</si>
  <si>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</si>
  <si>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</si>
  <si>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</si>
  <si>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</si>
  <si>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</si>
  <si>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</si>
  <si>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</si>
  <si>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</si>
  <si>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</si>
  <si>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</si>
  <si>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</si>
  <si>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</si>
  <si>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</si>
  <si>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</si>
  <si>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</si>
  <si>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</si>
  <si>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</si>
  <si>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</si>
  <si>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</si>
  <si>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</si>
  <si>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</si>
  <si>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</si>
  <si>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</si>
  <si>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</si>
  <si>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</si>
  <si>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</si>
  <si>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</si>
  <si>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</si>
  <si>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</si>
  <si>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</si>
  <si>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</si>
  <si>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</si>
  <si>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</si>
  <si>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</si>
  <si>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</si>
  <si>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</si>
  <si>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</si>
  <si>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</si>
  <si>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</si>
  <si>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</si>
  <si>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</si>
  <si>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</si>
  <si>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</si>
  <si>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</si>
  <si>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</si>
  <si>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</si>
  <si>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</si>
  <si>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</si>
  <si>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</si>
  <si>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</si>
  <si>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</si>
  <si>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</si>
  <si>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</si>
  <si>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</si>
  <si>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</si>
  <si>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</si>
  <si>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</si>
  <si>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</si>
  <si>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</si>
  <si>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</si>
  <si>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</si>
  <si>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</si>
  <si>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</si>
  <si>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</si>
  <si>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</si>
  <si>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</si>
  <si>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</si>
  <si>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</si>
  <si>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</si>
  <si>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</si>
  <si>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</si>
  <si>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</si>
  <si>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</si>
  <si>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</si>
  <si>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</si>
  <si>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</si>
  <si>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</si>
  <si>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</si>
  <si>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</si>
  <si>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</si>
  <si>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</si>
  <si>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</si>
  <si>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</si>
  <si>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</si>
  <si>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</si>
  <si>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</si>
  <si>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</si>
  <si>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</si>
  <si>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</si>
  <si>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</si>
  <si>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</si>
  <si>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</si>
  <si>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</si>
  <si>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</si>
  <si>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</si>
  <si>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</si>
  <si>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</si>
  <si>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</si>
  <si>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</si>
  <si>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</si>
  <si>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</si>
  <si>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</si>
  <si>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</si>
  <si>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</si>
  <si>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</si>
  <si>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</si>
  <si>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</si>
  <si>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</si>
  <si>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</si>
  <si>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</si>
  <si>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</si>
  <si>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</si>
  <si>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</si>
  <si>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</si>
  <si>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</si>
  <si>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</si>
  <si>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</si>
  <si>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</si>
  <si>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</si>
  <si>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</si>
  <si>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</si>
  <si>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</si>
  <si>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</si>
  <si>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</si>
  <si>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</si>
  <si>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</si>
  <si>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</si>
  <si>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</si>
  <si>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</si>
  <si>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</si>
  <si>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</si>
  <si>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</si>
  <si>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</si>
  <si>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</si>
  <si>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</si>
  <si>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</si>
  <si>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</si>
  <si>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</si>
  <si>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</si>
  <si>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</si>
  <si>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</si>
  <si>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</si>
  <si>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</si>
  <si>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</si>
  <si>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</si>
  <si>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</si>
  <si>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</si>
  <si>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</si>
  <si>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</si>
  <si>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</si>
  <si>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</si>
  <si>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</si>
  <si>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</si>
  <si>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</si>
  <si>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</si>
  <si>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</si>
  <si>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</si>
  <si>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</si>
  <si>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</si>
  <si>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</si>
  <si>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</si>
  <si>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</si>
  <si>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</si>
  <si>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</si>
  <si>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</si>
  <si>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</si>
  <si>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</si>
  <si>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</si>
  <si>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</si>
  <si>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</si>
  <si>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</si>
  <si>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</si>
  <si>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</si>
  <si>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</si>
  <si>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</si>
  <si>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</si>
  <si>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</si>
  <si>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</si>
  <si>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</si>
  <si>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</si>
  <si>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</si>
  <si>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</si>
  <si>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</si>
  <si>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</si>
  <si>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</si>
  <si>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</si>
  <si>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</si>
  <si>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</si>
  <si>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</si>
  <si>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</si>
  <si>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</si>
  <si>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</si>
  <si>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</si>
  <si>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</si>
  <si>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</si>
  <si>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</si>
  <si>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</si>
  <si>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</si>
  <si>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</si>
  <si>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</si>
  <si>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</si>
  <si>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</si>
  <si>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</si>
  <si>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</si>
  <si>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</si>
  <si>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</si>
  <si>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</si>
  <si>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</si>
  <si>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</si>
  <si>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</si>
  <si>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</si>
  <si>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</si>
  <si>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</si>
  <si>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</si>
  <si>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</si>
  <si>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</si>
  <si>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</si>
  <si>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</si>
  <si>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</si>
  <si>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</si>
  <si>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</si>
  <si>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</si>
  <si>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</si>
  <si>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</si>
  <si>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</si>
  <si>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</si>
  <si>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</si>
  <si>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</si>
  <si>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</si>
  <si>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</si>
  <si>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</si>
  <si>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</si>
  <si>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</si>
  <si>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</si>
  <si>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</si>
  <si>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</si>
  <si>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</si>
  <si>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</si>
  <si>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</si>
  <si>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</si>
  <si>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</si>
  <si>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</si>
  <si>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</si>
  <si>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</si>
  <si>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</si>
  <si>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</si>
  <si>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</si>
  <si>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</si>
  <si>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</si>
  <si>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</si>
  <si>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</si>
  <si>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</si>
  <si>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</si>
  <si>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</si>
  <si>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</si>
  <si>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</si>
  <si>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</si>
  <si>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</si>
  <si>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</si>
  <si>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</si>
  <si>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</si>
  <si>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</si>
  <si>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</si>
  <si>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</si>
  <si>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</si>
  <si>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</si>
  <si>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</si>
  <si>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</si>
  <si>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</si>
  <si>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</si>
  <si>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</si>
  <si>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</si>
  <si>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</si>
  <si>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</si>
  <si>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</si>
  <si>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</si>
  <si>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</si>
  <si>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</si>
  <si>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</si>
  <si>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</si>
  <si>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</si>
  <si>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</si>
  <si>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</si>
  <si>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</si>
  <si>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</si>
  <si>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</si>
  <si>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</si>
  <si>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</si>
  <si>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</si>
  <si>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</si>
  <si>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</si>
  <si>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</si>
  <si>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</si>
  <si>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</si>
  <si>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</si>
  <si>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</si>
  <si>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</si>
  <si>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</si>
  <si>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</si>
  <si>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</si>
  <si>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</si>
  <si>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</si>
  <si>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</si>
  <si>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</si>
  <si>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</si>
  <si>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</si>
  <si>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</si>
  <si>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</si>
  <si>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</si>
  <si>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</si>
  <si>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</si>
  <si>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</si>
  <si>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</si>
  <si>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</si>
  <si>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</si>
  <si>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</si>
  <si>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</si>
  <si>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</si>
  <si>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</si>
  <si>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</si>
  <si>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</si>
  <si>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</si>
  <si>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</si>
  <si>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</si>
  <si>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</si>
  <si>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</si>
  <si>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</si>
  <si>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</si>
  <si>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</si>
  <si>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</si>
  <si>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</si>
  <si>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</si>
  <si>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</si>
  <si>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</si>
  <si>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</si>
  <si>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</si>
  <si>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</si>
  <si>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</si>
  <si>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</si>
  <si>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</si>
  <si>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</si>
  <si>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</si>
  <si>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</si>
  <si>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</si>
  <si>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</si>
  <si>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</si>
  <si>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</si>
  <si>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</si>
  <si>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</si>
  <si>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</si>
  <si>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</si>
  <si>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</si>
  <si>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</si>
  <si>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</si>
  <si>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</si>
  <si>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</si>
  <si>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</si>
  <si>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</si>
  <si>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</si>
  <si>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</si>
  <si>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</si>
  <si>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</si>
  <si>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</si>
  <si>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</si>
  <si>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</si>
  <si>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</si>
  <si>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</si>
  <si>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</si>
  <si>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</si>
  <si>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</si>
  <si>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</si>
  <si>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</si>
  <si>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</si>
  <si>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</si>
  <si>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</si>
  <si>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</si>
  <si>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</si>
  <si>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</si>
  <si>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</si>
  <si>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</si>
  <si>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</si>
  <si>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</si>
  <si>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</si>
  <si>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</si>
  <si>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</si>
  <si>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</si>
  <si>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</si>
  <si>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</si>
  <si>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</si>
  <si>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</si>
  <si>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</si>
  <si>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</si>
  <si>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</si>
  <si>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</si>
  <si>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</si>
  <si>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</si>
  <si>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</si>
  <si>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</si>
  <si>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</si>
  <si>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</si>
  <si>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</si>
  <si>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</si>
  <si>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</si>
  <si>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</si>
  <si>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</si>
  <si>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</si>
  <si>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</si>
  <si>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</si>
  <si>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</si>
  <si>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</si>
  <si>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</si>
  <si>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</si>
  <si>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</si>
  <si>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</si>
  <si>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</si>
  <si>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</si>
  <si>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</si>
  <si>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</si>
  <si>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</si>
  <si>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</si>
  <si>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</si>
  <si>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</si>
  <si>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</si>
  <si>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</si>
  <si>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</si>
  <si>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</si>
  <si>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</si>
  <si>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</si>
  <si>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</si>
  <si>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</si>
  <si>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</si>
  <si>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</si>
  <si>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</si>
  <si>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</si>
  <si>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</si>
  <si>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</si>
  <si>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</si>
  <si>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</si>
  <si>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</si>
  <si>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</si>
  <si>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</si>
  <si>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</si>
  <si>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</si>
  <si>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</si>
  <si>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</si>
  <si>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</si>
  <si>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</si>
  <si>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</si>
  <si>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</si>
  <si>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</si>
  <si>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</si>
  <si>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</si>
  <si>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</si>
  <si>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</si>
  <si>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</si>
  <si>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</si>
  <si>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</si>
  <si>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</si>
  <si>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</si>
  <si>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</si>
  <si>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</si>
  <si>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</si>
  <si>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</si>
  <si>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</si>
  <si>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</si>
  <si>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</si>
  <si>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</si>
  <si>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</si>
  <si>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</si>
  <si>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</si>
  <si>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</si>
  <si>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</si>
  <si>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</si>
  <si>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</si>
  <si>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</si>
  <si>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</si>
  <si>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</si>
  <si>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</si>
  <si>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</si>
  <si>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</si>
  <si>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</si>
  <si>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</si>
  <si>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</si>
  <si>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</si>
  <si>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</si>
  <si>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</si>
  <si>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</si>
  <si>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</si>
  <si>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</si>
  <si>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</si>
  <si>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</si>
  <si>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</si>
  <si>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</si>
  <si>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</si>
  <si>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</si>
  <si>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</si>
  <si>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</si>
  <si>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</si>
  <si>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</si>
  <si>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</si>
  <si>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</si>
  <si>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</si>
  <si>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</si>
  <si>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</si>
  <si>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</si>
  <si>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</si>
  <si>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</si>
  <si>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</si>
  <si>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</si>
  <si>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</si>
  <si>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</si>
  <si>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</si>
  <si>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</si>
  <si>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</si>
  <si>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</si>
  <si>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</si>
  <si>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</si>
  <si>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</si>
  <si>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</si>
  <si>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</si>
  <si>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</si>
  <si>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</si>
  <si>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</si>
  <si>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</si>
  <si>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</si>
  <si>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</si>
  <si>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</si>
  <si>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</si>
  <si>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</si>
  <si>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</si>
  <si>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</si>
  <si>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</si>
  <si>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</si>
  <si>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</si>
  <si>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</si>
  <si>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</si>
  <si>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</si>
  <si>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</si>
  <si>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</si>
  <si>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</si>
  <si>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</si>
  <si>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</si>
  <si>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</si>
  <si>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</si>
  <si>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</si>
  <si>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</si>
  <si>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</si>
  <si>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</si>
  <si>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</si>
  <si>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</si>
  <si>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</si>
  <si>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</si>
  <si>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</si>
  <si>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</si>
  <si>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</si>
  <si>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</si>
  <si>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</si>
  <si>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</si>
  <si>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</si>
  <si>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</si>
  <si>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</si>
  <si>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</si>
  <si>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</si>
  <si>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</si>
  <si>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</si>
  <si>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</si>
  <si>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</si>
  <si>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</si>
  <si>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</si>
  <si>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</si>
  <si>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</si>
  <si>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</si>
  <si>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</si>
  <si>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</si>
  <si>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</si>
  <si>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</si>
  <si>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</si>
  <si>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</si>
  <si>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</si>
  <si>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</si>
  <si>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</si>
  <si>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</si>
  <si>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</si>
  <si>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</si>
  <si>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</si>
  <si>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</si>
  <si>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</si>
  <si>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</si>
  <si>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</si>
  <si>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</si>
  <si>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</si>
  <si>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</si>
  <si>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</si>
  <si>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</si>
  <si>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</si>
  <si>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</si>
  <si>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</si>
  <si>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</si>
  <si>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</si>
  <si>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</si>
  <si>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</si>
  <si>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</si>
  <si>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</si>
  <si>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</si>
  <si>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</si>
  <si>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</si>
  <si>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</si>
  <si>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</si>
  <si>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</si>
  <si>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</si>
  <si>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</si>
  <si>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</si>
  <si>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</si>
  <si>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</si>
  <si>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</si>
  <si>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</si>
  <si>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</si>
  <si>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</si>
  <si>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</si>
  <si>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</si>
  <si>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</si>
  <si>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</si>
  <si>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</si>
  <si>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</si>
  <si>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</si>
  <si>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</si>
  <si>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</si>
  <si>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</si>
  <si>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</si>
  <si>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</si>
  <si>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</si>
  <si>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</si>
  <si>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</si>
  <si>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</si>
  <si>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</si>
  <si>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</si>
  <si>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</si>
  <si>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</si>
  <si>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</si>
  <si>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</si>
  <si>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</si>
  <si>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</si>
  <si>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</si>
  <si>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</si>
  <si>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</si>
  <si>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</si>
  <si>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</si>
  <si>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</si>
  <si>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</si>
  <si>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</si>
  <si>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</si>
  <si>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</si>
  <si>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</si>
  <si>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</si>
  <si>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</si>
  <si>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</si>
  <si>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</si>
  <si>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</si>
  <si>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</si>
  <si>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</si>
  <si>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</si>
  <si>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</si>
  <si>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</si>
  <si>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</si>
  <si>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</si>
  <si>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</si>
  <si>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</si>
  <si>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</si>
  <si>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</si>
  <si>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</si>
  <si>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</si>
  <si>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</si>
  <si>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</si>
  <si>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</si>
  <si>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</si>
  <si>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</si>
  <si>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</si>
  <si>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</si>
  <si>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</si>
  <si>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</si>
  <si>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</si>
  <si>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</si>
  <si>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</si>
  <si>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</si>
  <si>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</si>
  <si>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</si>
  <si>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</si>
  <si>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</si>
  <si>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</si>
  <si>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</si>
  <si>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</si>
  <si>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</si>
  <si>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</si>
  <si>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</si>
  <si>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</si>
  <si>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</si>
  <si>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</si>
  <si>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</si>
  <si>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</si>
  <si>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</si>
  <si>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</si>
  <si>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</si>
  <si>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</si>
  <si>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</si>
  <si>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</si>
  <si>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</si>
  <si>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</si>
  <si>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</si>
  <si>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</si>
  <si>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</si>
  <si>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</si>
  <si>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</si>
  <si>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</si>
  <si>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</si>
  <si>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</si>
  <si>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</si>
  <si>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</si>
  <si>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</si>
  <si>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</si>
  <si>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</si>
  <si>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</si>
  <si>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</si>
  <si>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</si>
  <si>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</si>
  <si>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</si>
  <si>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</si>
  <si>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</si>
  <si>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</si>
  <si>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</si>
  <si>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</si>
  <si>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</si>
  <si>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</si>
  <si>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</si>
  <si>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</si>
  <si>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</si>
  <si>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</si>
  <si>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</si>
  <si>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</si>
  <si>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</si>
  <si>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</si>
  <si>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</si>
  <si>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</si>
  <si>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</si>
  <si>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</si>
  <si>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</si>
  <si>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</si>
  <si>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</si>
  <si>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</si>
  <si>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</si>
  <si>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</si>
  <si>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</si>
  <si>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</si>
  <si>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</si>
  <si>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</si>
  <si>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</si>
  <si>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</si>
  <si>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</si>
  <si>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</si>
  <si>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</si>
  <si>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</si>
  <si>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</si>
  <si>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</si>
  <si>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</si>
  <si>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</si>
  <si>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</si>
  <si>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</si>
  <si>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</si>
  <si>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</si>
  <si>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</si>
  <si>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</si>
  <si>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</si>
  <si>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</si>
  <si>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</si>
  <si>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</si>
  <si>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</si>
  <si>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</si>
  <si>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</si>
  <si>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</si>
  <si>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</si>
  <si>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</si>
  <si>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</si>
  <si>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</si>
  <si>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</si>
  <si>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</si>
  <si>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</si>
  <si>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</si>
  <si>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</si>
  <si>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</si>
  <si>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</si>
  <si>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</si>
  <si>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</si>
  <si>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</si>
  <si>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</si>
  <si>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</si>
  <si>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</si>
  <si>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</si>
  <si>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</si>
  <si>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</si>
  <si>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</si>
  <si>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</si>
  <si>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</si>
  <si>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</si>
  <si>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</si>
  <si>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</si>
  <si>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</si>
  <si>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</si>
  <si>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</si>
  <si>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</si>
  <si>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</si>
  <si>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</si>
  <si>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</si>
  <si>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</si>
  <si>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</si>
  <si>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</si>
  <si>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</si>
  <si>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</si>
  <si>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</si>
  <si>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</si>
  <si>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</si>
  <si>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</si>
  <si>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</si>
  <si>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</si>
  <si>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</si>
  <si>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</si>
  <si>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</si>
  <si>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</si>
  <si>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</si>
  <si>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</si>
  <si>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</si>
  <si>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</si>
  <si>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</si>
  <si>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</si>
  <si>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</si>
  <si>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</si>
  <si>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</si>
  <si>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</si>
  <si>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</si>
  <si>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</si>
  <si>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</si>
  <si>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</si>
  <si>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</si>
  <si>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</si>
  <si>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</si>
  <si>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</si>
  <si>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</si>
  <si>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</si>
  <si>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</si>
  <si>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</si>
  <si>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</si>
  <si>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</si>
  <si>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</si>
  <si>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</si>
  <si>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</si>
  <si>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</si>
  <si>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</si>
  <si>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</si>
  <si>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</si>
  <si>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</si>
  <si>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</si>
  <si>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</si>
  <si>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</si>
  <si>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</si>
  <si>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</si>
  <si>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</si>
  <si>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</si>
  <si>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</si>
  <si>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</si>
  <si>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</si>
  <si>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</si>
  <si>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</si>
  <si>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</si>
  <si>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</si>
  <si>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</si>
  <si>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</si>
  <si>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</si>
  <si>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</si>
  <si>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</si>
  <si>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</si>
  <si>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</si>
  <si>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</si>
  <si>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</si>
  <si>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</si>
  <si>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</si>
  <si>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</si>
  <si>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</si>
  <si>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</si>
  <si>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</si>
  <si>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</si>
  <si>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</si>
  <si>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</si>
  <si>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</si>
  <si>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</si>
  <si>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</si>
  <si>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</si>
  <si>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</si>
  <si>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</si>
  <si>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</si>
  <si>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</si>
  <si>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</si>
  <si>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</si>
  <si>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</si>
  <si>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</si>
  <si>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</si>
  <si>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</si>
  <si>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</si>
  <si>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</si>
  <si>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</si>
  <si>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</si>
  <si>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</si>
  <si>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</si>
  <si>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</si>
  <si>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</si>
  <si>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</si>
  <si>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</si>
  <si>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</si>
  <si>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</si>
  <si>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</si>
  <si>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</si>
  <si>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</si>
  <si>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</si>
  <si>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</si>
  <si>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</si>
  <si>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</si>
  <si>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</si>
  <si>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</si>
  <si>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</si>
  <si>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</si>
  <si>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</si>
  <si>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</si>
  <si>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</si>
  <si>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</si>
  <si>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</si>
  <si>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</si>
  <si>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</si>
  <si>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</si>
  <si>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</si>
  <si>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</si>
  <si>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</si>
  <si>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</si>
  <si>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</si>
  <si>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</si>
  <si>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</si>
  <si>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</si>
  <si>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</si>
  <si>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</si>
  <si>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</si>
  <si>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</si>
  <si>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</si>
  <si>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</si>
  <si>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</si>
  <si>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</si>
  <si>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</si>
  <si>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</si>
  <si>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</si>
  <si>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</si>
  <si>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</si>
  <si>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</si>
  <si>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</si>
  <si>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</si>
  <si>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</si>
  <si>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</si>
  <si>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</si>
  <si>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</si>
  <si>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</si>
  <si>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</si>
  <si>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</si>
  <si>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</si>
  <si>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</si>
  <si>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</si>
  <si>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</si>
  <si>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</si>
  <si>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</si>
  <si>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</si>
  <si>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</si>
  <si>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</si>
  <si>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</si>
  <si>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</si>
  <si>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</si>
  <si>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</si>
  <si>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</si>
  <si>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</si>
  <si>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</si>
  <si>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</si>
  <si>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</si>
  <si>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</si>
  <si>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</si>
  <si>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</si>
  <si>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</si>
  <si>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</si>
  <si>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</si>
  <si>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</si>
  <si>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</si>
  <si>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</si>
  <si>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</si>
  <si>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</si>
  <si>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</si>
  <si>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</si>
  <si>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</si>
  <si>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</si>
  <si>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</si>
  <si>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</si>
  <si>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</si>
  <si>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</si>
  <si>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</si>
  <si>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</si>
  <si>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</si>
  <si>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</si>
  <si>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</si>
  <si>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</si>
  <si>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</si>
  <si>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</si>
  <si>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</si>
  <si>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</si>
  <si>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</si>
  <si>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</si>
  <si>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</si>
  <si>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</si>
  <si>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</si>
  <si>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</si>
  <si>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</si>
  <si>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</si>
  <si>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</si>
  <si>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</si>
  <si>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</si>
  <si>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</si>
  <si>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</si>
  <si>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</si>
  <si>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</si>
  <si>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</si>
  <si>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</si>
  <si>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</si>
  <si>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</si>
  <si>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</si>
  <si>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</si>
  <si>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</si>
  <si>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</si>
  <si>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</si>
  <si>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</si>
  <si>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</si>
  <si>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</si>
  <si>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</si>
  <si>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</si>
  <si>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</si>
  <si>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</si>
  <si>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</si>
  <si>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</si>
  <si>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</si>
  <si>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</si>
  <si>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</si>
  <si>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</si>
  <si>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</si>
  <si>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</si>
  <si>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</si>
  <si>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</si>
  <si>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</si>
  <si>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</si>
  <si>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</si>
  <si>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</si>
  <si>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</si>
  <si>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</si>
  <si>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</si>
  <si>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</si>
  <si>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</si>
  <si>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</si>
  <si>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</si>
  <si>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</si>
  <si>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</si>
  <si>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</si>
  <si>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</si>
  <si>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</si>
  <si>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</si>
  <si>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</si>
  <si>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</si>
  <si>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</si>
  <si>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</si>
  <si>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</si>
  <si>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</si>
  <si>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</si>
  <si>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</si>
  <si>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</si>
  <si>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</si>
  <si>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</si>
  <si>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</si>
  <si>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</si>
  <si>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</si>
  <si>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</si>
  <si>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</si>
  <si>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</si>
  <si>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</si>
  <si>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</si>
  <si>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</si>
  <si>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</si>
  <si>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</si>
  <si>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</si>
  <si>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</si>
  <si>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</si>
  <si>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</si>
  <si>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</si>
  <si>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</si>
  <si>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</si>
  <si>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</si>
  <si>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</si>
  <si>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</si>
  <si>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</si>
  <si>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</si>
  <si>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</si>
  <si>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</si>
  <si>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</si>
  <si>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</si>
  <si>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</si>
  <si>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</si>
  <si>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</si>
  <si>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</si>
  <si>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</si>
  <si>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</si>
  <si>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</si>
  <si>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</si>
  <si>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</si>
  <si>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</si>
  <si>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</si>
  <si>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</si>
  <si>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</si>
  <si>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</si>
  <si>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</si>
  <si>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</si>
  <si>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</si>
  <si>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</si>
  <si>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</si>
  <si>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</si>
  <si>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</si>
  <si>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</si>
  <si>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</si>
  <si>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</si>
  <si>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</si>
  <si>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</si>
  <si>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</si>
  <si>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</si>
  <si>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</si>
  <si>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</si>
  <si>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</si>
  <si>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</si>
  <si>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</si>
  <si>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</si>
  <si>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NOT A SINGLE AUDIT</t>
  </si>
  <si>
    <t>47-098-1450-04</t>
  </si>
  <si>
    <t>Whiteside</t>
  </si>
  <si>
    <t>Montmorency Community Consolidated School District No. 145</t>
  </si>
  <si>
    <t>9415 Hoover Road</t>
  </si>
  <si>
    <t>Rock Falls</t>
  </si>
  <si>
    <t>amoore@mgs145.net</t>
  </si>
  <si>
    <t>Alex Moore</t>
  </si>
  <si>
    <t>815-625-6616</t>
  </si>
  <si>
    <t>815-625-8432</t>
  </si>
  <si>
    <t>Jason A. Hohulin, CPA</t>
  </si>
  <si>
    <t>jhohulin@gorenzcpa.com</t>
  </si>
  <si>
    <t>The Board of Education's most recent assessment has determined that the current internal control system is acceptable. The internal control system will continue to be monitored.</t>
  </si>
  <si>
    <t xml:space="preserve">The Board of Education should perform an assessment of internal controls, at least annually. </t>
  </si>
  <si>
    <t>One individual has the ability to complete and record accounting functions which ideally would be segregated.</t>
  </si>
  <si>
    <t>Inadequate segregation of duties increases the risk of misstatements in the financial statements.</t>
  </si>
  <si>
    <t>Most District accounting and financial records are maintained by one individual.</t>
  </si>
  <si>
    <t>One individual has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</si>
  <si>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Segregation of duties among accounting personnel is an integral part of an internal control structure.</t>
  </si>
  <si>
    <t>Year Ending June 30, 2020</t>
  </si>
  <si>
    <r>
      <t>CORRECTIVE ACTION PLAN FOR CURRENT YEAR AUDIT FINDINGS</t>
    </r>
    <r>
      <rPr>
        <b/>
        <vertAlign val="superscript"/>
        <sz val="9"/>
        <rFont val="Arial"/>
        <family val="2"/>
      </rPr>
      <t>21</t>
    </r>
  </si>
  <si>
    <t>Corrective Action Plan</t>
  </si>
  <si>
    <t>Finding No.:</t>
  </si>
  <si>
    <t>Condition:</t>
  </si>
  <si>
    <t>Plan:</t>
  </si>
  <si>
    <t>The District will continue to monitor their internal control system. Management oversight and other mitigating controls have lowered risks associated with inadequate segregation of duties. Assessment of internal controls will be performed annually.</t>
  </si>
  <si>
    <t>Anticipated Date of Completion:</t>
  </si>
  <si>
    <t>Name of Contact Person:</t>
  </si>
  <si>
    <t>Alex Moore, Superintendent</t>
  </si>
  <si>
    <t>Management Response:</t>
  </si>
  <si>
    <t>The Board of Education has determined that the current internal control system is</t>
  </si>
  <si>
    <t>acceptable, providing a tolerable amount of risk.</t>
  </si>
  <si>
    <r>
      <t>21</t>
    </r>
    <r>
      <rPr>
        <sz val="8"/>
        <rFont val="Arial"/>
        <family val="2"/>
      </rPr>
      <t xml:space="preserve">  Must address </t>
    </r>
    <r>
      <rPr>
        <b/>
        <sz val="8"/>
        <rFont val="Arial"/>
        <family val="2"/>
      </rPr>
      <t>each</t>
    </r>
    <r>
      <rPr>
        <sz val="8"/>
        <rFont val="Arial"/>
        <family val="2"/>
      </rPr>
      <t xml:space="preserve"> audit finding  - §200.511 ( c)</t>
    </r>
  </si>
  <si>
    <t>2020-</t>
  </si>
  <si>
    <t>Lack of segregation of duties.</t>
  </si>
  <si>
    <t>Unresolved - See Finding 2020-001</t>
  </si>
  <si>
    <t>2019-001</t>
  </si>
  <si>
    <t xml:space="preserve">    number of 2020-001, 2020-002, etc.  The sheet is formatted so that only the number need be entered (1, 2, etc.).</t>
  </si>
  <si>
    <t xml:space="preserve">    sequence of findings.  For example, findings identified and reported in the audit of fiscal year 2020 would be assigned a reference </t>
  </si>
  <si>
    <t>2019-002</t>
  </si>
  <si>
    <t>Budget Violations</t>
  </si>
  <si>
    <t>Resolved</t>
  </si>
  <si>
    <t>Rock Falls Elementary District No. 13</t>
  </si>
  <si>
    <t>x</t>
  </si>
  <si>
    <t>Colton Wright</t>
  </si>
  <si>
    <t>Rock Falls Elementary/East Coloma Julie McCord Band Teacher</t>
  </si>
  <si>
    <t>Bi-County Special Ed Co-op</t>
  </si>
  <si>
    <t>First Student</t>
  </si>
  <si>
    <t>Rock Falls Elementary Athletics</t>
  </si>
  <si>
    <t>Part C - Line 20 - See Finding 2020-001</t>
  </si>
  <si>
    <t>G.O. Bonds, Series 2020</t>
  </si>
  <si>
    <t>2013 Funding Bonds</t>
  </si>
  <si>
    <t>2018 Working Cash Bonds</t>
  </si>
  <si>
    <t>Rock Falls Elementary District #13</t>
  </si>
  <si>
    <t>Page 10, Line 81: Other Revenue from Local Sources/Other Pupil Activities - Graduation Caps and Gowns</t>
  </si>
  <si>
    <t>Page 12, Line 180: Other Grants Revenue - REAP Grant</t>
  </si>
  <si>
    <t>Page 15, Line 41: Other Support Services - Pupils - Yearbooks, Diplomas, and Awards Expense</t>
  </si>
  <si>
    <t>Page 16, Line 83: Other Payments to In-State Gov't Units - Title II Purchase Services</t>
  </si>
  <si>
    <t>Page 18, Line 171: Debt Service - Other - Bonds Issuance Costs</t>
  </si>
  <si>
    <t>Page 5, Line 12: Other Current Assets - Prepaid TRS Expense</t>
  </si>
  <si>
    <t>Ed-Food Services-Purchased Service</t>
  </si>
  <si>
    <t>See PDF version</t>
  </si>
  <si>
    <t xml:space="preserve">   Montmorency CCSD 145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</si>
</sst>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2">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11" fillId="0" borderId="0"/>
  </cellStyleXfs>
  <cellXfs count="2675">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55" fillId="0" borderId="0" xfId="3" applyFont="1" applyAlignment="1">
      <alignment horizontal="center" vertical="center"/>
    </xf>
    <xf numFmtId="0" fontId="58" fillId="0" borderId="9" xfId="3" applyFont="1" applyBorder="1" applyAlignment="1" applyProtection="1">
      <alignment horizontal="center"/>
      <protection locked="0"/>
    </xf>
    <xf numFmtId="0" fontId="58" fillId="0" borderId="0" xfId="3" applyFont="1" applyAlignment="1">
      <alignment horizontal="center"/>
    </xf>
    <xf numFmtId="0" fontId="65" fillId="0" borderId="0" xfId="3" applyFont="1" applyAlignment="1">
      <alignment horizontal="center" vertical="top" textRotation="180"/>
    </xf>
    <xf numFmtId="0" fontId="120" fillId="0" borderId="0" xfId="3" applyFont="1"/>
    <xf numFmtId="0" fontId="58" fillId="0" borderId="78" xfId="3" applyFont="1" applyBorder="1"/>
    <xf numFmtId="0" fontId="58" fillId="0" borderId="78" xfId="3" applyFont="1" applyBorder="1" applyAlignment="1">
      <alignment horizontal="center"/>
    </xf>
    <xf numFmtId="0" fontId="58" fillId="0" borderId="142" xfId="3" applyFont="1" applyBorder="1"/>
    <xf numFmtId="0" fontId="58" fillId="0" borderId="142" xfId="3" applyFont="1" applyBorder="1" applyAlignment="1">
      <alignment horizontal="center"/>
    </xf>
    <xf numFmtId="0" fontId="66" fillId="0" borderId="142" xfId="3" applyFont="1" applyBorder="1"/>
    <xf numFmtId="0" fontId="65" fillId="0" borderId="142" xfId="3" applyFont="1" applyBorder="1" applyAlignment="1">
      <alignment horizontal="left"/>
    </xf>
    <xf numFmtId="0" fontId="65" fillId="0" borderId="142" xfId="3" applyFont="1" applyBorder="1"/>
    <xf numFmtId="0" fontId="65" fillId="0" borderId="142" xfId="3" quotePrefix="1" applyFont="1" applyBorder="1" applyAlignment="1">
      <alignment horizontal="left"/>
    </xf>
    <xf numFmtId="8" fontId="58" fillId="0" borderId="0" xfId="3" applyNumberFormat="1" applyFont="1" applyAlignment="1">
      <alignment horizontal="left"/>
    </xf>
    <xf numFmtId="0" fontId="56" fillId="0" borderId="142" xfId="3" applyFont="1" applyBorder="1"/>
    <xf numFmtId="0" fontId="56" fillId="0" borderId="142" xfId="3" applyFont="1" applyBorder="1" applyAlignment="1">
      <alignment horizontal="center"/>
    </xf>
    <xf numFmtId="0" fontId="66" fillId="0" borderId="0" xfId="3" applyFont="1"/>
    <xf numFmtId="0" fontId="65" fillId="0" borderId="0" xfId="3" applyFont="1" applyAlignment="1">
      <alignment horizontal="left"/>
    </xf>
    <xf numFmtId="0" fontId="65" fillId="0" borderId="0" xfId="3" applyFont="1" applyAlignment="1">
      <alignment horizontal="left" indent="1"/>
    </xf>
    <xf numFmtId="0" fontId="58" fillId="0" borderId="0" xfId="3" applyFont="1" applyAlignment="1">
      <alignment horizontal="left" indent="1"/>
    </xf>
    <xf numFmtId="0" fontId="66" fillId="0" borderId="0" xfId="3" applyFont="1" applyAlignment="1">
      <alignment horizontal="right"/>
    </xf>
    <xf numFmtId="0" fontId="66" fillId="0" borderId="0" xfId="3" applyFont="1" applyAlignment="1">
      <alignment horizontal="centerContinuous"/>
    </xf>
    <xf numFmtId="166" fontId="66" fillId="0" borderId="0" xfId="3" applyNumberFormat="1" applyFont="1" applyAlignment="1">
      <alignment horizontal="center" vertical="top"/>
    </xf>
    <xf numFmtId="165" fontId="55" fillId="0" borderId="0" xfId="3" applyNumberFormat="1" applyFont="1" applyAlignment="1">
      <alignment horizontal="center" vertical="center"/>
    </xf>
    <xf numFmtId="49" fontId="66" fillId="0" borderId="0" xfId="3" applyNumberFormat="1" applyFont="1" applyAlignment="1">
      <alignment horizontal="center" vertical="top"/>
    </xf>
    <xf numFmtId="49" fontId="14" fillId="0" borderId="0" xfId="3" applyNumberFormat="1" applyFont="1" applyAlignment="1">
      <alignment horizontal="center" vertical="center"/>
    </xf>
    <xf numFmtId="0" fontId="11" fillId="0" borderId="0" xfId="3"/>
    <xf numFmtId="166" fontId="14" fillId="0" borderId="0" xfId="3" applyNumberFormat="1" applyFont="1" applyAlignment="1">
      <alignment horizontal="center" vertical="center"/>
    </xf>
    <xf numFmtId="0" fontId="14" fillId="0" borderId="0" xfId="3" applyFont="1" applyAlignment="1">
      <alignment horizontal="center" vertical="center"/>
    </xf>
    <xf numFmtId="171" fontId="14" fillId="0" borderId="0" xfId="3" applyNumberFormat="1" applyFont="1" applyAlignment="1">
      <alignment horizontal="center" vertical="center"/>
    </xf>
    <xf numFmtId="0" fontId="145" fillId="0" borderId="0" xfId="3" applyFont="1" applyAlignment="1">
      <alignment horizontal="left"/>
    </xf>
    <xf numFmtId="0" fontId="35" fillId="0" borderId="0" xfId="3" applyFont="1" applyAlignment="1">
      <alignment horizontal="left"/>
    </xf>
    <xf numFmtId="0" fontId="35" fillId="0" borderId="0" xfId="3" applyFont="1"/>
    <xf numFmtId="0" fontId="14" fillId="0" borderId="0" xfId="3" applyFont="1" applyAlignment="1">
      <alignment horizontal="left"/>
    </xf>
    <xf numFmtId="0" fontId="12" fillId="0" borderId="0" xfId="3" applyFont="1"/>
    <xf numFmtId="0" fontId="14" fillId="0" borderId="0" xfId="3" applyFont="1" applyAlignment="1">
      <alignment horizontal="center"/>
    </xf>
    <xf numFmtId="178" fontId="14" fillId="0" borderId="9" xfId="3" applyNumberFormat="1" applyFont="1" applyBorder="1" applyAlignment="1" applyProtection="1">
      <alignment horizontal="center"/>
      <protection locked="0"/>
    </xf>
    <xf numFmtId="0" fontId="146" fillId="0" borderId="0" xfId="3" applyFont="1" applyAlignment="1">
      <alignment horizontal="left"/>
    </xf>
    <xf numFmtId="14" fontId="11" fillId="0" borderId="0" xfId="3" applyNumberFormat="1" applyAlignment="1" applyProtection="1">
      <alignment horizontal="left"/>
      <protection locked="0"/>
    </xf>
    <xf numFmtId="0" fontId="11" fillId="0" borderId="0" xfId="3" applyProtection="1">
      <protection locked="0"/>
    </xf>
    <xf numFmtId="0" fontId="13" fillId="0" borderId="0" xfId="3" applyFont="1"/>
    <xf numFmtId="0" fontId="11" fillId="0" borderId="0" xfId="3" applyAlignment="1">
      <alignment horizontal="left"/>
    </xf>
    <xf numFmtId="0" fontId="11" fillId="0" borderId="78" xfId="3" applyBorder="1"/>
    <xf numFmtId="0" fontId="147" fillId="0" borderId="0" xfId="3" applyFont="1" applyAlignment="1">
      <alignment horizontal="left"/>
    </xf>
    <xf numFmtId="0" fontId="12" fillId="0" borderId="0" xfId="3" applyFont="1" applyAlignment="1">
      <alignment horizontal="left"/>
    </xf>
    <xf numFmtId="0" fontId="37" fillId="0" borderId="0" xfId="3" applyFont="1"/>
    <xf numFmtId="0" fontId="147" fillId="0" borderId="0" xfId="3" applyFont="1"/>
    <xf numFmtId="0" fontId="3" fillId="0" borderId="155" xfId="19"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Alignment="1" applyProtection="1">
      <alignment horizontal="left" vertical="top" wrapText="1"/>
      <protection locked="0"/>
    </xf>
    <xf numFmtId="0" fontId="66" fillId="0" borderId="0" xfId="3" applyFont="1" applyAlignment="1">
      <alignment horizontal="center" vertical="center" wrapText="1"/>
    </xf>
    <xf numFmtId="165" fontId="66" fillId="0" borderId="0" xfId="3" applyNumberFormat="1" applyFont="1" applyAlignment="1">
      <alignment horizontal="center" vertical="center" wrapText="1"/>
    </xf>
    <xf numFmtId="0" fontId="55" fillId="0" borderId="0" xfId="3" applyFont="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NumberFormat="1" applyFont="1" applyAlignment="1" applyProtection="1">
      <alignment horizontal="center" vertical="center" wrapText="1"/>
    </xf>
    <xf numFmtId="0" fontId="11" fillId="0" borderId="0" xfId="3" applyAlignment="1" applyProtection="1">
      <alignment horizontal="left" vertical="top" wrapText="1"/>
      <protection locked="0"/>
    </xf>
    <xf numFmtId="0" fontId="14" fillId="0" borderId="0" xfId="3" applyFont="1" applyAlignment="1">
      <alignment horizontal="center" vertical="center" wrapText="1"/>
    </xf>
    <xf numFmtId="165" fontId="14" fillId="0" borderId="0" xfId="3" applyNumberFormat="1" applyFont="1" applyAlignment="1">
      <alignment horizontal="center" vertical="center" wrapText="1"/>
    </xf>
    <xf numFmtId="0" fontId="21" fillId="0" borderId="0" xfId="3" applyFont="1" applyAlignment="1">
      <alignment horizontal="center" vertical="center" wrapText="1"/>
    </xf>
    <xf numFmtId="171" fontId="21" fillId="0" borderId="0" xfId="3" applyNumberFormat="1" applyFont="1" applyAlignment="1">
      <alignment horizontal="center" vertical="center" wrapText="1"/>
    </xf>
    <xf numFmtId="0" fontId="58" fillId="0" borderId="0" xfId="3" applyFont="1" applyBorder="1" applyAlignment="1" applyProtection="1">
      <alignment horizontal="left" vertical="top" wrapText="1"/>
      <protection locked="0"/>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cellXfs>
  <cellStyles count="22">
    <cellStyle name="Comma" xfId="1" builtinId="3"/>
    <cellStyle name="Hyperlink" xfId="2" builtinId="8"/>
    <cellStyle name="Hyperlink 2" xfId="15" xr:uid="{00000000-0005-0000-0000-000002000000}"/>
    <cellStyle name="Normal" xfId="0" builtinId="0"/>
    <cellStyle name="Normal 2" xfId="3" xr:uid="{00000000-0005-0000-0000-000004000000}"/>
    <cellStyle name="Normal 2 2" xfId="21" xr:uid="{D0C1385B-B7C6-436D-BBEF-C0130802EEFA}"/>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495300</xdr:colOff>
          <xdr:row>9</xdr:row>
          <xdr:rowOff>76200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1504950</xdr:colOff>
          <xdr:row>9</xdr:row>
          <xdr:rowOff>76200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5057" name="Object 1" hidden="1">
              <a:extLst>
                <a:ext uri="{63B3BB69-23CF-44E3-9099-C40C66FF867C}">
                  <a14:compatExt spid="_x0000_s45057"/>
                </a:ext>
                <a:ext uri="{FF2B5EF4-FFF2-40B4-BE49-F238E27FC236}">
                  <a16:creationId xmlns:a16="http://schemas.microsoft.com/office/drawing/2014/main" id="{00000000-0008-0000-1400-000001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5058" name="Object 2" hidden="1">
              <a:extLst>
                <a:ext uri="{63B3BB69-23CF-44E3-9099-C40C66FF867C}">
                  <a14:compatExt spid="_x0000_s45058"/>
                </a:ext>
                <a:ext uri="{FF2B5EF4-FFF2-40B4-BE49-F238E27FC236}">
                  <a16:creationId xmlns:a16="http://schemas.microsoft.com/office/drawing/2014/main" id="{00000000-0008-0000-1400-000002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114300</xdr:colOff>
      <xdr:row>12</xdr:row>
      <xdr:rowOff>0</xdr:rowOff>
    </xdr:from>
    <xdr:ext cx="76200" cy="199852"/>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628900" y="1828800"/>
          <a:ext cx="76200" cy="199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771900" y="18288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89535</xdr:colOff>
      <xdr:row>41</xdr:row>
      <xdr:rowOff>32385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701800" y="8534400"/>
          <a:ext cx="86995" cy="201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327150" y="85344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02%20-%20Schools\Clients\Elmwood\01%20FY%2006-30-19\Master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chools\Clients\AlWood\14%20Current%20Year%20Files\01%20Working%20Files%20(Word-Excel)\Workpapers\112%20-%20Cas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
      <sheetName val="O&amp;M"/>
      <sheetName val="DS"/>
      <sheetName val="Trans"/>
      <sheetName val="IMRF"/>
      <sheetName val="CP"/>
      <sheetName val="WC"/>
      <sheetName val="Tort"/>
      <sheetName val="FS"/>
      <sheetName val="StA&amp;L"/>
      <sheetName val="RevExpFB"/>
      <sheetName val="StofRev"/>
      <sheetName val="Ed Exp"/>
      <sheetName val="O&amp;M Exp"/>
      <sheetName val="DS Exp"/>
      <sheetName val="Trans Exp"/>
      <sheetName val="Imrf Exp"/>
      <sheetName val="CP Exp"/>
      <sheetName val="Tort Exp"/>
      <sheetName val="FireSaf Exp"/>
      <sheetName val="AdvTaxes"/>
      <sheetName val="G.7 - Diagnostics"/>
      <sheetName val="5000 - Payroll Analytical"/>
      <sheetName val="General Analytical"/>
      <sheetName val="SE MOE"/>
      <sheetName val="Investment Income"/>
      <sheetName val="T - Itemization Accounts"/>
      <sheetName val="Zl - AdminCosts-Budget"/>
      <sheetName val="Zl - AdminCosts-Actual"/>
      <sheetName val="Worksheets"/>
      <sheetName val="AuditPages"/>
      <sheetName val="S - Adjusted Fund Balances"/>
    </sheetNames>
    <sheetDataSet>
      <sheetData sheetId="0">
        <row r="14">
          <cell r="J14">
            <v>0</v>
          </cell>
        </row>
      </sheetData>
      <sheetData sheetId="1">
        <row r="14">
          <cell r="J14">
            <v>0</v>
          </cell>
        </row>
      </sheetData>
      <sheetData sheetId="2">
        <row r="14">
          <cell r="J14">
            <v>0</v>
          </cell>
        </row>
      </sheetData>
      <sheetData sheetId="3">
        <row r="14">
          <cell r="J14">
            <v>0</v>
          </cell>
        </row>
      </sheetData>
      <sheetData sheetId="4">
        <row r="14">
          <cell r="J14">
            <v>0</v>
          </cell>
        </row>
      </sheetData>
      <sheetData sheetId="5">
        <row r="14">
          <cell r="J14">
            <v>0</v>
          </cell>
        </row>
      </sheetData>
      <sheetData sheetId="6">
        <row r="14">
          <cell r="J14">
            <v>0</v>
          </cell>
        </row>
      </sheetData>
      <sheetData sheetId="7">
        <row r="14">
          <cell r="J14">
            <v>0</v>
          </cell>
        </row>
      </sheetData>
      <sheetData sheetId="8">
        <row r="14">
          <cell r="J14">
            <v>0</v>
          </cell>
        </row>
      </sheetData>
      <sheetData sheetId="9">
        <row r="19">
          <cell r="K19">
            <v>143657</v>
          </cell>
        </row>
      </sheetData>
      <sheetData sheetId="10">
        <row r="81">
          <cell r="B81">
            <v>2268089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ow r="8">
          <cell r="C8" t="str">
            <v>ED</v>
          </cell>
          <cell r="D8" t="str">
            <v>O &amp; M</v>
          </cell>
          <cell r="E8" t="str">
            <v>DS</v>
          </cell>
          <cell r="F8" t="str">
            <v>TRANSP</v>
          </cell>
          <cell r="G8" t="str">
            <v>IMRF/SS</v>
          </cell>
          <cell r="H8" t="str">
            <v>CP</v>
          </cell>
          <cell r="I8" t="str">
            <v>W/C</v>
          </cell>
          <cell r="J8" t="str">
            <v>TORT</v>
          </cell>
          <cell r="K8" t="str">
            <v>F/S</v>
          </cell>
          <cell r="L8" t="str">
            <v>Other</v>
          </cell>
          <cell r="M8" t="str">
            <v>Other</v>
          </cell>
          <cell r="N8" t="str">
            <v>Other</v>
          </cell>
          <cell r="O8" t="str">
            <v>Other</v>
          </cell>
          <cell r="P8" t="str">
            <v>Other</v>
          </cell>
          <cell r="Q8" t="str">
            <v>TOTAL</v>
          </cell>
        </row>
        <row r="11">
          <cell r="Q11">
            <v>0</v>
          </cell>
        </row>
        <row r="12">
          <cell r="Q12">
            <v>0</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row>
        <row r="16">
          <cell r="C16">
            <v>2491403.41</v>
          </cell>
          <cell r="D16">
            <v>429241.97</v>
          </cell>
          <cell r="E16">
            <v>6000.85</v>
          </cell>
          <cell r="F16">
            <v>256905.09</v>
          </cell>
          <cell r="G16">
            <v>317710.17</v>
          </cell>
          <cell r="H16">
            <v>18311.84</v>
          </cell>
          <cell r="I16">
            <v>638336.91</v>
          </cell>
          <cell r="J16">
            <v>51900.9</v>
          </cell>
          <cell r="K16">
            <v>128199.03</v>
          </cell>
          <cell r="Q16">
            <v>4338010.17</v>
          </cell>
        </row>
        <row r="17">
          <cell r="C17">
            <v>-5662.59</v>
          </cell>
          <cell r="D17">
            <v>12258.34</v>
          </cell>
          <cell r="E17">
            <v>0</v>
          </cell>
          <cell r="F17">
            <v>0</v>
          </cell>
          <cell r="G17">
            <v>1450</v>
          </cell>
          <cell r="H17">
            <v>0</v>
          </cell>
          <cell r="I17">
            <v>0</v>
          </cell>
          <cell r="J17">
            <v>0</v>
          </cell>
          <cell r="K17">
            <v>-12258.34</v>
          </cell>
          <cell r="Q17">
            <v>-4212.59</v>
          </cell>
        </row>
        <row r="18">
          <cell r="C18">
            <v>2485740.8200000003</v>
          </cell>
          <cell r="D18">
            <v>441500.31</v>
          </cell>
          <cell r="E18">
            <v>6000.85</v>
          </cell>
          <cell r="F18">
            <v>256905.09</v>
          </cell>
          <cell r="G18">
            <v>319160.17</v>
          </cell>
          <cell r="H18">
            <v>18311.84</v>
          </cell>
          <cell r="I18">
            <v>638336.91</v>
          </cell>
          <cell r="J18">
            <v>51900.9</v>
          </cell>
          <cell r="K18">
            <v>115940.69</v>
          </cell>
          <cell r="L18">
            <v>0</v>
          </cell>
          <cell r="M18">
            <v>0</v>
          </cell>
          <cell r="N18">
            <v>0</v>
          </cell>
          <cell r="O18">
            <v>0</v>
          </cell>
          <cell r="P18">
            <v>0</v>
          </cell>
          <cell r="Q18">
            <v>4333797.58</v>
          </cell>
        </row>
        <row r="21">
          <cell r="Q21">
            <v>0</v>
          </cell>
        </row>
        <row r="22">
          <cell r="Q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row>
        <row r="31">
          <cell r="Q31">
            <v>0</v>
          </cell>
        </row>
        <row r="32">
          <cell r="Q32">
            <v>0</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6">
          <cell r="Q36">
            <v>4831.43</v>
          </cell>
        </row>
        <row r="37">
          <cell r="Q37">
            <v>0</v>
          </cell>
        </row>
        <row r="38">
          <cell r="C38">
            <v>0</v>
          </cell>
          <cell r="D38">
            <v>0</v>
          </cell>
          <cell r="E38">
            <v>0</v>
          </cell>
          <cell r="F38">
            <v>0</v>
          </cell>
          <cell r="G38">
            <v>0</v>
          </cell>
          <cell r="H38">
            <v>0</v>
          </cell>
          <cell r="I38">
            <v>4831.43</v>
          </cell>
          <cell r="J38">
            <v>0</v>
          </cell>
          <cell r="K38">
            <v>0</v>
          </cell>
          <cell r="L38">
            <v>0</v>
          </cell>
          <cell r="M38">
            <v>0</v>
          </cell>
          <cell r="N38">
            <v>0</v>
          </cell>
          <cell r="O38">
            <v>0</v>
          </cell>
          <cell r="P38">
            <v>0</v>
          </cell>
          <cell r="Q38">
            <v>4831.43</v>
          </cell>
        </row>
        <row r="61">
          <cell r="Q61">
            <v>0</v>
          </cell>
        </row>
        <row r="62">
          <cell r="Q62">
            <v>0</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row>
        <row r="66">
          <cell r="Q66">
            <v>0</v>
          </cell>
        </row>
        <row r="67">
          <cell r="Q67">
            <v>0</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row>
        <row r="85">
          <cell r="C85">
            <v>2485740.8200000003</v>
          </cell>
          <cell r="D85">
            <v>441500.31</v>
          </cell>
          <cell r="E85">
            <v>1169.42</v>
          </cell>
          <cell r="F85">
            <v>256905.09</v>
          </cell>
          <cell r="G85">
            <v>319160.17</v>
          </cell>
          <cell r="H85">
            <v>18311.84</v>
          </cell>
          <cell r="I85">
            <v>643168.34000000008</v>
          </cell>
          <cell r="J85">
            <v>51900.9</v>
          </cell>
          <cell r="K85">
            <v>115940.69</v>
          </cell>
          <cell r="L85">
            <v>0</v>
          </cell>
          <cell r="M85">
            <v>0</v>
          </cell>
          <cell r="N85">
            <v>0</v>
          </cell>
          <cell r="O85">
            <v>0</v>
          </cell>
          <cell r="P85">
            <v>0</v>
          </cell>
          <cell r="Q85">
            <v>4333797.58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Reconciliation"/>
      <sheetName val="Procedures"/>
      <sheetName val="Adjusted Cash Balances - AJEs"/>
      <sheetName val="Adjusted Fund Balances"/>
    </sheetNames>
    <sheetDataSet>
      <sheetData sheetId="0">
        <row r="1">
          <cell r="A1" t="str">
            <v>ALWOOD No. 225</v>
          </cell>
        </row>
        <row r="11">
          <cell r="F11">
            <v>0</v>
          </cell>
          <cell r="H11">
            <v>0</v>
          </cell>
          <cell r="J11">
            <v>0</v>
          </cell>
        </row>
        <row r="12">
          <cell r="F12">
            <v>0</v>
          </cell>
          <cell r="H12">
            <v>0</v>
          </cell>
          <cell r="J12">
            <v>0</v>
          </cell>
        </row>
        <row r="13">
          <cell r="F13">
            <v>0</v>
          </cell>
          <cell r="H13">
            <v>0</v>
          </cell>
          <cell r="J13">
            <v>0</v>
          </cell>
        </row>
        <row r="14">
          <cell r="F14">
            <v>0</v>
          </cell>
          <cell r="H14">
            <v>0</v>
          </cell>
          <cell r="J14">
            <v>0</v>
          </cell>
        </row>
        <row r="15">
          <cell r="F15">
            <v>0</v>
          </cell>
          <cell r="H15">
            <v>0</v>
          </cell>
          <cell r="J15">
            <v>0</v>
          </cell>
        </row>
        <row r="16">
          <cell r="F16">
            <v>0</v>
          </cell>
          <cell r="H16">
            <v>0</v>
          </cell>
          <cell r="J16">
            <v>0</v>
          </cell>
        </row>
        <row r="17">
          <cell r="F17">
            <v>0</v>
          </cell>
          <cell r="H17">
            <v>0</v>
          </cell>
          <cell r="J17">
            <v>0</v>
          </cell>
        </row>
        <row r="18">
          <cell r="F18">
            <v>0</v>
          </cell>
          <cell r="H18">
            <v>0</v>
          </cell>
          <cell r="J18">
            <v>0</v>
          </cell>
        </row>
        <row r="19">
          <cell r="F19">
            <v>0</v>
          </cell>
          <cell r="H19">
            <v>0</v>
          </cell>
          <cell r="J19">
            <v>0</v>
          </cell>
        </row>
        <row r="20">
          <cell r="F20">
            <v>0</v>
          </cell>
          <cell r="H20">
            <v>0</v>
          </cell>
          <cell r="J20">
            <v>0</v>
          </cell>
        </row>
        <row r="21">
          <cell r="F21">
            <v>0</v>
          </cell>
          <cell r="H21">
            <v>0</v>
          </cell>
          <cell r="J21">
            <v>0</v>
          </cell>
        </row>
        <row r="22">
          <cell r="F22">
            <v>0</v>
          </cell>
          <cell r="H22">
            <v>0</v>
          </cell>
          <cell r="J22">
            <v>0</v>
          </cell>
        </row>
        <row r="23">
          <cell r="F23">
            <v>0</v>
          </cell>
          <cell r="H23">
            <v>0</v>
          </cell>
          <cell r="J23">
            <v>0</v>
          </cell>
        </row>
        <row r="24">
          <cell r="F24">
            <v>0</v>
          </cell>
          <cell r="H24">
            <v>0</v>
          </cell>
          <cell r="J24">
            <v>0</v>
          </cell>
        </row>
        <row r="25">
          <cell r="D25">
            <v>0</v>
          </cell>
          <cell r="F25">
            <v>0</v>
          </cell>
          <cell r="H25">
            <v>0</v>
          </cell>
          <cell r="J25">
            <v>0</v>
          </cell>
        </row>
        <row r="41">
          <cell r="J41">
            <v>0</v>
          </cell>
        </row>
        <row r="43">
          <cell r="J43">
            <v>0</v>
          </cell>
        </row>
        <row r="52">
          <cell r="J52">
            <v>0</v>
          </cell>
        </row>
        <row r="55">
          <cell r="J55" t="e">
            <v>#DIV/0!</v>
          </cell>
        </row>
      </sheetData>
      <sheetData sheetId="1"/>
      <sheetData sheetId="2">
        <row r="6">
          <cell r="B6" t="str">
            <v>ED</v>
          </cell>
          <cell r="C6" t="str">
            <v>O &amp; M</v>
          </cell>
          <cell r="D6" t="str">
            <v>DS</v>
          </cell>
          <cell r="E6" t="str">
            <v>TRANSP</v>
          </cell>
          <cell r="F6" t="str">
            <v>IMRF/SS</v>
          </cell>
          <cell r="G6" t="str">
            <v>CP</v>
          </cell>
          <cell r="H6" t="str">
            <v>W/C</v>
          </cell>
          <cell r="I6" t="str">
            <v>TORT</v>
          </cell>
          <cell r="J6" t="str">
            <v>F/S</v>
          </cell>
          <cell r="K6" t="str">
            <v>LEASING/RENT</v>
          </cell>
          <cell r="L6" t="str">
            <v>INHERITANCE</v>
          </cell>
          <cell r="M6" t="str">
            <v>OTHER</v>
          </cell>
          <cell r="N6" t="str">
            <v>OTHER</v>
          </cell>
          <cell r="O6" t="str">
            <v>OTHER</v>
          </cell>
          <cell r="P6" t="str">
            <v>TOTAL</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row>
        <row r="28">
          <cell r="B28">
            <v>0</v>
          </cell>
          <cell r="C28">
            <v>0</v>
          </cell>
          <cell r="D28">
            <v>0</v>
          </cell>
          <cell r="E28">
            <v>0</v>
          </cell>
          <cell r="F28">
            <v>0</v>
          </cell>
          <cell r="G28">
            <v>0</v>
          </cell>
          <cell r="H28">
            <v>0</v>
          </cell>
          <cell r="I28">
            <v>0</v>
          </cell>
          <cell r="J28">
            <v>0</v>
          </cell>
          <cell r="K28">
            <v>0</v>
          </cell>
          <cell r="L28">
            <v>0</v>
          </cell>
          <cell r="O28">
            <v>0</v>
          </cell>
          <cell r="P28">
            <v>0</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P42" sqref="P42:S42"/>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67">
        <f>+'AFR20'!E4</f>
        <v>44119</v>
      </c>
      <c r="C1" s="2167"/>
      <c r="D1" s="2168"/>
      <c r="I1" s="2126" t="s">
        <v>402</v>
      </c>
      <c r="J1" s="2127"/>
      <c r="K1" s="2127"/>
      <c r="L1" s="2127"/>
      <c r="M1" s="2127"/>
      <c r="N1" s="2127"/>
      <c r="O1" s="2127"/>
      <c r="P1" s="2127"/>
      <c r="Q1" s="2127"/>
      <c r="R1" s="2127"/>
      <c r="S1" s="2127"/>
    </row>
    <row r="2" spans="1:32" ht="12" customHeight="1" x14ac:dyDescent="0.2">
      <c r="A2" s="1831" t="str">
        <f>"Due to ISBE on "</f>
        <v xml:space="preserve">Due to ISBE on </v>
      </c>
      <c r="B2" s="2169">
        <f>+'AFR20'!F4</f>
        <v>44151</v>
      </c>
      <c r="C2" s="2169"/>
      <c r="D2" s="2170"/>
      <c r="I2" s="2128" t="s">
        <v>2003</v>
      </c>
      <c r="J2" s="2127"/>
      <c r="K2" s="2127"/>
      <c r="L2" s="2127"/>
      <c r="M2" s="2127"/>
      <c r="N2" s="2127"/>
      <c r="O2" s="2127"/>
      <c r="P2" s="2127"/>
      <c r="Q2" s="2127"/>
      <c r="R2" s="2127"/>
      <c r="S2" s="2127"/>
    </row>
    <row r="3" spans="1:32" ht="12" customHeight="1" x14ac:dyDescent="0.2">
      <c r="A3" s="1834" t="str">
        <f>"SD/JA"&amp;MID('AFR20'!E2,3,2)</f>
        <v>SD/JA20</v>
      </c>
      <c r="B3" s="151"/>
      <c r="C3" s="151"/>
      <c r="D3" s="152"/>
      <c r="I3" s="2128" t="s">
        <v>52</v>
      </c>
      <c r="J3" s="2127"/>
      <c r="K3" s="2127"/>
      <c r="L3" s="2127"/>
      <c r="M3" s="2127"/>
      <c r="N3" s="2127"/>
      <c r="O3" s="2127"/>
      <c r="P3" s="2127"/>
      <c r="Q3" s="2127"/>
      <c r="R3" s="2127"/>
      <c r="S3" s="2127"/>
    </row>
    <row r="4" spans="1:32" ht="12" customHeight="1" x14ac:dyDescent="0.2">
      <c r="A4" s="37"/>
      <c r="I4" s="2128" t="s">
        <v>521</v>
      </c>
      <c r="J4" s="2127"/>
      <c r="K4" s="2127"/>
      <c r="L4" s="2127"/>
      <c r="M4" s="2127"/>
      <c r="N4" s="2127"/>
      <c r="O4" s="2127"/>
      <c r="P4" s="2127"/>
      <c r="Q4" s="2127"/>
      <c r="R4" s="2127"/>
      <c r="S4" s="2127"/>
    </row>
    <row r="5" spans="1:32" ht="14.1" customHeight="1" x14ac:dyDescent="0.2">
      <c r="B5" s="101" t="s">
        <v>2051</v>
      </c>
      <c r="C5" s="26" t="s">
        <v>904</v>
      </c>
      <c r="D5" s="81"/>
      <c r="E5" s="81"/>
      <c r="H5" s="38"/>
      <c r="I5" s="2136" t="s">
        <v>675</v>
      </c>
      <c r="J5" s="2135"/>
      <c r="K5" s="2135"/>
      <c r="L5" s="2135"/>
      <c r="M5" s="2135"/>
      <c r="N5" s="2135"/>
      <c r="O5" s="2135"/>
      <c r="P5" s="2135"/>
      <c r="Q5" s="2135"/>
      <c r="R5" s="2135"/>
      <c r="S5" s="2135"/>
      <c r="AF5" s="1827"/>
    </row>
    <row r="6" spans="1:32" ht="14.1" customHeight="1" x14ac:dyDescent="0.2">
      <c r="B6" s="101"/>
      <c r="C6" s="26" t="s">
        <v>905</v>
      </c>
      <c r="D6" s="81"/>
      <c r="E6" s="81"/>
      <c r="I6" s="2134" t="s">
        <v>877</v>
      </c>
      <c r="J6" s="2135"/>
      <c r="K6" s="2135"/>
      <c r="L6" s="2135"/>
      <c r="M6" s="2135"/>
      <c r="N6" s="2135"/>
      <c r="O6" s="2135"/>
      <c r="P6" s="2135"/>
      <c r="Q6" s="2135"/>
      <c r="R6" s="2135"/>
      <c r="S6" s="2135"/>
    </row>
    <row r="7" spans="1:32" ht="12.2" customHeight="1" x14ac:dyDescent="0.2">
      <c r="I7" s="2129" t="str">
        <f>"June 30, "&amp;'AFR20'!E2</f>
        <v>June 30, 2020</v>
      </c>
      <c r="J7" s="2130"/>
      <c r="K7" s="2130"/>
      <c r="L7" s="2130"/>
      <c r="M7" s="2130"/>
      <c r="N7" s="2130"/>
      <c r="O7" s="2130"/>
      <c r="P7" s="2130"/>
      <c r="Q7" s="2130"/>
      <c r="R7" s="2130"/>
      <c r="S7" s="213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31" t="s">
        <v>669</v>
      </c>
      <c r="J9" s="2132"/>
      <c r="K9" s="2132"/>
      <c r="L9" s="2132"/>
      <c r="M9" s="2132"/>
      <c r="N9" s="2132"/>
      <c r="O9" s="2132"/>
      <c r="P9" s="2132"/>
      <c r="Q9" s="2132"/>
      <c r="R9" s="2132"/>
      <c r="S9" s="2133"/>
      <c r="T9" s="2184" t="s">
        <v>530</v>
      </c>
      <c r="U9" s="2185"/>
      <c r="V9" s="2185"/>
      <c r="W9" s="2185"/>
      <c r="X9" s="2185"/>
      <c r="Y9" s="2185"/>
      <c r="Z9" s="2185"/>
      <c r="AA9" s="2186"/>
    </row>
    <row r="10" spans="1:32" ht="13.5" customHeight="1" x14ac:dyDescent="0.2">
      <c r="A10" s="2191" t="s">
        <v>670</v>
      </c>
      <c r="B10" s="2192"/>
      <c r="C10" s="2192"/>
      <c r="D10" s="2192"/>
      <c r="E10" s="2192"/>
      <c r="F10" s="2192"/>
      <c r="G10" s="2192"/>
      <c r="H10" s="2193"/>
      <c r="I10" s="29"/>
      <c r="J10" s="30"/>
      <c r="K10" s="28"/>
      <c r="R10" s="30"/>
      <c r="S10" s="30"/>
      <c r="T10" s="2187"/>
      <c r="U10" s="2135"/>
      <c r="V10" s="2135"/>
      <c r="W10" s="2135"/>
      <c r="X10" s="2135"/>
      <c r="Y10" s="2135"/>
      <c r="Z10" s="2135"/>
      <c r="AA10" s="2141"/>
    </row>
    <row r="11" spans="1:32" ht="14.25" customHeight="1" x14ac:dyDescent="0.2">
      <c r="A11" s="2194" t="s">
        <v>949</v>
      </c>
      <c r="B11" s="2195"/>
      <c r="C11" s="2195"/>
      <c r="D11" s="2195"/>
      <c r="E11" s="2195"/>
      <c r="F11" s="2195"/>
      <c r="G11" s="2195"/>
      <c r="H11" s="2196"/>
      <c r="I11" s="27"/>
      <c r="J11" s="71"/>
      <c r="K11" s="27"/>
      <c r="O11" s="144" t="s">
        <v>2051</v>
      </c>
      <c r="P11" s="97" t="s">
        <v>199</v>
      </c>
      <c r="Q11" s="30"/>
      <c r="R11" s="28"/>
      <c r="S11" s="27"/>
      <c r="T11" s="2188"/>
      <c r="U11" s="2189"/>
      <c r="V11" s="2189"/>
      <c r="W11" s="2189"/>
      <c r="X11" s="2189"/>
      <c r="Y11" s="2189"/>
      <c r="Z11" s="2189"/>
      <c r="AA11" s="2190"/>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47">
        <v>47098145004</v>
      </c>
      <c r="B13" s="2148"/>
      <c r="C13" s="2148"/>
      <c r="D13" s="2148"/>
      <c r="E13" s="2148"/>
      <c r="F13" s="2148"/>
      <c r="G13" s="2148"/>
      <c r="H13" s="2149"/>
      <c r="I13" s="31"/>
      <c r="J13" s="30"/>
      <c r="K13" s="28"/>
      <c r="L13" s="30"/>
      <c r="M13" s="30"/>
      <c r="N13" s="30"/>
      <c r="O13" s="30"/>
      <c r="P13" s="30"/>
      <c r="Q13" s="30"/>
      <c r="R13" s="30"/>
      <c r="S13" s="30"/>
      <c r="T13" s="2153" t="s">
        <v>2052</v>
      </c>
      <c r="U13" s="2154"/>
      <c r="V13" s="2154"/>
      <c r="W13" s="2154"/>
      <c r="X13" s="2154"/>
      <c r="Y13" s="2155"/>
      <c r="Z13" s="2155"/>
      <c r="AA13" s="2156"/>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50" t="s">
        <v>2061</v>
      </c>
      <c r="B15" s="2151"/>
      <c r="C15" s="2151"/>
      <c r="D15" s="2151"/>
      <c r="E15" s="2151"/>
      <c r="F15" s="2151"/>
      <c r="G15" s="2151"/>
      <c r="H15" s="2152"/>
      <c r="T15" s="2157" t="s">
        <v>2069</v>
      </c>
      <c r="U15" s="2114"/>
      <c r="V15" s="2114"/>
      <c r="W15" s="2114"/>
      <c r="X15" s="2114"/>
      <c r="Y15" s="2158"/>
      <c r="Z15" s="2158"/>
      <c r="AA15" s="2159"/>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20" t="s">
        <v>2121</v>
      </c>
      <c r="B17" s="2121"/>
      <c r="C17" s="2121"/>
      <c r="D17" s="2121"/>
      <c r="E17" s="2121"/>
      <c r="F17" s="2121"/>
      <c r="G17" s="2121"/>
      <c r="H17" s="2146"/>
      <c r="T17" s="2164" t="s">
        <v>2053</v>
      </c>
      <c r="U17" s="2165"/>
      <c r="V17" s="2165"/>
      <c r="W17" s="2165"/>
      <c r="X17" s="2165"/>
      <c r="Y17" s="2165"/>
      <c r="Z17" s="2165"/>
      <c r="AA17" s="2166"/>
    </row>
    <row r="18" spans="1:27" ht="13.5" customHeight="1" x14ac:dyDescent="0.2">
      <c r="A18" s="82" t="s">
        <v>527</v>
      </c>
      <c r="B18" s="73"/>
      <c r="C18" s="69"/>
      <c r="D18" s="73"/>
      <c r="E18" s="73"/>
      <c r="F18" s="73"/>
      <c r="G18" s="73"/>
      <c r="H18" s="53"/>
      <c r="I18" s="2145" t="s">
        <v>671</v>
      </c>
      <c r="J18" s="2096"/>
      <c r="K18" s="2096"/>
      <c r="L18" s="2096"/>
      <c r="M18" s="2096"/>
      <c r="N18" s="2096"/>
      <c r="O18" s="2096"/>
      <c r="P18" s="2096"/>
      <c r="Q18" s="2096"/>
      <c r="R18" s="2096"/>
      <c r="S18" s="2097"/>
      <c r="T18" s="82" t="s">
        <v>706</v>
      </c>
      <c r="U18" s="48"/>
      <c r="V18" s="69"/>
      <c r="W18" s="47"/>
      <c r="X18" s="82" t="s">
        <v>264</v>
      </c>
      <c r="Y18" s="78"/>
      <c r="Z18" s="154" t="s">
        <v>672</v>
      </c>
      <c r="AA18" s="44"/>
    </row>
    <row r="19" spans="1:27" ht="13.5" customHeight="1" x14ac:dyDescent="0.2">
      <c r="A19" s="2150" t="s">
        <v>2063</v>
      </c>
      <c r="B19" s="2106"/>
      <c r="C19" s="2106"/>
      <c r="D19" s="2106"/>
      <c r="E19" s="2106"/>
      <c r="F19" s="2106"/>
      <c r="G19" s="2106"/>
      <c r="H19" s="2086"/>
      <c r="I19" s="30"/>
      <c r="J19" s="96"/>
      <c r="K19" s="40"/>
      <c r="L19" s="38"/>
      <c r="M19" s="109" t="s">
        <v>312</v>
      </c>
      <c r="P19" s="27"/>
      <c r="Q19" s="27"/>
      <c r="R19" s="27"/>
      <c r="S19" s="31"/>
      <c r="T19" s="2150" t="s">
        <v>2054</v>
      </c>
      <c r="U19" s="2085"/>
      <c r="V19" s="2085"/>
      <c r="W19" s="2086"/>
      <c r="X19" s="2162" t="s">
        <v>2055</v>
      </c>
      <c r="Y19" s="2163"/>
      <c r="Z19" s="2160">
        <v>61614</v>
      </c>
      <c r="AA19" s="2161"/>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4" t="s">
        <v>2064</v>
      </c>
      <c r="B21" s="2085"/>
      <c r="C21" s="2085"/>
      <c r="D21" s="2085"/>
      <c r="E21" s="2085"/>
      <c r="F21" s="2085"/>
      <c r="G21" s="2085"/>
      <c r="H21" s="2086"/>
      <c r="I21" s="2140" t="s">
        <v>673</v>
      </c>
      <c r="J21" s="2135"/>
      <c r="K21" s="2135"/>
      <c r="L21" s="2135"/>
      <c r="M21" s="2135"/>
      <c r="N21" s="2135"/>
      <c r="O21" s="2135"/>
      <c r="P21" s="2135"/>
      <c r="Q21" s="2135"/>
      <c r="R21" s="2135"/>
      <c r="S21" s="2141"/>
      <c r="T21" s="2175" t="s">
        <v>2056</v>
      </c>
      <c r="U21" s="2176"/>
      <c r="V21" s="2176"/>
      <c r="W21" s="2176"/>
      <c r="X21" s="2181" t="s">
        <v>2057</v>
      </c>
      <c r="Y21" s="2182"/>
      <c r="Z21" s="2182"/>
      <c r="AA21" s="2183"/>
    </row>
    <row r="22" spans="1:27" ht="13.5" customHeight="1" x14ac:dyDescent="0.2">
      <c r="A22" s="84" t="s">
        <v>528</v>
      </c>
      <c r="B22" s="56"/>
      <c r="C22" s="56"/>
      <c r="D22" s="56"/>
      <c r="E22" s="56"/>
      <c r="F22" s="56"/>
      <c r="G22" s="56"/>
      <c r="H22" s="57"/>
      <c r="I22" s="2142" t="s">
        <v>1412</v>
      </c>
      <c r="J22" s="2143"/>
      <c r="K22" s="2143"/>
      <c r="L22" s="2143"/>
      <c r="M22" s="2143"/>
      <c r="N22" s="2143"/>
      <c r="O22" s="2143"/>
      <c r="P22" s="2143"/>
      <c r="Q22" s="2143"/>
      <c r="R22" s="2143"/>
      <c r="S22" s="2144"/>
      <c r="T22" s="82" t="s">
        <v>1499</v>
      </c>
      <c r="U22" s="48"/>
      <c r="V22" s="69"/>
      <c r="W22" s="48"/>
      <c r="X22" s="155" t="s">
        <v>1307</v>
      </c>
      <c r="Z22" s="43"/>
      <c r="AA22" s="44"/>
    </row>
    <row r="23" spans="1:27" ht="13.5" customHeight="1" x14ac:dyDescent="0.2">
      <c r="A23" s="2137" t="s">
        <v>2065</v>
      </c>
      <c r="B23" s="2138"/>
      <c r="C23" s="2138"/>
      <c r="D23" s="2138"/>
      <c r="E23" s="2138"/>
      <c r="F23" s="2138"/>
      <c r="G23" s="2138"/>
      <c r="H23" s="2139"/>
      <c r="T23" s="2120" t="s">
        <v>2058</v>
      </c>
      <c r="U23" s="2174"/>
      <c r="V23" s="2174"/>
      <c r="W23" s="2174"/>
      <c r="X23" s="2178">
        <v>44501</v>
      </c>
      <c r="Y23" s="2179"/>
      <c r="Z23" s="2179"/>
      <c r="AA23" s="2180"/>
    </row>
    <row r="24" spans="1:27" ht="14.1" customHeight="1" x14ac:dyDescent="0.2">
      <c r="A24" s="85" t="s">
        <v>672</v>
      </c>
      <c r="B24" s="46"/>
      <c r="C24" s="46"/>
      <c r="D24" s="46"/>
      <c r="E24" s="46"/>
      <c r="F24" s="46"/>
      <c r="G24" s="46"/>
      <c r="H24" s="58"/>
      <c r="J24" s="2107">
        <f>IF(B5="x",IF(AUDITCHECK!D29="AFR form Incomplete.","",IF(AUDITCHECK!D29="Deficit reduction plan is required.","School District must complete a deficit reduction plan in the 2020-2021 Budget",)),"")</f>
        <v>0</v>
      </c>
      <c r="K24" s="2107"/>
      <c r="L24" s="2107"/>
      <c r="M24" s="2107"/>
      <c r="N24" s="2107"/>
      <c r="O24" s="2107"/>
      <c r="P24" s="2107"/>
      <c r="Q24" s="2107"/>
      <c r="R24" s="2107"/>
      <c r="S24" s="2108"/>
      <c r="T24" s="102" t="s">
        <v>528</v>
      </c>
      <c r="U24" s="103"/>
      <c r="V24" s="103"/>
      <c r="W24" s="103"/>
      <c r="X24" s="104"/>
      <c r="Y24" s="104"/>
      <c r="Z24" s="104"/>
      <c r="AA24" s="105"/>
    </row>
    <row r="25" spans="1:27" ht="14.1" customHeight="1" x14ac:dyDescent="0.2">
      <c r="A25" s="2084">
        <v>61071</v>
      </c>
      <c r="B25" s="2085"/>
      <c r="C25" s="2085"/>
      <c r="D25" s="2085"/>
      <c r="E25" s="2085"/>
      <c r="F25" s="2085"/>
      <c r="G25" s="2085"/>
      <c r="H25" s="2086"/>
      <c r="I25" s="110"/>
      <c r="J25" s="2109"/>
      <c r="K25" s="2109"/>
      <c r="L25" s="2109"/>
      <c r="M25" s="2109"/>
      <c r="N25" s="2109"/>
      <c r="O25" s="2109"/>
      <c r="P25" s="2109"/>
      <c r="Q25" s="2109"/>
      <c r="R25" s="2109"/>
      <c r="S25" s="2110"/>
      <c r="T25" s="2171" t="s">
        <v>2070</v>
      </c>
      <c r="U25" s="2172"/>
      <c r="V25" s="2172"/>
      <c r="W25" s="2172"/>
      <c r="X25" s="2172"/>
      <c r="Y25" s="2172"/>
      <c r="Z25" s="2172"/>
      <c r="AA25" s="217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95" t="s">
        <v>1494</v>
      </c>
      <c r="J27" s="2096"/>
      <c r="K27" s="2096"/>
      <c r="L27" s="2096"/>
      <c r="M27" s="2096"/>
      <c r="N27" s="2096"/>
      <c r="O27" s="2096"/>
      <c r="P27" s="2096"/>
      <c r="Q27" s="2096"/>
      <c r="R27" s="2096"/>
      <c r="S27" s="2097"/>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2051</v>
      </c>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2051</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06"/>
      <c r="Q35" s="2085"/>
      <c r="R35" s="2085"/>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20" t="s">
        <v>2066</v>
      </c>
      <c r="B38" s="2121"/>
      <c r="C38" s="2121"/>
      <c r="D38" s="2121"/>
      <c r="E38" s="2121"/>
      <c r="F38" s="2085"/>
      <c r="G38" s="2085"/>
      <c r="H38" s="2086"/>
      <c r="I38" s="2113"/>
      <c r="J38" s="2114"/>
      <c r="K38" s="2114"/>
      <c r="L38" s="2114"/>
      <c r="M38" s="2114"/>
      <c r="N38" s="2114"/>
      <c r="O38" s="2114"/>
      <c r="P38" s="2115"/>
      <c r="Q38" s="2115"/>
      <c r="R38" s="2115"/>
      <c r="S38" s="2116"/>
      <c r="T38" s="2157"/>
      <c r="U38" s="2114"/>
      <c r="V38" s="2114"/>
      <c r="W38" s="2114"/>
      <c r="X38" s="2115"/>
      <c r="Y38" s="2115"/>
      <c r="Z38" s="2115"/>
      <c r="AA38" s="2116"/>
    </row>
    <row r="39" spans="1:27" ht="12" customHeight="1" x14ac:dyDescent="0.2">
      <c r="A39" s="2090" t="s">
        <v>528</v>
      </c>
      <c r="B39" s="2091"/>
      <c r="C39" s="69"/>
      <c r="D39" s="66"/>
      <c r="E39" s="66"/>
      <c r="F39" s="76"/>
      <c r="G39" s="66"/>
      <c r="H39" s="53"/>
      <c r="I39" s="2090" t="s">
        <v>528</v>
      </c>
      <c r="J39" s="2091"/>
      <c r="K39" s="2091"/>
      <c r="L39" s="2091"/>
      <c r="M39" s="2091"/>
      <c r="N39" s="64"/>
      <c r="O39" s="69"/>
      <c r="P39" s="69"/>
      <c r="Q39" s="75"/>
      <c r="R39" s="69"/>
      <c r="S39" s="53"/>
      <c r="T39" s="69" t="s">
        <v>528</v>
      </c>
      <c r="U39" s="48"/>
      <c r="V39" s="69"/>
      <c r="W39" s="47"/>
      <c r="X39" s="75"/>
      <c r="Y39" s="43"/>
      <c r="Z39" s="43"/>
      <c r="AA39" s="44"/>
    </row>
    <row r="40" spans="1:27" ht="13.5" customHeight="1" x14ac:dyDescent="0.2">
      <c r="A40" s="2098" t="s">
        <v>2065</v>
      </c>
      <c r="B40" s="2099"/>
      <c r="C40" s="2100"/>
      <c r="D40" s="2100"/>
      <c r="E40" s="2100"/>
      <c r="F40" s="2101"/>
      <c r="G40" s="2101"/>
      <c r="H40" s="2102"/>
      <c r="I40" s="2123"/>
      <c r="J40" s="2124"/>
      <c r="K40" s="2124"/>
      <c r="L40" s="2124"/>
      <c r="M40" s="2124"/>
      <c r="N40" s="2124"/>
      <c r="O40" s="2124"/>
      <c r="P40" s="2124"/>
      <c r="Q40" s="2124"/>
      <c r="R40" s="2124"/>
      <c r="S40" s="2125"/>
      <c r="T40" s="2123"/>
      <c r="U40" s="2177"/>
      <c r="V40" s="2124"/>
      <c r="W40" s="2124"/>
      <c r="X40" s="2124"/>
      <c r="Y40" s="2124"/>
      <c r="Z40" s="2124"/>
      <c r="AA40" s="2125"/>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12" t="s">
        <v>2067</v>
      </c>
      <c r="B42" s="2104"/>
      <c r="C42" s="2105"/>
      <c r="D42" s="2103" t="s">
        <v>2068</v>
      </c>
      <c r="E42" s="2104"/>
      <c r="F42" s="2104"/>
      <c r="G42" s="2104"/>
      <c r="H42" s="2105"/>
      <c r="I42" s="2087"/>
      <c r="J42" s="2088"/>
      <c r="K42" s="2088"/>
      <c r="L42" s="2088"/>
      <c r="M42" s="2088"/>
      <c r="N42" s="2088"/>
      <c r="O42" s="2089"/>
      <c r="P42" s="2122"/>
      <c r="Q42" s="2088"/>
      <c r="R42" s="2088"/>
      <c r="S42" s="2089"/>
      <c r="T42" s="2087"/>
      <c r="U42" s="2088"/>
      <c r="V42" s="2088"/>
      <c r="W42" s="2089"/>
      <c r="X42" s="2122"/>
      <c r="Y42" s="2088"/>
      <c r="Z42" s="2088"/>
      <c r="AA42" s="2089"/>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17"/>
      <c r="B44" s="2118"/>
      <c r="C44" s="2118"/>
      <c r="D44" s="2118"/>
      <c r="E44" s="2118"/>
      <c r="F44" s="2118"/>
      <c r="G44" s="2118"/>
      <c r="H44" s="2119"/>
      <c r="I44" s="2092"/>
      <c r="J44" s="2093"/>
      <c r="K44" s="2093"/>
      <c r="L44" s="2093"/>
      <c r="M44" s="2093"/>
      <c r="N44" s="2093"/>
      <c r="O44" s="2093"/>
      <c r="P44" s="2093"/>
      <c r="Q44" s="2093"/>
      <c r="R44" s="2093"/>
      <c r="S44" s="2094"/>
      <c r="T44" s="2092"/>
      <c r="U44" s="2111"/>
      <c r="V44" s="2111"/>
      <c r="W44" s="2111"/>
      <c r="X44" s="2111"/>
      <c r="Y44" s="2111"/>
      <c r="Z44" s="2093"/>
      <c r="AA44" s="2094"/>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200" t="s">
        <v>1056</v>
      </c>
      <c r="B35" s="2200"/>
      <c r="C35" s="2200"/>
      <c r="D35" s="2200"/>
      <c r="E35" s="2200"/>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97" t="s">
        <v>686</v>
      </c>
      <c r="B40" s="2197"/>
      <c r="C40" s="2197"/>
      <c r="D40" s="2197"/>
      <c r="E40" s="2197"/>
    </row>
    <row r="41" spans="1:5" x14ac:dyDescent="0.2">
      <c r="A41" s="2198" t="s">
        <v>1591</v>
      </c>
      <c r="B41" s="2198"/>
      <c r="C41" s="2198"/>
      <c r="D41" s="2198"/>
      <c r="E41" s="2198"/>
    </row>
    <row r="42" spans="1:5" ht="12.75" customHeight="1" x14ac:dyDescent="0.2">
      <c r="A42" s="2199" t="s">
        <v>1015</v>
      </c>
      <c r="B42" s="2199"/>
      <c r="C42" s="2199"/>
      <c r="D42" s="2199"/>
      <c r="E42" s="2199"/>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120" zoomScaleNormal="12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01" t="s">
        <v>1158</v>
      </c>
      <c r="B2" s="2201"/>
      <c r="C2" s="2201"/>
      <c r="D2" s="2201"/>
      <c r="E2" s="2201"/>
      <c r="F2" s="2201"/>
      <c r="G2" s="2201"/>
      <c r="H2" s="2201"/>
      <c r="I2" s="2201"/>
      <c r="J2" s="2201"/>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215" t="s">
        <v>1616</v>
      </c>
      <c r="B35" s="2216"/>
      <c r="C35" s="2216"/>
      <c r="D35" s="2216"/>
      <c r="E35" s="2217"/>
      <c r="F35" s="2217"/>
      <c r="G35" s="2217"/>
      <c r="H35" s="2217"/>
      <c r="I35" s="2217"/>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15" t="s">
        <v>310</v>
      </c>
      <c r="B47" s="2218"/>
      <c r="C47" s="2218"/>
      <c r="D47" s="2218"/>
      <c r="E47" s="2219"/>
      <c r="F47" s="2219"/>
      <c r="G47" s="2219"/>
      <c r="H47" s="2219"/>
      <c r="I47" s="2219"/>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22"/>
      <c r="C57" s="2223"/>
      <c r="D57" s="2223"/>
      <c r="E57" s="2223"/>
      <c r="F57" s="2223"/>
      <c r="G57" s="2223"/>
      <c r="H57" s="2223"/>
      <c r="I57" s="2223"/>
      <c r="J57" s="2224"/>
    </row>
    <row r="58" spans="1:10" s="176" customFormat="1" x14ac:dyDescent="0.2">
      <c r="A58" s="248"/>
      <c r="B58" s="2225"/>
      <c r="C58" s="2226"/>
      <c r="D58" s="2226"/>
      <c r="E58" s="2226"/>
      <c r="F58" s="2226"/>
      <c r="G58" s="2226"/>
      <c r="H58" s="2226"/>
      <c r="I58" s="2226"/>
      <c r="J58" s="2227"/>
    </row>
    <row r="59" spans="1:10" s="176" customFormat="1" x14ac:dyDescent="0.2">
      <c r="A59" s="248"/>
      <c r="B59" s="2225"/>
      <c r="C59" s="2226"/>
      <c r="D59" s="2226"/>
      <c r="E59" s="2226"/>
      <c r="F59" s="2226"/>
      <c r="G59" s="2226"/>
      <c r="H59" s="2226"/>
      <c r="I59" s="2226"/>
      <c r="J59" s="2227"/>
    </row>
    <row r="60" spans="1:10" s="176" customFormat="1" x14ac:dyDescent="0.2">
      <c r="A60" s="248"/>
      <c r="B60" s="2225"/>
      <c r="C60" s="2226"/>
      <c r="D60" s="2226"/>
      <c r="E60" s="2226"/>
      <c r="F60" s="2226"/>
      <c r="G60" s="2226"/>
      <c r="H60" s="2226"/>
      <c r="I60" s="2226"/>
      <c r="J60" s="2227"/>
    </row>
    <row r="61" spans="1:10" s="176" customFormat="1" x14ac:dyDescent="0.2">
      <c r="A61" s="248"/>
      <c r="B61" s="2225"/>
      <c r="C61" s="2226"/>
      <c r="D61" s="2226"/>
      <c r="E61" s="2226"/>
      <c r="F61" s="2226"/>
      <c r="G61" s="2226"/>
      <c r="H61" s="2226"/>
      <c r="I61" s="2226"/>
      <c r="J61" s="2227"/>
    </row>
    <row r="62" spans="1:10" s="176" customFormat="1" x14ac:dyDescent="0.2">
      <c r="A62" s="248"/>
      <c r="B62" s="2225"/>
      <c r="C62" s="2226"/>
      <c r="D62" s="2226"/>
      <c r="E62" s="2226"/>
      <c r="F62" s="2226"/>
      <c r="G62" s="2226"/>
      <c r="H62" s="2226"/>
      <c r="I62" s="2226"/>
      <c r="J62" s="2227"/>
    </row>
    <row r="63" spans="1:10" s="176" customFormat="1" x14ac:dyDescent="0.2">
      <c r="A63" s="248"/>
      <c r="B63" s="2225"/>
      <c r="C63" s="2226"/>
      <c r="D63" s="2226"/>
      <c r="E63" s="2226"/>
      <c r="F63" s="2226"/>
      <c r="G63" s="2226"/>
      <c r="H63" s="2226"/>
      <c r="I63" s="2226"/>
      <c r="J63" s="2227"/>
    </row>
    <row r="64" spans="1:10" s="176" customFormat="1" x14ac:dyDescent="0.2">
      <c r="A64" s="248"/>
      <c r="B64" s="2225"/>
      <c r="C64" s="2226"/>
      <c r="D64" s="2226"/>
      <c r="E64" s="2226"/>
      <c r="F64" s="2226"/>
      <c r="G64" s="2226"/>
      <c r="H64" s="2226"/>
      <c r="I64" s="2226"/>
      <c r="J64" s="2227"/>
    </row>
    <row r="65" spans="1:11" s="176" customFormat="1" x14ac:dyDescent="0.2">
      <c r="A65" s="248"/>
      <c r="B65" s="2225"/>
      <c r="C65" s="2226"/>
      <c r="D65" s="2226"/>
      <c r="E65" s="2226"/>
      <c r="F65" s="2226"/>
      <c r="G65" s="2226"/>
      <c r="H65" s="2226"/>
      <c r="I65" s="2226"/>
      <c r="J65" s="2227"/>
    </row>
    <row r="66" spans="1:11" s="176" customFormat="1" x14ac:dyDescent="0.2">
      <c r="A66" s="248"/>
      <c r="B66" s="2225"/>
      <c r="C66" s="2226"/>
      <c r="D66" s="2226"/>
      <c r="E66" s="2226"/>
      <c r="F66" s="2226"/>
      <c r="G66" s="2226"/>
      <c r="H66" s="2226"/>
      <c r="I66" s="2226"/>
      <c r="J66" s="2227"/>
    </row>
    <row r="67" spans="1:11" s="176" customFormat="1" ht="9" customHeight="1" x14ac:dyDescent="0.2">
      <c r="A67" s="249"/>
      <c r="B67" s="2228"/>
      <c r="C67" s="2229"/>
      <c r="D67" s="2229"/>
      <c r="E67" s="2229"/>
      <c r="F67" s="2229"/>
      <c r="G67" s="2229"/>
      <c r="H67" s="2229"/>
      <c r="I67" s="2229"/>
      <c r="J67" s="2230"/>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15" t="s">
        <v>1312</v>
      </c>
      <c r="B70" s="2218"/>
      <c r="C70" s="2218"/>
      <c r="D70" s="2218"/>
      <c r="E70" s="2219"/>
      <c r="F70" s="2219"/>
      <c r="G70" s="2219"/>
      <c r="H70" s="2219"/>
      <c r="I70" s="2219"/>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20" t="s">
        <v>1309</v>
      </c>
      <c r="B83" s="2220"/>
      <c r="C83" s="2220"/>
      <c r="D83" s="2221"/>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231" t="s">
        <v>1989</v>
      </c>
      <c r="B85" s="2231"/>
      <c r="C85" s="2231"/>
      <c r="D85" s="2232"/>
      <c r="E85" s="1544"/>
      <c r="F85" s="1544"/>
      <c r="G85" s="1544">
        <v>1</v>
      </c>
      <c r="H85" s="1544"/>
      <c r="I85" s="1904"/>
      <c r="J85" s="1727">
        <f>SUM(E85:I85)</f>
        <v>1</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233" t="s">
        <v>1989</v>
      </c>
      <c r="B88" s="2234"/>
      <c r="C88" s="2234"/>
      <c r="D88" s="2235"/>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1</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202" t="s">
        <v>2108</v>
      </c>
      <c r="C102" s="2203"/>
      <c r="D102" s="2203"/>
      <c r="E102" s="2203"/>
      <c r="F102" s="2203"/>
      <c r="G102" s="2203"/>
      <c r="H102" s="2203"/>
      <c r="I102" s="2204"/>
    </row>
    <row r="103" spans="1:9" s="176" customFormat="1" ht="11.25" customHeight="1" x14ac:dyDescent="0.2">
      <c r="A103" s="294"/>
      <c r="B103" s="2205"/>
      <c r="C103" s="2206"/>
      <c r="D103" s="2206"/>
      <c r="E103" s="2206"/>
      <c r="F103" s="2206"/>
      <c r="G103" s="2206"/>
      <c r="H103" s="2206"/>
      <c r="I103" s="2207"/>
    </row>
    <row r="104" spans="1:9" s="176" customFormat="1" ht="11.25" customHeight="1" x14ac:dyDescent="0.2">
      <c r="A104" s="294"/>
      <c r="B104" s="2205"/>
      <c r="C104" s="2206"/>
      <c r="D104" s="2206"/>
      <c r="E104" s="2206"/>
      <c r="F104" s="2206"/>
      <c r="G104" s="2206"/>
      <c r="H104" s="2206"/>
      <c r="I104" s="2207"/>
    </row>
    <row r="105" spans="1:9" s="176" customFormat="1" x14ac:dyDescent="0.2">
      <c r="A105" s="294"/>
      <c r="B105" s="2205"/>
      <c r="C105" s="2206"/>
      <c r="D105" s="2206"/>
      <c r="E105" s="2206"/>
      <c r="F105" s="2206"/>
      <c r="G105" s="2206"/>
      <c r="H105" s="2206"/>
      <c r="I105" s="2207"/>
    </row>
    <row r="106" spans="1:9" s="176" customFormat="1" ht="11.25" customHeight="1" x14ac:dyDescent="0.2">
      <c r="A106" s="294"/>
      <c r="B106" s="2205"/>
      <c r="C106" s="2206"/>
      <c r="D106" s="2206"/>
      <c r="E106" s="2206"/>
      <c r="F106" s="2206"/>
      <c r="G106" s="2206"/>
      <c r="H106" s="2206"/>
      <c r="I106" s="2207"/>
    </row>
    <row r="107" spans="1:9" s="176" customFormat="1" ht="11.25" customHeight="1" x14ac:dyDescent="0.2">
      <c r="A107" s="294"/>
      <c r="B107" s="2205"/>
      <c r="C107" s="2206"/>
      <c r="D107" s="2206"/>
      <c r="E107" s="2206"/>
      <c r="F107" s="2206"/>
      <c r="G107" s="2206"/>
      <c r="H107" s="2206"/>
      <c r="I107" s="2207"/>
    </row>
    <row r="108" spans="1:9" s="176" customFormat="1" ht="11.25" customHeight="1" x14ac:dyDescent="0.2">
      <c r="A108" s="294"/>
      <c r="B108" s="2205"/>
      <c r="C108" s="2206"/>
      <c r="D108" s="2206"/>
      <c r="E108" s="2206"/>
      <c r="F108" s="2206"/>
      <c r="G108" s="2206"/>
      <c r="H108" s="2206"/>
      <c r="I108" s="2207"/>
    </row>
    <row r="109" spans="1:9" s="176" customFormat="1" ht="11.25" customHeight="1" x14ac:dyDescent="0.2">
      <c r="A109" s="294"/>
      <c r="B109" s="2205"/>
      <c r="C109" s="2206"/>
      <c r="D109" s="2206"/>
      <c r="E109" s="2206"/>
      <c r="F109" s="2206"/>
      <c r="G109" s="2206"/>
      <c r="H109" s="2206"/>
      <c r="I109" s="2207"/>
    </row>
    <row r="110" spans="1:9" s="176" customFormat="1" ht="11.25" customHeight="1" x14ac:dyDescent="0.2">
      <c r="A110" s="294"/>
      <c r="B110" s="2205"/>
      <c r="C110" s="2206"/>
      <c r="D110" s="2206"/>
      <c r="E110" s="2206"/>
      <c r="F110" s="2206"/>
      <c r="G110" s="2206"/>
      <c r="H110" s="2206"/>
      <c r="I110" s="2207"/>
    </row>
    <row r="111" spans="1:9" s="176" customFormat="1" ht="11.25" customHeight="1" x14ac:dyDescent="0.2">
      <c r="A111" s="294"/>
      <c r="B111" s="2205"/>
      <c r="C111" s="2206"/>
      <c r="D111" s="2206"/>
      <c r="E111" s="2206"/>
      <c r="F111" s="2206"/>
      <c r="G111" s="2206"/>
      <c r="H111" s="2206"/>
      <c r="I111" s="2207"/>
    </row>
    <row r="112" spans="1:9" s="176" customFormat="1" ht="11.25" customHeight="1" x14ac:dyDescent="0.2">
      <c r="A112" s="294"/>
      <c r="B112" s="2208"/>
      <c r="C112" s="2209"/>
      <c r="D112" s="2209"/>
      <c r="E112" s="2209"/>
      <c r="F112" s="2209"/>
      <c r="G112" s="2209"/>
      <c r="H112" s="2209"/>
      <c r="I112" s="2210"/>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11" t="s">
        <v>2052</v>
      </c>
      <c r="D114" s="2211"/>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12" t="s">
        <v>1319</v>
      </c>
      <c r="D117" s="2213"/>
      <c r="E117" s="2214"/>
      <c r="F117" s="2214"/>
      <c r="G117" s="2214"/>
      <c r="H117" s="2214"/>
      <c r="I117" s="282"/>
    </row>
    <row r="118" spans="1:9" s="176" customFormat="1" ht="24" customHeight="1" x14ac:dyDescent="0.2">
      <c r="A118" s="294"/>
      <c r="B118" s="294"/>
      <c r="C118" s="294"/>
      <c r="D118" s="301" t="s">
        <v>2120</v>
      </c>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4" colorId="8" zoomScale="110" zoomScaleNormal="110" zoomScaleSheetLayoutView="9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36" t="s">
        <v>383</v>
      </c>
      <c r="B1" s="2236"/>
      <c r="C1" s="2236"/>
      <c r="D1" s="2236"/>
      <c r="E1" s="2236"/>
      <c r="F1" s="2236"/>
      <c r="G1" s="2236"/>
      <c r="H1" s="2236"/>
      <c r="I1" s="2236"/>
      <c r="J1" s="2236"/>
      <c r="K1" s="2236"/>
      <c r="L1" s="2236"/>
      <c r="M1" s="2236"/>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50145854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1.8200000000000001E-2</v>
      </c>
      <c r="E10" s="333" t="s">
        <v>998</v>
      </c>
      <c r="F10" s="332">
        <v>2.4949999999999998E-3</v>
      </c>
      <c r="G10" s="333" t="s">
        <v>998</v>
      </c>
      <c r="H10" s="332">
        <v>1.1980000000000001E-3</v>
      </c>
      <c r="I10" s="333" t="s">
        <v>999</v>
      </c>
      <c r="J10" s="1424">
        <f>ROUND(D10+F10+H10,5)</f>
        <v>2.189E-2</v>
      </c>
      <c r="K10" s="217"/>
      <c r="L10" s="332">
        <v>4.9899999999999999E-4</v>
      </c>
      <c r="M10" s="217"/>
    </row>
    <row r="11" spans="1:14" ht="7.5" customHeight="1" x14ac:dyDescent="0.2">
      <c r="B11" s="217"/>
      <c r="C11" s="217"/>
      <c r="D11" s="2246" t="str">
        <f>IF(SUM(J10)&lt;=0.0999999,"","Enter the Tax Rates by moving the decimal two places to the left.")</f>
        <v/>
      </c>
      <c r="E11" s="2247"/>
      <c r="F11" s="2247"/>
      <c r="G11" s="2247"/>
      <c r="H11" s="2247"/>
      <c r="I11" s="2247"/>
      <c r="J11" s="2247"/>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2587930</v>
      </c>
      <c r="E16" s="1547"/>
      <c r="F16" s="1546">
        <f>SUM('Acct Summary 7-8'!C17,'Acct Summary 7-8'!D17,'Acct Summary 7-8'!F17)</f>
        <v>2493740</v>
      </c>
      <c r="G16" s="1547"/>
      <c r="H16" s="1546">
        <f>SUM(D16-F16)</f>
        <v>94190</v>
      </c>
      <c r="I16" s="1548"/>
      <c r="J16" s="1546">
        <f>SUM('Acct Summary 7-8'!C81,'Acct Summary 7-8'!D81,'Acct Summary 7-8'!F81,'Acct Summary 7-8'!I81)</f>
        <v>2419721</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2051</v>
      </c>
      <c r="C31" s="344" t="s">
        <v>582</v>
      </c>
      <c r="D31" s="232" t="s">
        <v>1063</v>
      </c>
      <c r="E31" s="217"/>
      <c r="F31" s="217"/>
      <c r="G31" s="340"/>
      <c r="H31" s="1425">
        <f>IF(B31="X",(J7*0.069),IF(B32="X",(J7*0.138),"Enter x in a.or b."))</f>
        <v>3460063.9260000004</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1402800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37"/>
      <c r="C54" s="2238"/>
      <c r="D54" s="2238"/>
      <c r="E54" s="2238"/>
      <c r="F54" s="2238"/>
      <c r="G54" s="2238"/>
      <c r="H54" s="2238"/>
      <c r="I54" s="2238"/>
      <c r="J54" s="2238"/>
      <c r="K54" s="2238"/>
      <c r="L54" s="2239"/>
      <c r="M54" s="357"/>
    </row>
    <row r="55" spans="1:13" ht="12.75" customHeight="1" x14ac:dyDescent="0.2">
      <c r="B55" s="2240"/>
      <c r="C55" s="2241"/>
      <c r="D55" s="2241"/>
      <c r="E55" s="2241"/>
      <c r="F55" s="2241"/>
      <c r="G55" s="2241"/>
      <c r="H55" s="2241"/>
      <c r="I55" s="2241"/>
      <c r="J55" s="2241"/>
      <c r="K55" s="2241"/>
      <c r="L55" s="2242"/>
      <c r="M55" s="357"/>
    </row>
    <row r="56" spans="1:13" ht="12.75" customHeight="1" x14ac:dyDescent="0.2">
      <c r="B56" s="2240"/>
      <c r="C56" s="2241"/>
      <c r="D56" s="2241"/>
      <c r="E56" s="2241"/>
      <c r="F56" s="2241"/>
      <c r="G56" s="2241"/>
      <c r="H56" s="2241"/>
      <c r="I56" s="2241"/>
      <c r="J56" s="2241"/>
      <c r="K56" s="2241"/>
      <c r="L56" s="2242"/>
      <c r="M56" s="217"/>
    </row>
    <row r="57" spans="1:13" ht="12.75" customHeight="1" x14ac:dyDescent="0.2">
      <c r="B57" s="2240"/>
      <c r="C57" s="2241"/>
      <c r="D57" s="2241"/>
      <c r="E57" s="2241"/>
      <c r="F57" s="2241"/>
      <c r="G57" s="2241"/>
      <c r="H57" s="2241"/>
      <c r="I57" s="2241"/>
      <c r="J57" s="2241"/>
      <c r="K57" s="2241"/>
      <c r="L57" s="2242"/>
      <c r="M57" s="217"/>
    </row>
    <row r="58" spans="1:13" x14ac:dyDescent="0.2">
      <c r="B58" s="2243"/>
      <c r="C58" s="2244"/>
      <c r="D58" s="2244"/>
      <c r="E58" s="2244"/>
      <c r="F58" s="2244"/>
      <c r="G58" s="2244"/>
      <c r="H58" s="2244"/>
      <c r="I58" s="2244"/>
      <c r="J58" s="2244"/>
      <c r="K58" s="2244"/>
      <c r="L58" s="2245"/>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48"/>
      <c r="D61" s="2249"/>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51"/>
      <c r="B1" s="2252"/>
      <c r="C1" s="2252"/>
      <c r="D1" s="361"/>
      <c r="E1" s="361"/>
      <c r="F1" s="361"/>
      <c r="G1" s="361"/>
      <c r="H1" s="361"/>
      <c r="I1" s="361"/>
      <c r="J1" s="361"/>
      <c r="K1" s="361"/>
      <c r="L1" s="361"/>
      <c r="M1" s="361"/>
      <c r="N1" s="361"/>
      <c r="O1" s="2251"/>
      <c r="P1" s="2252"/>
      <c r="Q1" s="2252"/>
    </row>
    <row r="2" spans="1:18" ht="15" x14ac:dyDescent="0.2">
      <c r="A2" s="2255" t="s">
        <v>552</v>
      </c>
      <c r="B2" s="2255"/>
      <c r="C2" s="2255"/>
      <c r="D2" s="2255"/>
      <c r="E2" s="2255"/>
      <c r="F2" s="2255"/>
      <c r="G2" s="2255"/>
      <c r="H2" s="2255"/>
      <c r="I2" s="2255"/>
      <c r="J2" s="2255"/>
      <c r="K2" s="2255"/>
      <c r="L2" s="2255"/>
      <c r="M2" s="2255"/>
      <c r="N2" s="2255"/>
      <c r="O2" s="2255"/>
      <c r="P2" s="2255"/>
      <c r="Q2" s="2255"/>
      <c r="R2" s="2255"/>
    </row>
    <row r="3" spans="1:18" ht="12.75" x14ac:dyDescent="0.2">
      <c r="A3" s="2256" t="s">
        <v>1396</v>
      </c>
      <c r="B3" s="2256"/>
      <c r="C3" s="2256"/>
      <c r="D3" s="2256"/>
      <c r="E3" s="2256"/>
      <c r="F3" s="2256"/>
      <c r="G3" s="2256"/>
      <c r="H3" s="2256"/>
      <c r="I3" s="2256"/>
      <c r="J3" s="2256"/>
      <c r="K3" s="2256"/>
      <c r="L3" s="2256"/>
      <c r="M3" s="2256"/>
      <c r="N3" s="2256"/>
      <c r="O3" s="2256"/>
      <c r="P3" s="2256"/>
      <c r="Q3" s="2256"/>
      <c r="R3" s="2256"/>
    </row>
    <row r="4" spans="1:18" x14ac:dyDescent="0.2">
      <c r="A4" s="2257" t="s">
        <v>1537</v>
      </c>
      <c r="B4" s="2257"/>
      <c r="C4" s="2257"/>
      <c r="D4" s="2257"/>
      <c r="E4" s="2257"/>
      <c r="F4" s="2257"/>
      <c r="G4" s="2257"/>
      <c r="H4" s="2257"/>
      <c r="I4" s="2257"/>
      <c r="J4" s="2257"/>
      <c r="K4" s="2257"/>
      <c r="L4" s="2257"/>
      <c r="M4" s="2257"/>
      <c r="N4" s="2257"/>
      <c r="O4" s="2257"/>
      <c r="P4" s="2257"/>
      <c r="Q4" s="2257"/>
      <c r="R4" s="2257"/>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Montmorency CCSD 145</v>
      </c>
      <c r="E7" s="368"/>
      <c r="G7" s="247"/>
      <c r="H7" s="364"/>
      <c r="I7" s="364"/>
      <c r="J7" s="364"/>
      <c r="K7" s="364"/>
      <c r="L7" s="307"/>
      <c r="M7" s="307"/>
      <c r="N7" s="307"/>
      <c r="O7" s="307"/>
      <c r="P7" s="307"/>
    </row>
    <row r="8" spans="1:18" ht="12.75" x14ac:dyDescent="0.2">
      <c r="A8" s="307"/>
      <c r="B8" s="307"/>
      <c r="C8" s="366" t="s">
        <v>1115</v>
      </c>
      <c r="D8" s="369">
        <f>COVER!A13</f>
        <v>47098145004</v>
      </c>
      <c r="E8" s="370"/>
      <c r="G8" s="307"/>
      <c r="H8" s="307"/>
      <c r="I8" s="307"/>
      <c r="J8" s="307"/>
      <c r="K8" s="307"/>
      <c r="L8" s="307"/>
      <c r="M8" s="307"/>
      <c r="N8" s="307"/>
      <c r="O8" s="307"/>
      <c r="P8" s="307"/>
    </row>
    <row r="9" spans="1:18" ht="12.75" x14ac:dyDescent="0.2">
      <c r="A9" s="307"/>
      <c r="B9" s="307"/>
      <c r="C9" s="366" t="s">
        <v>708</v>
      </c>
      <c r="D9" s="371" t="str">
        <f>COVER!A15</f>
        <v>Whiteside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2419721</v>
      </c>
      <c r="I12" s="380"/>
      <c r="J12" s="380"/>
      <c r="K12" s="1559">
        <f>TRUNC((H12/H13*100000),5)/100000</f>
        <v>0.93500249229999999</v>
      </c>
      <c r="L12" s="381"/>
      <c r="M12" s="337" t="s">
        <v>1134</v>
      </c>
      <c r="N12" s="337"/>
      <c r="O12" s="1562">
        <v>0.35</v>
      </c>
      <c r="P12" s="213"/>
      <c r="Q12" s="213"/>
    </row>
    <row r="13" spans="1:18" s="382" customFormat="1" ht="12.75" x14ac:dyDescent="0.2">
      <c r="A13" s="213"/>
      <c r="B13" s="377"/>
      <c r="C13" s="2253" t="s">
        <v>1313</v>
      </c>
      <c r="D13" s="2254"/>
      <c r="E13" s="213"/>
      <c r="F13" s="383" t="s">
        <v>788</v>
      </c>
      <c r="G13" s="378"/>
      <c r="H13" s="1551">
        <f>SUM('Acct Summary 7-8'!C8+'Acct Summary 7-8'!D8+'Acct Summary 7-8'!F8+'Acct Summary 7-8'!I8)+H14</f>
        <v>2587930</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2493740</v>
      </c>
      <c r="I17" s="380"/>
      <c r="J17" s="389"/>
      <c r="K17" s="1559">
        <f>TRUNC((H17/H18*100000),5)/100000</f>
        <v>0.96360411600000007</v>
      </c>
      <c r="L17" s="381"/>
      <c r="M17" s="390" t="s">
        <v>1161</v>
      </c>
      <c r="O17" s="1565" t="str">
        <f>IF(AND(O16="2", J20 &gt; 2),"1",IF(AND(O16 = "1", J20 &gt; 2),"2",IF(AND(O16="1", J20 &gt;1),"1","0")))</f>
        <v>0</v>
      </c>
      <c r="P17" s="213"/>
    </row>
    <row r="18" spans="1:18" s="382" customFormat="1" ht="11.25" x14ac:dyDescent="0.2">
      <c r="A18" s="213"/>
      <c r="B18" s="377"/>
      <c r="C18" s="2253" t="s">
        <v>1306</v>
      </c>
      <c r="D18" s="2254"/>
      <c r="E18" s="213"/>
      <c r="F18" s="391" t="s">
        <v>789</v>
      </c>
      <c r="G18" s="378"/>
      <c r="H18" s="1551">
        <f>SUM('Acct Summary 7-8'!C8+'Acct Summary 7-8'!D8+'Acct Summary 7-8'!F8+'Acct Summary 7-8'!I8)+H19</f>
        <v>2587930</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50" t="s">
        <v>1395</v>
      </c>
      <c r="D24" s="2250"/>
      <c r="E24" s="213"/>
      <c r="F24" s="213" t="s">
        <v>442</v>
      </c>
      <c r="G24" s="378"/>
      <c r="H24" s="1551">
        <f>SUM('Assets-Liab 5-6'!C4+'Assets-Liab 5-6'!D4+'Assets-Liab 5-6'!F4+'Assets-Liab 5-6'!I4+'Assets-Liab 5-6'!C5+'Assets-Liab 5-6'!D5+'Assets-Liab 5-6'!F5+'Assets-Liab 5-6'!I5)</f>
        <v>2404347</v>
      </c>
      <c r="I24" s="394"/>
      <c r="J24" s="394"/>
      <c r="K24" s="1555">
        <f>TRUNC(((H24/H25*100000)/100000),2)</f>
        <v>347.09</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6927.0555599999998</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933038.83244999999</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3</v>
      </c>
      <c r="P31" s="211"/>
    </row>
    <row r="32" spans="1:18" s="382" customFormat="1" ht="11.25" x14ac:dyDescent="0.2">
      <c r="A32" s="213"/>
      <c r="B32" s="377"/>
      <c r="C32" s="213" t="s">
        <v>842</v>
      </c>
      <c r="D32" s="213"/>
      <c r="E32" s="213"/>
      <c r="F32" s="213"/>
      <c r="G32" s="378"/>
      <c r="H32" s="1551">
        <f>'FP Info 3'!H37</f>
        <v>1402800</v>
      </c>
      <c r="I32" s="392"/>
      <c r="J32" s="392"/>
      <c r="K32" s="1555">
        <f>TRUNC(100-((((H32/H33*100))*100)/100),2)</f>
        <v>59.45</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3460063.9260000004</v>
      </c>
      <c r="I33" s="392"/>
      <c r="J33" s="392"/>
      <c r="K33" s="379"/>
      <c r="L33" s="213"/>
      <c r="M33" s="401" t="s">
        <v>1135</v>
      </c>
      <c r="N33" s="401"/>
      <c r="O33" s="1568">
        <f>(O31*O32)</f>
        <v>0.30000000000000004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A26" sqref="A26"/>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58"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59"/>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60" t="s">
        <v>967</v>
      </c>
      <c r="B3" s="2261"/>
      <c r="C3" s="1306"/>
      <c r="D3" s="1307"/>
      <c r="E3" s="1307"/>
      <c r="F3" s="1307"/>
      <c r="G3" s="1307"/>
      <c r="H3" s="1307"/>
      <c r="I3" s="1307"/>
      <c r="J3" s="1307"/>
      <c r="K3" s="1307"/>
      <c r="L3" s="1307"/>
      <c r="M3" s="1308"/>
      <c r="N3" s="1309"/>
    </row>
    <row r="4" spans="1:14" ht="13.5" customHeight="1" x14ac:dyDescent="0.2">
      <c r="A4" s="427" t="s">
        <v>1632</v>
      </c>
      <c r="B4" s="428"/>
      <c r="C4" s="1572">
        <v>942319</v>
      </c>
      <c r="D4" s="1573">
        <v>316468</v>
      </c>
      <c r="E4" s="1573">
        <v>139698</v>
      </c>
      <c r="F4" s="1573">
        <v>273914</v>
      </c>
      <c r="G4" s="1573">
        <v>98786</v>
      </c>
      <c r="H4" s="1573">
        <v>286542</v>
      </c>
      <c r="I4" s="1573">
        <v>593846</v>
      </c>
      <c r="J4" s="1574">
        <v>170648</v>
      </c>
      <c r="K4" s="1573">
        <v>147408</v>
      </c>
      <c r="L4" s="1573">
        <v>22482</v>
      </c>
      <c r="M4" s="1575"/>
      <c r="N4" s="1576"/>
    </row>
    <row r="5" spans="1:14" x14ac:dyDescent="0.2">
      <c r="A5" s="427" t="s">
        <v>985</v>
      </c>
      <c r="B5" s="429">
        <v>120</v>
      </c>
      <c r="C5" s="1572">
        <v>277800</v>
      </c>
      <c r="D5" s="1573">
        <v>0</v>
      </c>
      <c r="E5" s="1573">
        <v>0</v>
      </c>
      <c r="F5" s="1573">
        <v>0</v>
      </c>
      <c r="G5" s="1573">
        <v>0</v>
      </c>
      <c r="H5" s="1573">
        <v>0</v>
      </c>
      <c r="I5" s="1573">
        <v>0</v>
      </c>
      <c r="J5" s="1574">
        <v>0</v>
      </c>
      <c r="K5" s="1577">
        <v>0</v>
      </c>
      <c r="L5" s="1578">
        <v>0</v>
      </c>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c r="F7" s="1574">
        <v>0</v>
      </c>
      <c r="G7" s="1574"/>
      <c r="H7" s="1574"/>
      <c r="I7" s="1574">
        <v>0</v>
      </c>
      <c r="J7" s="1574"/>
      <c r="K7" s="1574"/>
      <c r="L7" s="1582"/>
      <c r="M7" s="1575"/>
      <c r="N7" s="1576"/>
    </row>
    <row r="8" spans="1:14" ht="13.5" customHeight="1" x14ac:dyDescent="0.2">
      <c r="A8" s="430" t="s">
        <v>267</v>
      </c>
      <c r="B8" s="429">
        <v>150</v>
      </c>
      <c r="C8" s="1581">
        <v>0</v>
      </c>
      <c r="D8" s="1574">
        <v>0</v>
      </c>
      <c r="E8" s="1574"/>
      <c r="F8" s="1574">
        <v>0</v>
      </c>
      <c r="G8" s="1583">
        <v>0</v>
      </c>
      <c r="H8" s="1574">
        <v>0</v>
      </c>
      <c r="I8" s="1579"/>
      <c r="J8" s="1579"/>
      <c r="K8" s="1584"/>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v>0</v>
      </c>
      <c r="M9" s="1575"/>
      <c r="N9" s="1576"/>
    </row>
    <row r="10" spans="1:14" ht="13.5" customHeight="1" x14ac:dyDescent="0.2">
      <c r="A10" s="430" t="s">
        <v>984</v>
      </c>
      <c r="B10" s="429">
        <v>170</v>
      </c>
      <c r="C10" s="1572">
        <v>0</v>
      </c>
      <c r="D10" s="1573">
        <v>0</v>
      </c>
      <c r="E10" s="1574"/>
      <c r="F10" s="1573">
        <v>0</v>
      </c>
      <c r="G10" s="1583"/>
      <c r="H10" s="1586">
        <v>0</v>
      </c>
      <c r="I10" s="1574"/>
      <c r="J10" s="1574"/>
      <c r="K10" s="1586">
        <v>0</v>
      </c>
      <c r="L10" s="1586">
        <v>0</v>
      </c>
      <c r="M10" s="1576"/>
      <c r="N10" s="1576"/>
    </row>
    <row r="11" spans="1:14" ht="13.5" customHeight="1" x14ac:dyDescent="0.2">
      <c r="A11" s="430" t="s">
        <v>269</v>
      </c>
      <c r="B11" s="429">
        <v>180</v>
      </c>
      <c r="C11" s="1581">
        <v>15374</v>
      </c>
      <c r="D11" s="1574">
        <v>0</v>
      </c>
      <c r="E11" s="1574"/>
      <c r="F11" s="1574">
        <v>0</v>
      </c>
      <c r="G11" s="1574">
        <v>0</v>
      </c>
      <c r="H11" s="1574">
        <v>0</v>
      </c>
      <c r="I11" s="1583">
        <v>0</v>
      </c>
      <c r="J11" s="1583"/>
      <c r="K11" s="1574">
        <v>0</v>
      </c>
      <c r="L11" s="1574">
        <v>0</v>
      </c>
      <c r="M11" s="1576"/>
      <c r="N11" s="1576"/>
    </row>
    <row r="12" spans="1:14" ht="13.5" customHeight="1" x14ac:dyDescent="0.2">
      <c r="A12" s="430" t="s">
        <v>416</v>
      </c>
      <c r="B12" s="429">
        <v>190</v>
      </c>
      <c r="C12" s="1572">
        <v>0</v>
      </c>
      <c r="D12" s="1573">
        <v>0</v>
      </c>
      <c r="E12" s="1573">
        <v>0</v>
      </c>
      <c r="F12" s="1573">
        <v>0</v>
      </c>
      <c r="G12" s="1573">
        <v>0</v>
      </c>
      <c r="H12" s="1573">
        <v>0</v>
      </c>
      <c r="I12" s="1573">
        <v>0</v>
      </c>
      <c r="J12" s="1574">
        <v>382</v>
      </c>
      <c r="K12" s="1573">
        <v>0</v>
      </c>
      <c r="L12" s="1573">
        <v>0</v>
      </c>
      <c r="M12" s="1576"/>
      <c r="N12" s="1576"/>
    </row>
    <row r="13" spans="1:14" ht="13.5" customHeight="1" thickBot="1" x14ac:dyDescent="0.25">
      <c r="A13" s="1426" t="s">
        <v>639</v>
      </c>
      <c r="B13" s="1407"/>
      <c r="C13" s="1587">
        <f>SUM(C4:C12)</f>
        <v>1235493</v>
      </c>
      <c r="D13" s="1587">
        <f t="shared" ref="D13:L13" si="0">SUM(D4:D12)</f>
        <v>316468</v>
      </c>
      <c r="E13" s="1587">
        <f t="shared" si="0"/>
        <v>139698</v>
      </c>
      <c r="F13" s="1587">
        <f t="shared" si="0"/>
        <v>273914</v>
      </c>
      <c r="G13" s="1587">
        <f t="shared" si="0"/>
        <v>98786</v>
      </c>
      <c r="H13" s="1587">
        <f t="shared" si="0"/>
        <v>286542</v>
      </c>
      <c r="I13" s="1587">
        <f t="shared" si="0"/>
        <v>593846</v>
      </c>
      <c r="J13" s="1587">
        <f t="shared" si="0"/>
        <v>171030</v>
      </c>
      <c r="K13" s="1587">
        <f t="shared" si="0"/>
        <v>147408</v>
      </c>
      <c r="L13" s="1587">
        <f t="shared" si="0"/>
        <v>22482</v>
      </c>
      <c r="M13" s="1575"/>
      <c r="N13" s="1576"/>
    </row>
    <row r="14" spans="1:14" ht="18" customHeight="1" thickTop="1" x14ac:dyDescent="0.2">
      <c r="A14" s="2262" t="s">
        <v>146</v>
      </c>
      <c r="B14" s="2263"/>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v>0</v>
      </c>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8150</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4437574</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45261</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234473</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0</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139698</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1263102</v>
      </c>
    </row>
    <row r="23" spans="1:14" ht="13.5" customHeight="1" thickBot="1" x14ac:dyDescent="0.25">
      <c r="A23" s="1426" t="s">
        <v>638</v>
      </c>
      <c r="B23" s="1429"/>
      <c r="C23" s="1575"/>
      <c r="D23" s="1575"/>
      <c r="E23" s="1575"/>
      <c r="F23" s="1575"/>
      <c r="G23" s="1575"/>
      <c r="H23" s="1575"/>
      <c r="I23" s="1575"/>
      <c r="J23" s="1575"/>
      <c r="K23" s="1575"/>
      <c r="L23" s="1575"/>
      <c r="M23" s="1594">
        <f>SUM(M15:M22)</f>
        <v>4725458</v>
      </c>
      <c r="N23" s="1594">
        <f>SUM(N21:N22)</f>
        <v>1402800</v>
      </c>
    </row>
    <row r="24" spans="1:14" ht="18" customHeight="1" thickTop="1" x14ac:dyDescent="0.2">
      <c r="A24" s="2264" t="s">
        <v>594</v>
      </c>
      <c r="B24" s="2265"/>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c r="F30" s="1574">
        <v>0</v>
      </c>
      <c r="G30" s="1574">
        <v>0</v>
      </c>
      <c r="H30" s="1574">
        <v>0</v>
      </c>
      <c r="I30" s="1574"/>
      <c r="J30" s="1574">
        <v>0</v>
      </c>
      <c r="K30" s="1583">
        <v>0</v>
      </c>
      <c r="L30" s="1575"/>
      <c r="M30" s="1575"/>
      <c r="N30" s="1575"/>
    </row>
    <row r="31" spans="1:14" ht="13.5" customHeight="1" x14ac:dyDescent="0.2">
      <c r="A31" s="430" t="s">
        <v>646</v>
      </c>
      <c r="B31" s="429">
        <v>480</v>
      </c>
      <c r="C31" s="1573">
        <v>0</v>
      </c>
      <c r="D31" s="1574">
        <v>0</v>
      </c>
      <c r="E31" s="1574"/>
      <c r="F31" s="1573">
        <v>0</v>
      </c>
      <c r="G31" s="1574">
        <v>0</v>
      </c>
      <c r="H31" s="1574">
        <v>0</v>
      </c>
      <c r="I31" s="1574"/>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c r="E33" s="1574"/>
      <c r="F33" s="1574"/>
      <c r="G33" s="1574"/>
      <c r="H33" s="1574"/>
      <c r="I33" s="1574"/>
      <c r="J33" s="1574"/>
      <c r="K33" s="1574"/>
      <c r="L33" s="1574">
        <v>22482</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22482</v>
      </c>
      <c r="M34" s="1575"/>
      <c r="N34" s="1585"/>
    </row>
    <row r="35" spans="1:14" ht="18" customHeight="1" thickTop="1" x14ac:dyDescent="0.2">
      <c r="A35" s="2266" t="s">
        <v>526</v>
      </c>
      <c r="B35" s="2267"/>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1402800</v>
      </c>
    </row>
    <row r="37" spans="1:14" ht="13.5" thickBot="1" x14ac:dyDescent="0.25">
      <c r="A37" s="1426" t="s">
        <v>648</v>
      </c>
      <c r="B37" s="1429"/>
      <c r="C37" s="1582"/>
      <c r="D37" s="1582"/>
      <c r="E37" s="1582"/>
      <c r="F37" s="1582"/>
      <c r="G37" s="1582"/>
      <c r="H37" s="1582"/>
      <c r="I37" s="1582"/>
      <c r="J37" s="1582"/>
      <c r="K37" s="1582"/>
      <c r="L37" s="1585"/>
      <c r="M37" s="1575"/>
      <c r="N37" s="1594">
        <f>SUM(N36:N36)</f>
        <v>1402800</v>
      </c>
    </row>
    <row r="38" spans="1:14" s="307" customFormat="1" ht="13.5" customHeight="1" thickTop="1" x14ac:dyDescent="0.2">
      <c r="A38" s="438" t="s">
        <v>417</v>
      </c>
      <c r="B38" s="432">
        <v>714</v>
      </c>
      <c r="C38" s="1573">
        <v>36381</v>
      </c>
      <c r="D38" s="1573">
        <v>0</v>
      </c>
      <c r="E38" s="1573">
        <v>0</v>
      </c>
      <c r="F38" s="1573">
        <v>0</v>
      </c>
      <c r="G38" s="1573">
        <v>57655</v>
      </c>
      <c r="H38" s="1573">
        <v>286542</v>
      </c>
      <c r="I38" s="1573">
        <v>0</v>
      </c>
      <c r="J38" s="1574">
        <v>0</v>
      </c>
      <c r="K38" s="1573">
        <v>0</v>
      </c>
      <c r="L38" s="1586">
        <v>0</v>
      </c>
      <c r="M38" s="1604"/>
      <c r="N38" s="1604"/>
    </row>
    <row r="39" spans="1:14" s="307" customFormat="1" ht="13.5" customHeight="1" x14ac:dyDescent="0.2">
      <c r="A39" s="438" t="s">
        <v>339</v>
      </c>
      <c r="B39" s="432">
        <v>730</v>
      </c>
      <c r="C39" s="1573">
        <v>1199112</v>
      </c>
      <c r="D39" s="1573">
        <v>316468</v>
      </c>
      <c r="E39" s="1573">
        <v>139698</v>
      </c>
      <c r="F39" s="1573">
        <v>273914</v>
      </c>
      <c r="G39" s="1573">
        <v>41131</v>
      </c>
      <c r="H39" s="1573">
        <v>0</v>
      </c>
      <c r="I39" s="1573">
        <v>593846</v>
      </c>
      <c r="J39" s="1574">
        <v>171030</v>
      </c>
      <c r="K39" s="1573">
        <v>147408</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4725458</v>
      </c>
      <c r="N40" s="1604"/>
    </row>
    <row r="41" spans="1:14" ht="13.5" customHeight="1" thickBot="1" x14ac:dyDescent="0.25">
      <c r="A41" s="1426" t="s">
        <v>650</v>
      </c>
      <c r="B41" s="1405"/>
      <c r="C41" s="1594">
        <f>(SUM(C34,C37,C38,C39))</f>
        <v>1235493</v>
      </c>
      <c r="D41" s="1594">
        <f t="shared" ref="D41:L41" si="2">SUM(D34,D37,D38:D39)</f>
        <v>316468</v>
      </c>
      <c r="E41" s="1594">
        <f t="shared" si="2"/>
        <v>139698</v>
      </c>
      <c r="F41" s="1594">
        <f t="shared" si="2"/>
        <v>273914</v>
      </c>
      <c r="G41" s="1594">
        <f t="shared" si="2"/>
        <v>98786</v>
      </c>
      <c r="H41" s="1594">
        <f t="shared" si="2"/>
        <v>286542</v>
      </c>
      <c r="I41" s="1594">
        <f t="shared" si="2"/>
        <v>593846</v>
      </c>
      <c r="J41" s="1594">
        <f t="shared" si="2"/>
        <v>171030</v>
      </c>
      <c r="K41" s="1594">
        <f t="shared" si="2"/>
        <v>147408</v>
      </c>
      <c r="L41" s="1594">
        <f t="shared" si="2"/>
        <v>22482</v>
      </c>
      <c r="M41" s="1594">
        <f>SUM(M40)</f>
        <v>4725458</v>
      </c>
      <c r="N41" s="1594">
        <f>SUM(N37)</f>
        <v>1402800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A26" sqref="A26"/>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76"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77"/>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88" t="s">
        <v>1165</v>
      </c>
      <c r="B3" s="2289"/>
      <c r="C3" s="1311"/>
      <c r="D3" s="1312"/>
      <c r="E3" s="1312"/>
      <c r="F3" s="1312"/>
      <c r="G3" s="1312"/>
      <c r="H3" s="1312"/>
      <c r="I3" s="1312"/>
      <c r="J3" s="1312"/>
      <c r="K3" s="1313"/>
      <c r="L3" s="446"/>
    </row>
    <row r="4" spans="1:13" ht="15.75" customHeight="1" x14ac:dyDescent="0.2">
      <c r="A4" s="1537" t="s">
        <v>1482</v>
      </c>
      <c r="B4" s="1538">
        <v>1000</v>
      </c>
      <c r="C4" s="1606">
        <f>'Revenues 9-14'!C109</f>
        <v>1024435</v>
      </c>
      <c r="D4" s="1606">
        <f>'Revenues 9-14'!D109</f>
        <v>132969</v>
      </c>
      <c r="E4" s="1606">
        <f>'Revenues 9-14'!E109</f>
        <v>212029</v>
      </c>
      <c r="F4" s="1606">
        <f>'Revenues 9-14'!F109</f>
        <v>60496</v>
      </c>
      <c r="G4" s="1606">
        <f>'Revenues 9-14'!G109</f>
        <v>28531</v>
      </c>
      <c r="H4" s="1606">
        <f>'Revenues 9-14'!H109</f>
        <v>119027</v>
      </c>
      <c r="I4" s="1606">
        <f>'Revenues 9-14'!I109</f>
        <v>29447</v>
      </c>
      <c r="J4" s="1606">
        <f>'Revenues 9-14'!J109</f>
        <v>194646</v>
      </c>
      <c r="K4" s="1606">
        <f>'Revenues 9-14'!K109</f>
        <v>14731</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976126</v>
      </c>
      <c r="D6" s="1607">
        <f>'Revenues 9-14'!D170</f>
        <v>0</v>
      </c>
      <c r="E6" s="1607">
        <f>'Revenues 9-14'!E170</f>
        <v>0</v>
      </c>
      <c r="F6" s="1607">
        <f>'Revenues 9-14'!F170</f>
        <v>134676</v>
      </c>
      <c r="G6" s="1607">
        <f>'Revenues 9-14'!G170</f>
        <v>0</v>
      </c>
      <c r="H6" s="1607">
        <f>'Revenues 9-14'!H170</f>
        <v>50000</v>
      </c>
      <c r="I6" s="1607">
        <f>'Revenues 9-14'!I170</f>
        <v>0</v>
      </c>
      <c r="J6" s="1607">
        <f>'Revenues 9-14'!J170</f>
        <v>0</v>
      </c>
      <c r="K6" s="1607">
        <f>'Revenues 9-14'!K170</f>
        <v>0</v>
      </c>
      <c r="L6" s="325"/>
      <c r="M6" s="448"/>
    </row>
    <row r="7" spans="1:13" ht="15.75" customHeight="1" x14ac:dyDescent="0.2">
      <c r="A7" s="1314" t="s">
        <v>1485</v>
      </c>
      <c r="B7" s="1316">
        <v>4000</v>
      </c>
      <c r="C7" s="1607">
        <f>'Revenues 9-14'!C267</f>
        <v>229781</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2230342</v>
      </c>
      <c r="D8" s="1594">
        <f t="shared" ref="D8:K8" si="0">SUM(D4:D7)</f>
        <v>132969</v>
      </c>
      <c r="E8" s="1594">
        <f t="shared" si="0"/>
        <v>212029</v>
      </c>
      <c r="F8" s="1594">
        <f t="shared" si="0"/>
        <v>195172</v>
      </c>
      <c r="G8" s="1594">
        <f t="shared" si="0"/>
        <v>28531</v>
      </c>
      <c r="H8" s="1594">
        <f t="shared" si="0"/>
        <v>169027</v>
      </c>
      <c r="I8" s="1594">
        <f t="shared" si="0"/>
        <v>29447</v>
      </c>
      <c r="J8" s="1594">
        <f t="shared" si="0"/>
        <v>194646</v>
      </c>
      <c r="K8" s="1594">
        <f t="shared" si="0"/>
        <v>14731</v>
      </c>
      <c r="L8" s="325"/>
    </row>
    <row r="9" spans="1:13" ht="15.75" thickTop="1" x14ac:dyDescent="0.2">
      <c r="A9" s="449" t="s">
        <v>1634</v>
      </c>
      <c r="B9" s="450">
        <v>3998</v>
      </c>
      <c r="C9" s="1586">
        <v>1061086</v>
      </c>
      <c r="D9" s="1613"/>
      <c r="E9" s="1586"/>
      <c r="F9" s="1586"/>
      <c r="G9" s="1614"/>
      <c r="H9" s="1586"/>
      <c r="I9" s="1609" t="s">
        <v>1159</v>
      </c>
      <c r="J9" s="1583"/>
      <c r="K9" s="1586"/>
      <c r="L9" s="325"/>
    </row>
    <row r="10" spans="1:13" s="452" customFormat="1" ht="13.5" thickBot="1" x14ac:dyDescent="0.25">
      <c r="A10" s="1426" t="s">
        <v>1163</v>
      </c>
      <c r="B10" s="1407"/>
      <c r="C10" s="1594">
        <f>SUM(C8:C9)</f>
        <v>3291428</v>
      </c>
      <c r="D10" s="1594">
        <f t="shared" ref="D10:K10" si="1">SUM(D8:D9)</f>
        <v>132969</v>
      </c>
      <c r="E10" s="1594">
        <f t="shared" si="1"/>
        <v>212029</v>
      </c>
      <c r="F10" s="1594">
        <f t="shared" si="1"/>
        <v>195172</v>
      </c>
      <c r="G10" s="1594">
        <f t="shared" si="1"/>
        <v>28531</v>
      </c>
      <c r="H10" s="1594">
        <f t="shared" si="1"/>
        <v>169027</v>
      </c>
      <c r="I10" s="1594">
        <f t="shared" si="1"/>
        <v>29447</v>
      </c>
      <c r="J10" s="1594">
        <f t="shared" si="1"/>
        <v>194646</v>
      </c>
      <c r="K10" s="1594">
        <f t="shared" si="1"/>
        <v>14731</v>
      </c>
      <c r="L10" s="451"/>
    </row>
    <row r="11" spans="1:13" s="452" customFormat="1" ht="16.7" customHeight="1" thickTop="1" x14ac:dyDescent="0.2">
      <c r="A11" s="2262" t="s">
        <v>1166</v>
      </c>
      <c r="B11" s="2263"/>
      <c r="C11" s="1602"/>
      <c r="D11" s="1603"/>
      <c r="E11" s="1603"/>
      <c r="F11" s="1603"/>
      <c r="G11" s="1603"/>
      <c r="H11" s="1603"/>
      <c r="I11" s="1603"/>
      <c r="J11" s="1603"/>
      <c r="K11" s="1615"/>
      <c r="L11" s="451"/>
    </row>
    <row r="12" spans="1:13" ht="15.75" customHeight="1" x14ac:dyDescent="0.2">
      <c r="A12" s="1314" t="s">
        <v>453</v>
      </c>
      <c r="B12" s="1316">
        <v>1000</v>
      </c>
      <c r="C12" s="1606">
        <f>'Expenditures 15-22'!K33</f>
        <v>1550154</v>
      </c>
      <c r="D12" s="1616" t="s">
        <v>1159</v>
      </c>
      <c r="E12" s="1575" t="s">
        <v>1159</v>
      </c>
      <c r="F12" s="1575" t="s">
        <v>1159</v>
      </c>
      <c r="G12" s="1606">
        <f>'Expenditures 15-22'!K229</f>
        <v>19499</v>
      </c>
      <c r="H12" s="1617"/>
      <c r="I12" s="1575" t="s">
        <v>1159</v>
      </c>
      <c r="J12" s="1575" t="s">
        <v>1159</v>
      </c>
      <c r="K12" s="1617" t="s">
        <v>1159</v>
      </c>
      <c r="L12" s="325"/>
    </row>
    <row r="13" spans="1:13" ht="15.75" customHeight="1" x14ac:dyDescent="0.2">
      <c r="A13" s="1314" t="s">
        <v>454</v>
      </c>
      <c r="B13" s="1316">
        <v>2000</v>
      </c>
      <c r="C13" s="1607">
        <f>'Expenditures 15-22'!K74</f>
        <v>486545</v>
      </c>
      <c r="D13" s="1607">
        <f>'Expenditures 15-22'!K129</f>
        <v>101636</v>
      </c>
      <c r="E13" s="1576" t="s">
        <v>1159</v>
      </c>
      <c r="F13" s="1607">
        <f>'Expenditures 15-22'!K184</f>
        <v>221981</v>
      </c>
      <c r="G13" s="1607">
        <f>'Expenditures 15-22'!K279</f>
        <v>38113</v>
      </c>
      <c r="H13" s="1607">
        <f>'Expenditures 15-22'!K303</f>
        <v>179046</v>
      </c>
      <c r="I13" s="1575" t="s">
        <v>1159</v>
      </c>
      <c r="J13" s="1607">
        <f>'Expenditures 15-22'!K330</f>
        <v>213030</v>
      </c>
      <c r="K13" s="1618">
        <f>'Expenditures 15-22'!K352</f>
        <v>19830</v>
      </c>
      <c r="L13" s="325"/>
    </row>
    <row r="14" spans="1:13" ht="15.75" customHeight="1" x14ac:dyDescent="0.2">
      <c r="A14" s="1314" t="s">
        <v>446</v>
      </c>
      <c r="B14" s="1316">
        <v>3000</v>
      </c>
      <c r="C14" s="1607">
        <f>'Expenditures 15-22'!K75</f>
        <v>1120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132304</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217563</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2170123</v>
      </c>
      <c r="D17" s="1594">
        <f t="shared" si="2"/>
        <v>101636</v>
      </c>
      <c r="E17" s="1594">
        <f t="shared" si="2"/>
        <v>217563</v>
      </c>
      <c r="F17" s="1594">
        <f t="shared" si="2"/>
        <v>221981</v>
      </c>
      <c r="G17" s="1594">
        <f t="shared" si="2"/>
        <v>57612</v>
      </c>
      <c r="H17" s="1594">
        <f t="shared" si="2"/>
        <v>179046</v>
      </c>
      <c r="I17" s="1575"/>
      <c r="J17" s="1594">
        <f>SUM(J12:J16)</f>
        <v>213030</v>
      </c>
      <c r="K17" s="1594">
        <f>SUM(K12:K16)</f>
        <v>19830</v>
      </c>
      <c r="L17" s="325"/>
    </row>
    <row r="18" spans="1:12" ht="15" customHeight="1" thickTop="1" x14ac:dyDescent="0.2">
      <c r="A18" s="1430" t="s">
        <v>1635</v>
      </c>
      <c r="B18" s="1431">
        <v>4180</v>
      </c>
      <c r="C18" s="1606">
        <f t="shared" ref="C18:H18" si="3">C9</f>
        <v>1061086</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3231209</v>
      </c>
      <c r="D19" s="1594">
        <f t="shared" si="4"/>
        <v>101636</v>
      </c>
      <c r="E19" s="1594">
        <f t="shared" si="4"/>
        <v>217563</v>
      </c>
      <c r="F19" s="1594">
        <f t="shared" si="4"/>
        <v>221981</v>
      </c>
      <c r="G19" s="1594">
        <f t="shared" si="4"/>
        <v>57612</v>
      </c>
      <c r="H19" s="1594">
        <f t="shared" si="4"/>
        <v>179046</v>
      </c>
      <c r="I19" s="1575"/>
      <c r="J19" s="1594">
        <f>SUM(J17:J18)</f>
        <v>213030</v>
      </c>
      <c r="K19" s="1594">
        <f>SUM(K17:K18)</f>
        <v>19830</v>
      </c>
      <c r="L19" s="325"/>
    </row>
    <row r="20" spans="1:12" ht="16.5" thickTop="1" thickBot="1" x14ac:dyDescent="0.25">
      <c r="A20" s="2278" t="s">
        <v>1636</v>
      </c>
      <c r="B20" s="2279"/>
      <c r="C20" s="1622">
        <f>C8-C17</f>
        <v>60219</v>
      </c>
      <c r="D20" s="1622">
        <f t="shared" ref="D20:K20" si="5">D8-D17</f>
        <v>31333</v>
      </c>
      <c r="E20" s="1622">
        <f t="shared" si="5"/>
        <v>-5534</v>
      </c>
      <c r="F20" s="1622">
        <f t="shared" si="5"/>
        <v>-26809</v>
      </c>
      <c r="G20" s="1622">
        <f t="shared" si="5"/>
        <v>-29081</v>
      </c>
      <c r="H20" s="1622">
        <f t="shared" si="5"/>
        <v>-10019</v>
      </c>
      <c r="I20" s="1622">
        <f t="shared" si="5"/>
        <v>29447</v>
      </c>
      <c r="J20" s="1622">
        <f t="shared" si="5"/>
        <v>-18384</v>
      </c>
      <c r="K20" s="1622">
        <f t="shared" si="5"/>
        <v>-5099</v>
      </c>
      <c r="L20" s="325"/>
    </row>
    <row r="21" spans="1:12" ht="16.7" customHeight="1" thickTop="1" x14ac:dyDescent="0.2">
      <c r="A21" s="2290" t="s">
        <v>591</v>
      </c>
      <c r="B21" s="2291"/>
      <c r="C21" s="1602"/>
      <c r="D21" s="1603"/>
      <c r="E21" s="1603"/>
      <c r="F21" s="1603"/>
      <c r="G21" s="1603"/>
      <c r="H21" s="1603"/>
      <c r="I21" s="1603"/>
      <c r="J21" s="1603"/>
      <c r="K21" s="1615"/>
      <c r="L21" s="453"/>
    </row>
    <row r="22" spans="1:12" ht="15.75" customHeight="1" collapsed="1" x14ac:dyDescent="0.2">
      <c r="A22" s="2286" t="s">
        <v>592</v>
      </c>
      <c r="B22" s="2287"/>
      <c r="C22" s="1582"/>
      <c r="D22" s="1582"/>
      <c r="E22" s="1582"/>
      <c r="F22" s="1582"/>
      <c r="G22" s="1582"/>
      <c r="H22" s="1582"/>
      <c r="I22" s="1582"/>
      <c r="J22" s="1582"/>
      <c r="K22" s="1582"/>
      <c r="L22" s="325"/>
    </row>
    <row r="23" spans="1:12" s="433" customFormat="1" ht="15.75" customHeight="1" x14ac:dyDescent="0.2">
      <c r="A23" s="2282" t="s">
        <v>290</v>
      </c>
      <c r="B23" s="2283"/>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v>150000</v>
      </c>
      <c r="D25" s="1574">
        <v>0</v>
      </c>
      <c r="E25" s="1574">
        <v>0</v>
      </c>
      <c r="F25" s="1574">
        <v>150000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84" t="s">
        <v>974</v>
      </c>
      <c r="B32" s="2285"/>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9468</v>
      </c>
      <c r="F33" s="1574">
        <v>0</v>
      </c>
      <c r="G33" s="1582"/>
      <c r="H33" s="1574">
        <v>0</v>
      </c>
      <c r="I33" s="1574">
        <v>268332</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292" t="s">
        <v>371</v>
      </c>
      <c r="B44" s="2293"/>
      <c r="C44" s="1624">
        <f>SUM(C24:C43)</f>
        <v>150000</v>
      </c>
      <c r="D44" s="1624">
        <f t="shared" ref="D44:K44" si="6">SUM(D24:D43)</f>
        <v>0</v>
      </c>
      <c r="E44" s="1624">
        <f t="shared" si="6"/>
        <v>9468</v>
      </c>
      <c r="F44" s="1624">
        <f t="shared" si="6"/>
        <v>150000</v>
      </c>
      <c r="G44" s="1624">
        <f t="shared" si="6"/>
        <v>0</v>
      </c>
      <c r="H44" s="1624">
        <f t="shared" si="6"/>
        <v>0</v>
      </c>
      <c r="I44" s="1624">
        <f t="shared" si="6"/>
        <v>268332</v>
      </c>
      <c r="J44" s="1624">
        <f t="shared" si="6"/>
        <v>0</v>
      </c>
      <c r="K44" s="1624">
        <f t="shared" si="6"/>
        <v>0</v>
      </c>
      <c r="L44" s="453"/>
    </row>
    <row r="45" spans="1:12" ht="15.75" customHeight="1" thickTop="1" x14ac:dyDescent="0.2">
      <c r="A45" s="2286" t="s">
        <v>108</v>
      </c>
      <c r="B45" s="2287"/>
      <c r="C45" s="1625"/>
      <c r="D45" s="1625"/>
      <c r="E45" s="1625"/>
      <c r="F45" s="1625"/>
      <c r="G45" s="1625"/>
      <c r="H45" s="1625"/>
      <c r="I45" s="1625"/>
      <c r="J45" s="1625"/>
      <c r="K45" s="1625"/>
      <c r="L45" s="325"/>
    </row>
    <row r="46" spans="1:12" s="433" customFormat="1" ht="15.75" customHeight="1" x14ac:dyDescent="0.2">
      <c r="A46" s="2294" t="s">
        <v>109</v>
      </c>
      <c r="B46" s="2295"/>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300000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268" t="s">
        <v>437</v>
      </c>
      <c r="B76" s="2269"/>
      <c r="C76" s="1624">
        <f t="shared" ref="C76:K76" si="7">SUM(C47:C75)</f>
        <v>0</v>
      </c>
      <c r="D76" s="1624">
        <f t="shared" si="7"/>
        <v>0</v>
      </c>
      <c r="E76" s="1624">
        <f t="shared" si="7"/>
        <v>0</v>
      </c>
      <c r="F76" s="1624">
        <f t="shared" si="7"/>
        <v>0</v>
      </c>
      <c r="G76" s="1624">
        <f t="shared" si="7"/>
        <v>0</v>
      </c>
      <c r="H76" s="1624">
        <f t="shared" si="7"/>
        <v>0</v>
      </c>
      <c r="I76" s="1624">
        <f t="shared" si="7"/>
        <v>300000</v>
      </c>
      <c r="J76" s="1624">
        <f t="shared" si="7"/>
        <v>0</v>
      </c>
      <c r="K76" s="1624">
        <f t="shared" si="7"/>
        <v>0</v>
      </c>
      <c r="L76" s="453"/>
    </row>
    <row r="77" spans="1:12" ht="14.25" thickTop="1" thickBot="1" x14ac:dyDescent="0.25">
      <c r="A77" s="2270" t="s">
        <v>1167</v>
      </c>
      <c r="B77" s="2271"/>
      <c r="C77" s="1624">
        <f t="shared" ref="C77:K77" si="8">C44-C76</f>
        <v>150000</v>
      </c>
      <c r="D77" s="1624">
        <f t="shared" si="8"/>
        <v>0</v>
      </c>
      <c r="E77" s="1624">
        <f t="shared" si="8"/>
        <v>9468</v>
      </c>
      <c r="F77" s="1624">
        <f t="shared" si="8"/>
        <v>150000</v>
      </c>
      <c r="G77" s="1624">
        <f t="shared" si="8"/>
        <v>0</v>
      </c>
      <c r="H77" s="1624">
        <f t="shared" si="8"/>
        <v>0</v>
      </c>
      <c r="I77" s="1624">
        <f t="shared" si="8"/>
        <v>-31668</v>
      </c>
      <c r="J77" s="1624">
        <f t="shared" si="8"/>
        <v>0</v>
      </c>
      <c r="K77" s="1624">
        <f t="shared" si="8"/>
        <v>0</v>
      </c>
      <c r="L77" s="325"/>
    </row>
    <row r="78" spans="1:12" ht="21.75" customHeight="1" thickTop="1" thickBot="1" x14ac:dyDescent="0.25">
      <c r="A78" s="2274" t="s">
        <v>593</v>
      </c>
      <c r="B78" s="2275"/>
      <c r="C78" s="1629">
        <f t="shared" ref="C78:K78" si="9">C20+C77</f>
        <v>210219</v>
      </c>
      <c r="D78" s="1629">
        <f t="shared" si="9"/>
        <v>31333</v>
      </c>
      <c r="E78" s="1629">
        <f t="shared" si="9"/>
        <v>3934</v>
      </c>
      <c r="F78" s="1629">
        <f t="shared" si="9"/>
        <v>123191</v>
      </c>
      <c r="G78" s="1629">
        <f t="shared" si="9"/>
        <v>-29081</v>
      </c>
      <c r="H78" s="1629">
        <f t="shared" si="9"/>
        <v>-10019</v>
      </c>
      <c r="I78" s="1629">
        <f t="shared" si="9"/>
        <v>-2221</v>
      </c>
      <c r="J78" s="1629">
        <f t="shared" si="9"/>
        <v>-18384</v>
      </c>
      <c r="K78" s="1629">
        <f t="shared" si="9"/>
        <v>-5099</v>
      </c>
      <c r="L78" s="457"/>
    </row>
    <row r="79" spans="1:12" ht="13.5" thickTop="1" x14ac:dyDescent="0.2">
      <c r="A79" s="1844" t="str">
        <f>"Fund Balances - July 1, "&amp;'AFR20'!E2-1</f>
        <v>Fund Balances - July 1, 2019</v>
      </c>
      <c r="B79" s="458"/>
      <c r="C79" s="1583">
        <v>1025274</v>
      </c>
      <c r="D79" s="1583">
        <v>285135</v>
      </c>
      <c r="E79" s="1630">
        <v>135764</v>
      </c>
      <c r="F79" s="1630">
        <v>150723</v>
      </c>
      <c r="G79" s="1630">
        <v>127867</v>
      </c>
      <c r="H79" s="1630">
        <v>296561</v>
      </c>
      <c r="I79" s="1630">
        <v>596067</v>
      </c>
      <c r="J79" s="1630">
        <v>189414</v>
      </c>
      <c r="K79" s="1630">
        <v>152507</v>
      </c>
      <c r="L79" s="325"/>
    </row>
    <row r="80" spans="1:12" x14ac:dyDescent="0.2">
      <c r="A80" s="2280" t="s">
        <v>1772</v>
      </c>
      <c r="B80" s="2281"/>
      <c r="C80" s="1574">
        <v>0</v>
      </c>
      <c r="D80" s="1574">
        <v>0</v>
      </c>
      <c r="E80" s="1574">
        <v>0</v>
      </c>
      <c r="F80" s="1574">
        <v>0</v>
      </c>
      <c r="G80" s="1574">
        <v>0</v>
      </c>
      <c r="H80" s="1574">
        <v>0</v>
      </c>
      <c r="I80" s="1574">
        <v>0</v>
      </c>
      <c r="J80" s="1574">
        <v>0</v>
      </c>
      <c r="K80" s="1574">
        <v>0</v>
      </c>
      <c r="L80" s="325"/>
    </row>
    <row r="81" spans="1:12" ht="13.5" thickBot="1" x14ac:dyDescent="0.25">
      <c r="A81" s="2272" t="str">
        <f>"Fund Balances - June 30, "&amp;'AFR20'!E2</f>
        <v>Fund Balances - June 30, 2020</v>
      </c>
      <c r="B81" s="2273"/>
      <c r="C81" s="1594">
        <f>(SUM(C78:C80))</f>
        <v>1235493</v>
      </c>
      <c r="D81" s="1594">
        <f>SUM(D78:D80)</f>
        <v>316468</v>
      </c>
      <c r="E81" s="1594">
        <f t="shared" ref="E81:K81" si="10">SUM(E78:E80)</f>
        <v>139698</v>
      </c>
      <c r="F81" s="1594">
        <f t="shared" si="10"/>
        <v>273914</v>
      </c>
      <c r="G81" s="1594">
        <f t="shared" si="10"/>
        <v>98786</v>
      </c>
      <c r="H81" s="1594">
        <f t="shared" si="10"/>
        <v>286542</v>
      </c>
      <c r="I81" s="1594">
        <f t="shared" si="10"/>
        <v>593846</v>
      </c>
      <c r="J81" s="1594">
        <f t="shared" si="10"/>
        <v>171030</v>
      </c>
      <c r="K81" s="1594">
        <f t="shared" si="10"/>
        <v>147408</v>
      </c>
      <c r="L81" s="325"/>
    </row>
    <row r="82" spans="1:12" ht="0.75" customHeight="1" thickTop="1" thickBot="1" x14ac:dyDescent="0.25">
      <c r="A82" s="459" t="s">
        <v>340</v>
      </c>
      <c r="B82" s="460"/>
      <c r="C82" s="461">
        <f>(C81-C79)</f>
        <v>210219</v>
      </c>
      <c r="D82" s="461">
        <f t="shared" ref="D82:K82" si="11">(D81-D79)</f>
        <v>31333</v>
      </c>
      <c r="E82" s="461">
        <f t="shared" si="11"/>
        <v>3934</v>
      </c>
      <c r="F82" s="461">
        <f t="shared" si="11"/>
        <v>123191</v>
      </c>
      <c r="G82" s="461">
        <f t="shared" si="11"/>
        <v>-29081</v>
      </c>
      <c r="H82" s="461">
        <f t="shared" si="11"/>
        <v>-10019</v>
      </c>
      <c r="I82" s="461">
        <f t="shared" si="11"/>
        <v>-2221</v>
      </c>
      <c r="J82" s="461">
        <f t="shared" si="11"/>
        <v>-18384</v>
      </c>
      <c r="K82" s="461">
        <f t="shared" si="11"/>
        <v>-5099</v>
      </c>
    </row>
    <row r="83" spans="1:12" ht="14.25" hidden="1" thickTop="1" thickBot="1" x14ac:dyDescent="0.25">
      <c r="A83" s="462" t="s">
        <v>341</v>
      </c>
      <c r="B83" s="428"/>
      <c r="C83" s="463">
        <f>C82/C81</f>
        <v>0.17014989158174104</v>
      </c>
      <c r="D83" s="463">
        <f t="shared" ref="D83:K83" si="12">D82/D81</f>
        <v>9.9008430552220125E-2</v>
      </c>
      <c r="E83" s="463">
        <f t="shared" si="12"/>
        <v>2.8160746753711576E-2</v>
      </c>
      <c r="F83" s="463">
        <f t="shared" si="12"/>
        <v>0.44974335010258693</v>
      </c>
      <c r="G83" s="463">
        <f t="shared" si="12"/>
        <v>-0.29438381956957466</v>
      </c>
      <c r="H83" s="463">
        <f t="shared" si="12"/>
        <v>-3.4965205798800872E-2</v>
      </c>
      <c r="I83" s="463">
        <f t="shared" si="12"/>
        <v>-3.7400268756546309E-3</v>
      </c>
      <c r="J83" s="463">
        <f t="shared" si="12"/>
        <v>-0.10748991405016664</v>
      </c>
      <c r="K83" s="463">
        <f t="shared" si="12"/>
        <v>-3.459106697058504E-2</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A26" sqref="A26"/>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76" t="s">
        <v>1779</v>
      </c>
      <c r="B1" s="416"/>
      <c r="C1" s="417" t="s">
        <v>422</v>
      </c>
      <c r="D1" s="417" t="s">
        <v>423</v>
      </c>
      <c r="E1" s="417" t="s">
        <v>424</v>
      </c>
      <c r="F1" s="417" t="s">
        <v>425</v>
      </c>
      <c r="G1" s="417" t="s">
        <v>426</v>
      </c>
      <c r="H1" s="417" t="s">
        <v>427</v>
      </c>
      <c r="I1" s="417" t="s">
        <v>428</v>
      </c>
      <c r="J1" s="417" t="s">
        <v>429</v>
      </c>
      <c r="K1" s="417" t="s">
        <v>751</v>
      </c>
    </row>
    <row r="2" spans="1:12" ht="36" x14ac:dyDescent="0.2">
      <c r="A2" s="2277"/>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898506</v>
      </c>
      <c r="D5" s="1586">
        <v>123390</v>
      </c>
      <c r="E5" s="1573">
        <v>210807</v>
      </c>
      <c r="F5" s="1631">
        <v>59242</v>
      </c>
      <c r="G5" s="1573">
        <v>12244</v>
      </c>
      <c r="H5" s="1573">
        <v>0</v>
      </c>
      <c r="I5" s="1573">
        <v>24686</v>
      </c>
      <c r="J5" s="1574">
        <v>192658</v>
      </c>
      <c r="K5" s="1573">
        <v>13638</v>
      </c>
    </row>
    <row r="6" spans="1:12" ht="15" x14ac:dyDescent="0.2">
      <c r="A6" s="427" t="s">
        <v>1643</v>
      </c>
      <c r="B6" s="429">
        <v>1130</v>
      </c>
      <c r="C6" s="1573">
        <v>3315</v>
      </c>
      <c r="D6" s="1573">
        <v>0</v>
      </c>
      <c r="E6" s="1580"/>
      <c r="F6" s="1580"/>
      <c r="G6" s="1575"/>
      <c r="H6" s="1575"/>
      <c r="I6" s="1575"/>
      <c r="J6" s="1575"/>
      <c r="K6" s="1575"/>
    </row>
    <row r="7" spans="1:12" x14ac:dyDescent="0.2">
      <c r="A7" s="427" t="s">
        <v>110</v>
      </c>
      <c r="B7" s="471">
        <v>1140</v>
      </c>
      <c r="C7" s="1573">
        <v>9891</v>
      </c>
      <c r="D7" s="1573">
        <v>0</v>
      </c>
      <c r="E7" s="1575"/>
      <c r="F7" s="1574">
        <v>0</v>
      </c>
      <c r="G7" s="1574">
        <v>0</v>
      </c>
      <c r="H7" s="1574">
        <v>0</v>
      </c>
      <c r="I7" s="1575"/>
      <c r="J7" s="1575"/>
      <c r="K7" s="1575"/>
    </row>
    <row r="8" spans="1:12" x14ac:dyDescent="0.2">
      <c r="A8" s="427" t="s">
        <v>410</v>
      </c>
      <c r="B8" s="429">
        <v>1150</v>
      </c>
      <c r="C8" s="1580"/>
      <c r="D8" s="1580"/>
      <c r="E8" s="1582"/>
      <c r="F8" s="1582"/>
      <c r="G8" s="1586">
        <v>12244</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911712</v>
      </c>
      <c r="D12" s="1633">
        <f t="shared" si="0"/>
        <v>123390</v>
      </c>
      <c r="E12" s="1633">
        <f t="shared" si="0"/>
        <v>210807</v>
      </c>
      <c r="F12" s="1633">
        <f t="shared" si="0"/>
        <v>59242</v>
      </c>
      <c r="G12" s="1633">
        <f t="shared" si="0"/>
        <v>24488</v>
      </c>
      <c r="H12" s="1633">
        <f t="shared" si="0"/>
        <v>0</v>
      </c>
      <c r="I12" s="1633">
        <f t="shared" si="0"/>
        <v>24686</v>
      </c>
      <c r="J12" s="1633">
        <f t="shared" si="0"/>
        <v>192658</v>
      </c>
      <c r="K12" s="1594">
        <f t="shared" si="0"/>
        <v>13638</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265</v>
      </c>
      <c r="D14" s="1573">
        <v>36</v>
      </c>
      <c r="E14" s="1573">
        <v>63</v>
      </c>
      <c r="F14" s="1573">
        <v>17</v>
      </c>
      <c r="G14" s="1573">
        <v>5</v>
      </c>
      <c r="H14" s="1573">
        <v>0</v>
      </c>
      <c r="I14" s="1573">
        <v>7</v>
      </c>
      <c r="J14" s="1574">
        <v>57</v>
      </c>
      <c r="K14" s="1573">
        <v>7</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79044</v>
      </c>
      <c r="D16" s="1573">
        <v>0</v>
      </c>
      <c r="E16" s="1573">
        <v>0</v>
      </c>
      <c r="F16" s="1573">
        <v>0</v>
      </c>
      <c r="G16" s="1573">
        <v>3202</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79309</v>
      </c>
      <c r="D18" s="1635">
        <f t="shared" ref="D18:K18" si="1">SUM(D14:D17)</f>
        <v>36</v>
      </c>
      <c r="E18" s="1635">
        <f t="shared" si="1"/>
        <v>63</v>
      </c>
      <c r="F18" s="1635">
        <f t="shared" si="1"/>
        <v>17</v>
      </c>
      <c r="G18" s="1635">
        <f t="shared" si="1"/>
        <v>3207</v>
      </c>
      <c r="H18" s="1635">
        <f t="shared" si="1"/>
        <v>0</v>
      </c>
      <c r="I18" s="1635">
        <f t="shared" si="1"/>
        <v>7</v>
      </c>
      <c r="J18" s="1635">
        <f t="shared" si="1"/>
        <v>57</v>
      </c>
      <c r="K18" s="1636">
        <f t="shared" si="1"/>
        <v>7</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0</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0</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7609</v>
      </c>
      <c r="D65" s="1573">
        <v>2343</v>
      </c>
      <c r="E65" s="1573">
        <v>1159</v>
      </c>
      <c r="F65" s="1574">
        <v>1237</v>
      </c>
      <c r="G65" s="1573">
        <v>836</v>
      </c>
      <c r="H65" s="1573">
        <v>1587</v>
      </c>
      <c r="I65" s="1573">
        <v>4754</v>
      </c>
      <c r="J65" s="1574">
        <v>1610</v>
      </c>
      <c r="K65" s="1573">
        <v>1086</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7609</v>
      </c>
      <c r="D67" s="1594">
        <f t="shared" ref="D67:K67" si="2">SUM(D65:D66)</f>
        <v>2343</v>
      </c>
      <c r="E67" s="1594">
        <f t="shared" si="2"/>
        <v>1159</v>
      </c>
      <c r="F67" s="1594">
        <f t="shared" si="2"/>
        <v>1237</v>
      </c>
      <c r="G67" s="1594">
        <f t="shared" si="2"/>
        <v>836</v>
      </c>
      <c r="H67" s="1594">
        <f t="shared" si="2"/>
        <v>1587</v>
      </c>
      <c r="I67" s="1594">
        <f t="shared" si="2"/>
        <v>4754</v>
      </c>
      <c r="J67" s="1594">
        <f t="shared" si="2"/>
        <v>1610</v>
      </c>
      <c r="K67" s="1594">
        <f t="shared" si="2"/>
        <v>1086</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0</v>
      </c>
      <c r="D69" s="1575"/>
      <c r="E69" s="1575"/>
      <c r="F69" s="1575"/>
      <c r="G69" s="1575"/>
      <c r="H69" s="1575"/>
      <c r="I69" s="1575"/>
      <c r="J69" s="1575"/>
      <c r="K69" s="1575"/>
    </row>
    <row r="70" spans="1:11" ht="12.75" customHeight="1" x14ac:dyDescent="0.2">
      <c r="A70" s="427" t="s">
        <v>990</v>
      </c>
      <c r="B70" s="429">
        <v>1612</v>
      </c>
      <c r="C70" s="1632">
        <v>0</v>
      </c>
      <c r="D70" s="1575"/>
      <c r="E70" s="1575"/>
      <c r="F70" s="1575"/>
      <c r="G70" s="1575"/>
      <c r="H70" s="1575"/>
      <c r="I70" s="1575"/>
      <c r="J70" s="1575"/>
      <c r="K70" s="1575"/>
    </row>
    <row r="71" spans="1:11" ht="12.75" customHeight="1" x14ac:dyDescent="0.2">
      <c r="A71" s="427" t="s">
        <v>271</v>
      </c>
      <c r="B71" s="429">
        <v>1613</v>
      </c>
      <c r="C71" s="1632">
        <v>0</v>
      </c>
      <c r="D71" s="1575"/>
      <c r="E71" s="1575"/>
      <c r="F71" s="1575"/>
      <c r="G71" s="1575"/>
      <c r="H71" s="1575"/>
      <c r="I71" s="1575"/>
      <c r="J71" s="1575"/>
      <c r="K71" s="1575"/>
    </row>
    <row r="72" spans="1:11" ht="12.75" customHeight="1" x14ac:dyDescent="0.2">
      <c r="A72" s="427" t="s">
        <v>24</v>
      </c>
      <c r="B72" s="429">
        <v>1614</v>
      </c>
      <c r="C72" s="1632">
        <v>0</v>
      </c>
      <c r="D72" s="1575"/>
      <c r="E72" s="1575"/>
      <c r="F72" s="1575"/>
      <c r="G72" s="1575"/>
      <c r="H72" s="1575"/>
      <c r="I72" s="1575"/>
      <c r="J72" s="1575"/>
      <c r="K72" s="1575"/>
    </row>
    <row r="73" spans="1:11" ht="12.75" customHeight="1" x14ac:dyDescent="0.2">
      <c r="A73" s="427" t="s">
        <v>991</v>
      </c>
      <c r="B73" s="429">
        <v>1620</v>
      </c>
      <c r="C73" s="1632">
        <v>0</v>
      </c>
      <c r="D73" s="1575"/>
      <c r="E73" s="1575"/>
      <c r="F73" s="1575"/>
      <c r="G73" s="1575"/>
      <c r="H73" s="1575"/>
      <c r="I73" s="1575"/>
      <c r="J73" s="1575"/>
      <c r="K73" s="1575"/>
    </row>
    <row r="74" spans="1:11" ht="12.75" customHeight="1" x14ac:dyDescent="0.2">
      <c r="A74" s="427" t="s">
        <v>25</v>
      </c>
      <c r="B74" s="429">
        <v>1690</v>
      </c>
      <c r="C74" s="1632">
        <v>0</v>
      </c>
      <c r="D74" s="1575"/>
      <c r="E74" s="1575"/>
      <c r="F74" s="1575"/>
      <c r="G74" s="1575"/>
      <c r="H74" s="1575"/>
      <c r="I74" s="1575"/>
      <c r="J74" s="1575"/>
      <c r="K74" s="1575"/>
    </row>
    <row r="75" spans="1:11" ht="12.75" customHeight="1" thickBot="1" x14ac:dyDescent="0.25">
      <c r="A75" s="1406" t="s">
        <v>544</v>
      </c>
      <c r="B75" s="1407"/>
      <c r="C75" s="1594">
        <f>SUM(C69:C74)</f>
        <v>0</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0</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4550</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611</v>
      </c>
      <c r="D81" s="1573">
        <v>0</v>
      </c>
      <c r="E81" s="1575"/>
      <c r="F81" s="1575"/>
      <c r="G81" s="1575"/>
      <c r="H81" s="1575"/>
      <c r="I81" s="1575"/>
      <c r="J81" s="1575"/>
      <c r="K81" s="1575"/>
    </row>
    <row r="82" spans="1:11" ht="12.75" customHeight="1" thickBot="1" x14ac:dyDescent="0.25">
      <c r="A82" s="1406" t="s">
        <v>239</v>
      </c>
      <c r="B82" s="1407"/>
      <c r="C82" s="1633">
        <f>SUM(C77:C81)</f>
        <v>5161</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9484</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9484</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0</v>
      </c>
      <c r="E95" s="1617"/>
      <c r="F95" s="1617"/>
      <c r="G95" s="1617"/>
      <c r="H95" s="1617"/>
      <c r="I95" s="1617"/>
      <c r="J95" s="1617"/>
      <c r="K95" s="1617"/>
    </row>
    <row r="96" spans="1:11" ht="12.75" customHeight="1" x14ac:dyDescent="0.2">
      <c r="A96" s="427" t="s">
        <v>388</v>
      </c>
      <c r="B96" s="429">
        <v>1920</v>
      </c>
      <c r="C96" s="1632">
        <v>4930</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0</v>
      </c>
      <c r="D98" s="1573">
        <v>0</v>
      </c>
      <c r="E98" s="1612"/>
      <c r="F98" s="1573">
        <v>0</v>
      </c>
      <c r="G98" s="1612"/>
      <c r="H98" s="1612"/>
      <c r="I98" s="1610"/>
      <c r="J98" s="1612"/>
      <c r="K98" s="1612"/>
    </row>
    <row r="99" spans="1:12" ht="12.75" customHeight="1" x14ac:dyDescent="0.2">
      <c r="A99" s="427" t="s">
        <v>816</v>
      </c>
      <c r="B99" s="429">
        <v>1950</v>
      </c>
      <c r="C99" s="1598">
        <v>6230</v>
      </c>
      <c r="D99" s="1573">
        <v>7200</v>
      </c>
      <c r="E99" s="1573">
        <v>0</v>
      </c>
      <c r="F99" s="1573">
        <v>0</v>
      </c>
      <c r="G99" s="1573">
        <v>0</v>
      </c>
      <c r="H99" s="1573">
        <v>0</v>
      </c>
      <c r="I99" s="1575"/>
      <c r="J99" s="1574">
        <v>321</v>
      </c>
      <c r="K99" s="1573">
        <v>0</v>
      </c>
    </row>
    <row r="100" spans="1:12" ht="12.75" customHeight="1" x14ac:dyDescent="0.2">
      <c r="A100" s="427" t="s">
        <v>243</v>
      </c>
      <c r="B100" s="429">
        <v>1960</v>
      </c>
      <c r="C100" s="1598">
        <v>0</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0</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117440</v>
      </c>
      <c r="I103" s="1575"/>
      <c r="J103" s="1610"/>
      <c r="K103" s="1610"/>
    </row>
    <row r="104" spans="1:12" ht="12.75" customHeight="1" x14ac:dyDescent="0.2">
      <c r="A104" s="427" t="s">
        <v>825</v>
      </c>
      <c r="B104" s="429">
        <v>1991</v>
      </c>
      <c r="C104" s="1598">
        <v>0</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0</v>
      </c>
      <c r="D106" s="1598">
        <v>0</v>
      </c>
      <c r="E106" s="1574">
        <v>0</v>
      </c>
      <c r="F106" s="1574">
        <v>0</v>
      </c>
      <c r="G106" s="1574">
        <v>0</v>
      </c>
      <c r="H106" s="1574">
        <v>0</v>
      </c>
      <c r="I106" s="1617"/>
      <c r="J106" s="1574">
        <v>0</v>
      </c>
      <c r="K106" s="1574">
        <v>0</v>
      </c>
    </row>
    <row r="107" spans="1:12" ht="12.75" customHeight="1" x14ac:dyDescent="0.2">
      <c r="A107" s="427" t="s">
        <v>78</v>
      </c>
      <c r="B107" s="429">
        <v>1999</v>
      </c>
      <c r="C107" s="1632">
        <v>0</v>
      </c>
      <c r="D107" s="1573">
        <v>0</v>
      </c>
      <c r="E107" s="1573">
        <v>0</v>
      </c>
      <c r="F107" s="1573">
        <v>0</v>
      </c>
      <c r="G107" s="1573">
        <v>0</v>
      </c>
      <c r="H107" s="1573">
        <v>0</v>
      </c>
      <c r="I107" s="1573">
        <v>0</v>
      </c>
      <c r="J107" s="1574">
        <v>0</v>
      </c>
      <c r="K107" s="1573">
        <v>0</v>
      </c>
    </row>
    <row r="108" spans="1:12" ht="12.75" customHeight="1" thickBot="1" x14ac:dyDescent="0.25">
      <c r="A108" s="1406" t="s">
        <v>484</v>
      </c>
      <c r="B108" s="1408"/>
      <c r="C108" s="1633">
        <f>SUM(C95:C107)</f>
        <v>11160</v>
      </c>
      <c r="D108" s="1633">
        <f t="shared" ref="D108:K108" si="3">SUM(D95:D107)</f>
        <v>7200</v>
      </c>
      <c r="E108" s="1633">
        <f t="shared" si="3"/>
        <v>0</v>
      </c>
      <c r="F108" s="1633">
        <f t="shared" si="3"/>
        <v>0</v>
      </c>
      <c r="G108" s="1633">
        <f t="shared" si="3"/>
        <v>0</v>
      </c>
      <c r="H108" s="1633">
        <f t="shared" si="3"/>
        <v>117440</v>
      </c>
      <c r="I108" s="1633">
        <f t="shared" si="3"/>
        <v>0</v>
      </c>
      <c r="J108" s="1633">
        <f t="shared" si="3"/>
        <v>321</v>
      </c>
      <c r="K108" s="1594">
        <f t="shared" si="3"/>
        <v>0</v>
      </c>
    </row>
    <row r="109" spans="1:12" ht="14.25" thickTop="1" thickBot="1" x14ac:dyDescent="0.25">
      <c r="A109" s="1409" t="s">
        <v>246</v>
      </c>
      <c r="B109" s="1410" t="s">
        <v>566</v>
      </c>
      <c r="C109" s="1641">
        <f t="shared" ref="C109:K109" si="4">SUM(C12,C18,C40,C63,C67,C75,C82,C93,C108,)</f>
        <v>1024435</v>
      </c>
      <c r="D109" s="1641">
        <f t="shared" si="4"/>
        <v>132969</v>
      </c>
      <c r="E109" s="1641">
        <f t="shared" si="4"/>
        <v>212029</v>
      </c>
      <c r="F109" s="1641">
        <f t="shared" si="4"/>
        <v>60496</v>
      </c>
      <c r="G109" s="1641">
        <f t="shared" si="4"/>
        <v>28531</v>
      </c>
      <c r="H109" s="1641">
        <f t="shared" si="4"/>
        <v>119027</v>
      </c>
      <c r="I109" s="1641">
        <f t="shared" si="4"/>
        <v>29447</v>
      </c>
      <c r="J109" s="1641">
        <f t="shared" si="4"/>
        <v>194646</v>
      </c>
      <c r="K109" s="1629">
        <f t="shared" si="4"/>
        <v>14731</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958258</v>
      </c>
      <c r="D117" s="1586">
        <v>0</v>
      </c>
      <c r="E117" s="1573">
        <v>0</v>
      </c>
      <c r="F117" s="1586">
        <v>0</v>
      </c>
      <c r="G117" s="1586">
        <v>0</v>
      </c>
      <c r="H117" s="1573">
        <v>0</v>
      </c>
      <c r="I117" s="1575"/>
      <c r="J117" s="1574">
        <v>0</v>
      </c>
      <c r="K117" s="1573">
        <v>0</v>
      </c>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958258</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17273</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0</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17273</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0</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0</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230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230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365</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0</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61669</v>
      </c>
      <c r="G152" s="1574">
        <v>0</v>
      </c>
      <c r="H152" s="1575"/>
      <c r="I152" s="1575"/>
      <c r="J152" s="1575"/>
      <c r="K152" s="1575"/>
    </row>
    <row r="153" spans="1:11" ht="12.75" customHeight="1" x14ac:dyDescent="0.2">
      <c r="A153" s="427" t="s">
        <v>1048</v>
      </c>
      <c r="B153" s="478">
        <v>3510</v>
      </c>
      <c r="C153" s="1632">
        <v>0</v>
      </c>
      <c r="D153" s="1573">
        <v>0</v>
      </c>
      <c r="E153" s="1640"/>
      <c r="F153" s="1573">
        <v>73007</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134676</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0</v>
      </c>
      <c r="D159" s="1653">
        <v>0</v>
      </c>
      <c r="E159" s="1640"/>
      <c r="F159" s="1651">
        <v>0</v>
      </c>
      <c r="G159" s="1651">
        <v>0</v>
      </c>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0</v>
      </c>
      <c r="E167" s="1617"/>
      <c r="F167" s="1617"/>
      <c r="G167" s="1575"/>
      <c r="H167" s="1627">
        <v>50000</v>
      </c>
      <c r="I167" s="1575"/>
      <c r="J167" s="1575"/>
      <c r="K167" s="1626">
        <v>0</v>
      </c>
    </row>
    <row r="168" spans="1:11" ht="14.25" thickTop="1" thickBot="1" x14ac:dyDescent="0.25">
      <c r="A168" s="1270" t="s">
        <v>70</v>
      </c>
      <c r="B168" s="484">
        <v>3999</v>
      </c>
      <c r="C168" s="1654">
        <v>0</v>
      </c>
      <c r="D168" s="1655">
        <v>0</v>
      </c>
      <c r="E168" s="1655">
        <v>0</v>
      </c>
      <c r="F168" s="1655">
        <v>0</v>
      </c>
      <c r="G168" s="1656">
        <v>0</v>
      </c>
      <c r="H168" s="1657">
        <v>0</v>
      </c>
      <c r="I168" s="1656">
        <v>0</v>
      </c>
      <c r="J168" s="1656">
        <v>0</v>
      </c>
      <c r="K168" s="1657">
        <v>0</v>
      </c>
    </row>
    <row r="169" spans="1:11" ht="12.75" customHeight="1" thickTop="1" thickBot="1" x14ac:dyDescent="0.25">
      <c r="A169" s="2296" t="s">
        <v>395</v>
      </c>
      <c r="B169" s="2297"/>
      <c r="C169" s="1658">
        <f t="shared" ref="C169:K169" si="6">SUM(C132,C141,C145,C146:C150,C155,C156:C167,C168)</f>
        <v>17868</v>
      </c>
      <c r="D169" s="1658">
        <f t="shared" si="6"/>
        <v>0</v>
      </c>
      <c r="E169" s="1658">
        <f t="shared" si="6"/>
        <v>0</v>
      </c>
      <c r="F169" s="1658">
        <f t="shared" si="6"/>
        <v>134676</v>
      </c>
      <c r="G169" s="1658">
        <f t="shared" si="6"/>
        <v>0</v>
      </c>
      <c r="H169" s="1658">
        <f t="shared" si="6"/>
        <v>50000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976126</v>
      </c>
      <c r="D170" s="1641">
        <f t="shared" si="7"/>
        <v>0</v>
      </c>
      <c r="E170" s="1641">
        <f t="shared" si="7"/>
        <v>0</v>
      </c>
      <c r="F170" s="1641">
        <f t="shared" si="7"/>
        <v>134676</v>
      </c>
      <c r="G170" s="1641">
        <f t="shared" si="7"/>
        <v>0</v>
      </c>
      <c r="H170" s="1641">
        <f t="shared" si="7"/>
        <v>50000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98" t="s">
        <v>1475</v>
      </c>
      <c r="B172" s="2299"/>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c r="J173" s="1574">
        <v>0</v>
      </c>
      <c r="K173" s="1574">
        <v>0</v>
      </c>
    </row>
    <row r="174" spans="1:11" ht="22.5" x14ac:dyDescent="0.2">
      <c r="A174" s="479" t="s">
        <v>800</v>
      </c>
      <c r="B174" s="485">
        <v>4009</v>
      </c>
      <c r="C174" s="1632">
        <v>0</v>
      </c>
      <c r="D174" s="1573">
        <v>0</v>
      </c>
      <c r="E174" s="1574">
        <v>0</v>
      </c>
      <c r="F174" s="1573">
        <v>0</v>
      </c>
      <c r="G174" s="1573">
        <v>0</v>
      </c>
      <c r="H174" s="1574">
        <v>0</v>
      </c>
      <c r="I174" s="1574"/>
      <c r="J174" s="1574">
        <v>0</v>
      </c>
      <c r="K174" s="1574">
        <v>0</v>
      </c>
    </row>
    <row r="175" spans="1:11" ht="13.5" thickBot="1" x14ac:dyDescent="0.25">
      <c r="A175" s="2302" t="s">
        <v>1646</v>
      </c>
      <c r="B175" s="2303"/>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306" t="s">
        <v>1645</v>
      </c>
      <c r="B176" s="2307"/>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13172</v>
      </c>
      <c r="D180" s="1573">
        <v>0</v>
      </c>
      <c r="E180" s="1575"/>
      <c r="F180" s="1573">
        <v>0</v>
      </c>
      <c r="G180" s="1573">
        <v>0</v>
      </c>
      <c r="H180" s="1573">
        <v>0</v>
      </c>
      <c r="I180" s="1575"/>
      <c r="J180" s="1575"/>
      <c r="K180" s="1573">
        <v>0</v>
      </c>
    </row>
    <row r="181" spans="1:11" ht="13.5" thickBot="1" x14ac:dyDescent="0.25">
      <c r="A181" s="2304" t="s">
        <v>780</v>
      </c>
      <c r="B181" s="2305"/>
      <c r="C181" s="1633">
        <f>SUM(C177:C180)</f>
        <v>13172</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300" t="s">
        <v>1780</v>
      </c>
      <c r="B182" s="2301"/>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25913</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0</v>
      </c>
      <c r="D193" s="1575"/>
      <c r="E193" s="1640"/>
      <c r="F193" s="1575"/>
      <c r="G193" s="1664">
        <v>0</v>
      </c>
      <c r="H193" s="1575"/>
      <c r="I193" s="1575"/>
      <c r="J193" s="1575"/>
      <c r="K193" s="1575"/>
    </row>
    <row r="194" spans="1:11" ht="12.75" customHeight="1" x14ac:dyDescent="0.2">
      <c r="A194" s="427" t="s">
        <v>1434</v>
      </c>
      <c r="B194" s="429">
        <v>4225</v>
      </c>
      <c r="C194" s="1632">
        <v>0</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25913</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146012</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146012</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10231</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10231</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0</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0</v>
      </c>
      <c r="D213" s="1573">
        <v>0</v>
      </c>
      <c r="E213" s="1575"/>
      <c r="F213" s="1573">
        <v>0</v>
      </c>
      <c r="G213" s="1573">
        <v>0</v>
      </c>
      <c r="H213" s="1575"/>
      <c r="I213" s="1575"/>
      <c r="J213" s="1575"/>
      <c r="K213" s="1575"/>
    </row>
    <row r="214" spans="1:11" ht="12.75" customHeight="1" x14ac:dyDescent="0.2">
      <c r="A214" s="427" t="s">
        <v>1045</v>
      </c>
      <c r="B214" s="429">
        <v>4625</v>
      </c>
      <c r="C214" s="1632">
        <v>0</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0</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c r="F223" s="1574">
        <v>0</v>
      </c>
      <c r="G223" s="1574">
        <v>0</v>
      </c>
      <c r="H223" s="1574">
        <v>0</v>
      </c>
      <c r="I223" s="1575"/>
      <c r="J223" s="1574"/>
      <c r="K223" s="1574"/>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c r="F225" s="1574">
        <v>0</v>
      </c>
      <c r="G225" s="1574">
        <v>0</v>
      </c>
      <c r="H225" s="1574">
        <v>0</v>
      </c>
      <c r="I225" s="1575"/>
      <c r="J225" s="1574"/>
      <c r="K225" s="1574"/>
    </row>
    <row r="226" spans="1:11" ht="12.75" customHeight="1" x14ac:dyDescent="0.2">
      <c r="A226" s="436" t="s">
        <v>350</v>
      </c>
      <c r="B226" s="435">
        <v>4853</v>
      </c>
      <c r="C226" s="1598">
        <v>0</v>
      </c>
      <c r="D226" s="1574">
        <v>0</v>
      </c>
      <c r="E226" s="1574"/>
      <c r="F226" s="1574">
        <v>0</v>
      </c>
      <c r="G226" s="1574">
        <v>0</v>
      </c>
      <c r="H226" s="1574">
        <v>0</v>
      </c>
      <c r="I226" s="1575"/>
      <c r="J226" s="1574"/>
      <c r="K226" s="1574"/>
    </row>
    <row r="227" spans="1:11" ht="12.75" customHeight="1" x14ac:dyDescent="0.2">
      <c r="A227" s="436" t="s">
        <v>351</v>
      </c>
      <c r="B227" s="435">
        <v>4854</v>
      </c>
      <c r="C227" s="1598">
        <v>0</v>
      </c>
      <c r="D227" s="1574">
        <v>0</v>
      </c>
      <c r="E227" s="1574"/>
      <c r="F227" s="1574">
        <v>0</v>
      </c>
      <c r="G227" s="1574">
        <v>0</v>
      </c>
      <c r="H227" s="1574">
        <v>0</v>
      </c>
      <c r="I227" s="1575"/>
      <c r="J227" s="1574"/>
      <c r="K227" s="1574"/>
    </row>
    <row r="228" spans="1:11" ht="12.75" customHeight="1" x14ac:dyDescent="0.2">
      <c r="A228" s="436" t="s">
        <v>461</v>
      </c>
      <c r="B228" s="435">
        <v>4855</v>
      </c>
      <c r="C228" s="1598">
        <v>0</v>
      </c>
      <c r="D228" s="1574">
        <v>0</v>
      </c>
      <c r="E228" s="1574"/>
      <c r="F228" s="1574">
        <v>0</v>
      </c>
      <c r="G228" s="1574">
        <v>0</v>
      </c>
      <c r="H228" s="1574">
        <v>0</v>
      </c>
      <c r="I228" s="1575"/>
      <c r="J228" s="1574"/>
      <c r="K228" s="1574"/>
    </row>
    <row r="229" spans="1:11" ht="12.75" customHeight="1" x14ac:dyDescent="0.2">
      <c r="A229" s="436" t="s">
        <v>352</v>
      </c>
      <c r="B229" s="435">
        <v>4856</v>
      </c>
      <c r="C229" s="1598">
        <v>0</v>
      </c>
      <c r="D229" s="1574">
        <v>0</v>
      </c>
      <c r="E229" s="1574"/>
      <c r="F229" s="1574">
        <v>0</v>
      </c>
      <c r="G229" s="1574">
        <v>0</v>
      </c>
      <c r="H229" s="1574">
        <v>0</v>
      </c>
      <c r="I229" s="1575"/>
      <c r="J229" s="1574"/>
      <c r="K229" s="1574"/>
    </row>
    <row r="230" spans="1:11" ht="12.75" customHeight="1" x14ac:dyDescent="0.2">
      <c r="A230" s="436" t="s">
        <v>353</v>
      </c>
      <c r="B230" s="435">
        <v>4857</v>
      </c>
      <c r="C230" s="1598">
        <v>0</v>
      </c>
      <c r="D230" s="1574">
        <v>0</v>
      </c>
      <c r="E230" s="1574"/>
      <c r="F230" s="1574">
        <v>0</v>
      </c>
      <c r="G230" s="1574">
        <v>0</v>
      </c>
      <c r="H230" s="1574">
        <v>0</v>
      </c>
      <c r="I230" s="1575"/>
      <c r="J230" s="1574"/>
      <c r="K230" s="1574"/>
    </row>
    <row r="231" spans="1:11" ht="12.75" customHeight="1" x14ac:dyDescent="0.2">
      <c r="A231" s="436" t="s">
        <v>354</v>
      </c>
      <c r="B231" s="435">
        <v>4860</v>
      </c>
      <c r="C231" s="1598">
        <v>0</v>
      </c>
      <c r="D231" s="1574">
        <v>0</v>
      </c>
      <c r="E231" s="1574"/>
      <c r="F231" s="1574">
        <v>0</v>
      </c>
      <c r="G231" s="1574">
        <v>0</v>
      </c>
      <c r="H231" s="1574">
        <v>0</v>
      </c>
      <c r="I231" s="1575"/>
      <c r="J231" s="1574"/>
      <c r="K231" s="1574"/>
    </row>
    <row r="232" spans="1:11" ht="12.75" customHeight="1" x14ac:dyDescent="0.2">
      <c r="A232" s="436" t="s">
        <v>355</v>
      </c>
      <c r="B232" s="435">
        <v>4861</v>
      </c>
      <c r="C232" s="1598">
        <v>0</v>
      </c>
      <c r="D232" s="1574">
        <v>0</v>
      </c>
      <c r="E232" s="1574"/>
      <c r="F232" s="1574">
        <v>0</v>
      </c>
      <c r="G232" s="1574">
        <v>0</v>
      </c>
      <c r="H232" s="1574">
        <v>0</v>
      </c>
      <c r="I232" s="1575"/>
      <c r="J232" s="1574"/>
      <c r="K232" s="1574"/>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c r="F235" s="1574">
        <v>0</v>
      </c>
      <c r="G235" s="1574">
        <v>0</v>
      </c>
      <c r="H235" s="1574">
        <v>0</v>
      </c>
      <c r="I235" s="1575"/>
      <c r="J235" s="1574"/>
      <c r="K235" s="1574"/>
    </row>
    <row r="236" spans="1:11" ht="12.75" customHeight="1" x14ac:dyDescent="0.2">
      <c r="A236" s="436" t="s">
        <v>467</v>
      </c>
      <c r="B236" s="435">
        <v>4865</v>
      </c>
      <c r="C236" s="1598">
        <v>0</v>
      </c>
      <c r="D236" s="1574">
        <v>0</v>
      </c>
      <c r="E236" s="1574"/>
      <c r="F236" s="1574">
        <v>0</v>
      </c>
      <c r="G236" s="1574">
        <v>0</v>
      </c>
      <c r="H236" s="1574">
        <v>0</v>
      </c>
      <c r="I236" s="1575"/>
      <c r="J236" s="1574"/>
      <c r="K236" s="1574"/>
    </row>
    <row r="237" spans="1:11" ht="12.75" customHeight="1" x14ac:dyDescent="0.2">
      <c r="A237" s="436" t="s">
        <v>465</v>
      </c>
      <c r="B237" s="435">
        <v>4866</v>
      </c>
      <c r="C237" s="1598">
        <v>0</v>
      </c>
      <c r="D237" s="1574">
        <v>0</v>
      </c>
      <c r="E237" s="1574">
        <v>0</v>
      </c>
      <c r="F237" s="1574">
        <v>0</v>
      </c>
      <c r="G237" s="1574">
        <v>0</v>
      </c>
      <c r="H237" s="1574">
        <v>0</v>
      </c>
      <c r="I237" s="1575"/>
      <c r="J237" s="1574"/>
      <c r="K237" s="1574"/>
    </row>
    <row r="238" spans="1:11" ht="12.75" customHeight="1" x14ac:dyDescent="0.2">
      <c r="A238" s="436" t="s">
        <v>464</v>
      </c>
      <c r="B238" s="435">
        <v>4867</v>
      </c>
      <c r="C238" s="1598">
        <v>0</v>
      </c>
      <c r="D238" s="1574">
        <v>0</v>
      </c>
      <c r="E238" s="1574">
        <v>0</v>
      </c>
      <c r="F238" s="1574">
        <v>0</v>
      </c>
      <c r="G238" s="1574">
        <v>0</v>
      </c>
      <c r="H238" s="1574">
        <v>0</v>
      </c>
      <c r="I238" s="1575"/>
      <c r="J238" s="1574"/>
      <c r="K238" s="1574"/>
    </row>
    <row r="239" spans="1:11" ht="12.75" customHeight="1" x14ac:dyDescent="0.2">
      <c r="A239" s="436" t="s">
        <v>463</v>
      </c>
      <c r="B239" s="435">
        <v>4868</v>
      </c>
      <c r="C239" s="1598">
        <v>0</v>
      </c>
      <c r="D239" s="1574">
        <v>0</v>
      </c>
      <c r="E239" s="1574">
        <v>0</v>
      </c>
      <c r="F239" s="1574">
        <v>0</v>
      </c>
      <c r="G239" s="1574">
        <v>0</v>
      </c>
      <c r="H239" s="1574">
        <v>0</v>
      </c>
      <c r="I239" s="1575"/>
      <c r="J239" s="1574"/>
      <c r="K239" s="1574"/>
    </row>
    <row r="240" spans="1:11" ht="12.75" customHeight="1" x14ac:dyDescent="0.2">
      <c r="A240" s="436" t="s">
        <v>462</v>
      </c>
      <c r="B240" s="435">
        <v>4869</v>
      </c>
      <c r="C240" s="1598">
        <v>0</v>
      </c>
      <c r="D240" s="1574">
        <v>0</v>
      </c>
      <c r="E240" s="1574">
        <v>0</v>
      </c>
      <c r="F240" s="1574">
        <v>0</v>
      </c>
      <c r="G240" s="1574">
        <v>0</v>
      </c>
      <c r="H240" s="1574">
        <v>0</v>
      </c>
      <c r="I240" s="1575"/>
      <c r="J240" s="1574"/>
      <c r="K240" s="1574"/>
    </row>
    <row r="241" spans="1:11" ht="12.75" customHeight="1" x14ac:dyDescent="0.2">
      <c r="A241" s="436" t="s">
        <v>1118</v>
      </c>
      <c r="B241" s="435">
        <v>4870</v>
      </c>
      <c r="C241" s="1598">
        <v>0</v>
      </c>
      <c r="D241" s="1574">
        <v>0</v>
      </c>
      <c r="E241" s="1574"/>
      <c r="F241" s="1574">
        <v>0</v>
      </c>
      <c r="G241" s="1574">
        <v>0</v>
      </c>
      <c r="H241" s="1574">
        <v>0</v>
      </c>
      <c r="I241" s="1575"/>
      <c r="J241" s="1574"/>
      <c r="K241" s="1574"/>
    </row>
    <row r="242" spans="1:11" ht="12.75" customHeight="1" x14ac:dyDescent="0.2">
      <c r="A242" s="436" t="s">
        <v>783</v>
      </c>
      <c r="B242" s="435">
        <v>4871</v>
      </c>
      <c r="C242" s="1598">
        <v>0</v>
      </c>
      <c r="D242" s="1574">
        <v>0</v>
      </c>
      <c r="E242" s="1574"/>
      <c r="F242" s="1574">
        <v>0</v>
      </c>
      <c r="G242" s="1574">
        <v>0</v>
      </c>
      <c r="H242" s="1574">
        <v>0</v>
      </c>
      <c r="I242" s="1575"/>
      <c r="J242" s="1574"/>
      <c r="K242" s="1574"/>
    </row>
    <row r="243" spans="1:11" ht="12.75" customHeight="1" x14ac:dyDescent="0.2">
      <c r="A243" s="436" t="s">
        <v>784</v>
      </c>
      <c r="B243" s="435">
        <v>4872</v>
      </c>
      <c r="C243" s="1598">
        <v>0</v>
      </c>
      <c r="D243" s="1574">
        <v>0</v>
      </c>
      <c r="E243" s="1574"/>
      <c r="F243" s="1574">
        <v>0</v>
      </c>
      <c r="G243" s="1574">
        <v>0</v>
      </c>
      <c r="H243" s="1574">
        <v>0</v>
      </c>
      <c r="I243" s="1575"/>
      <c r="J243" s="1574"/>
      <c r="K243" s="1574"/>
    </row>
    <row r="244" spans="1:11" ht="12.75" customHeight="1" x14ac:dyDescent="0.2">
      <c r="A244" s="436" t="s">
        <v>785</v>
      </c>
      <c r="B244" s="435">
        <v>4873</v>
      </c>
      <c r="C244" s="1598">
        <v>0</v>
      </c>
      <c r="D244" s="1574">
        <v>0</v>
      </c>
      <c r="E244" s="1574"/>
      <c r="F244" s="1574">
        <v>0</v>
      </c>
      <c r="G244" s="1574">
        <v>0</v>
      </c>
      <c r="H244" s="1574">
        <v>0</v>
      </c>
      <c r="I244" s="1575"/>
      <c r="J244" s="1574"/>
      <c r="K244" s="1574"/>
    </row>
    <row r="245" spans="1:11" ht="12.75" customHeight="1" x14ac:dyDescent="0.2">
      <c r="A245" s="436" t="s">
        <v>786</v>
      </c>
      <c r="B245" s="435">
        <v>4874</v>
      </c>
      <c r="C245" s="1598">
        <v>0</v>
      </c>
      <c r="D245" s="1574">
        <v>0</v>
      </c>
      <c r="E245" s="1574"/>
      <c r="F245" s="1574">
        <v>0</v>
      </c>
      <c r="G245" s="1574">
        <v>0</v>
      </c>
      <c r="H245" s="1574">
        <v>0</v>
      </c>
      <c r="I245" s="1575"/>
      <c r="J245" s="1574"/>
      <c r="K245" s="1574"/>
    </row>
    <row r="246" spans="1:11" ht="12.75" customHeight="1" x14ac:dyDescent="0.2">
      <c r="A246" s="436" t="s">
        <v>468</v>
      </c>
      <c r="B246" s="435">
        <v>4875</v>
      </c>
      <c r="C246" s="1598">
        <v>0</v>
      </c>
      <c r="D246" s="1574">
        <v>0</v>
      </c>
      <c r="E246" s="1574"/>
      <c r="F246" s="1574">
        <v>0</v>
      </c>
      <c r="G246" s="1574">
        <v>0</v>
      </c>
      <c r="H246" s="1574">
        <v>0</v>
      </c>
      <c r="I246" s="1575"/>
      <c r="J246" s="1574"/>
      <c r="K246" s="1574"/>
    </row>
    <row r="247" spans="1:11" ht="12.75" customHeight="1" x14ac:dyDescent="0.2">
      <c r="A247" s="436" t="s">
        <v>765</v>
      </c>
      <c r="B247" s="435">
        <v>4876</v>
      </c>
      <c r="C247" s="1598">
        <v>0</v>
      </c>
      <c r="D247" s="1574">
        <v>0</v>
      </c>
      <c r="E247" s="1574"/>
      <c r="F247" s="1574">
        <v>0</v>
      </c>
      <c r="G247" s="1574">
        <v>0</v>
      </c>
      <c r="H247" s="1574">
        <v>0</v>
      </c>
      <c r="I247" s="1575"/>
      <c r="J247" s="1574"/>
      <c r="K247" s="1574"/>
    </row>
    <row r="248" spans="1:11" ht="12.75" customHeight="1" x14ac:dyDescent="0.2">
      <c r="A248" s="436" t="s">
        <v>766</v>
      </c>
      <c r="B248" s="435">
        <v>4877</v>
      </c>
      <c r="C248" s="1598">
        <v>0</v>
      </c>
      <c r="D248" s="1574">
        <v>0</v>
      </c>
      <c r="E248" s="1574"/>
      <c r="F248" s="1574">
        <v>0</v>
      </c>
      <c r="G248" s="1574">
        <v>0</v>
      </c>
      <c r="H248" s="1574">
        <v>0</v>
      </c>
      <c r="I248" s="1575"/>
      <c r="J248" s="1574"/>
      <c r="K248" s="1574"/>
    </row>
    <row r="249" spans="1:11" ht="12.75" customHeight="1" x14ac:dyDescent="0.2">
      <c r="A249" s="436" t="s">
        <v>767</v>
      </c>
      <c r="B249" s="435">
        <v>4878</v>
      </c>
      <c r="C249" s="1598">
        <v>0</v>
      </c>
      <c r="D249" s="1574">
        <v>0</v>
      </c>
      <c r="E249" s="1574"/>
      <c r="F249" s="1574">
        <v>0</v>
      </c>
      <c r="G249" s="1574">
        <v>0</v>
      </c>
      <c r="H249" s="1574">
        <v>0</v>
      </c>
      <c r="I249" s="1575"/>
      <c r="J249" s="1574"/>
      <c r="K249" s="1574"/>
    </row>
    <row r="250" spans="1:11" ht="12.75" customHeight="1" x14ac:dyDescent="0.2">
      <c r="A250" s="436" t="s">
        <v>768</v>
      </c>
      <c r="B250" s="435">
        <v>4879</v>
      </c>
      <c r="C250" s="1598">
        <v>0</v>
      </c>
      <c r="D250" s="1574">
        <v>0</v>
      </c>
      <c r="E250" s="1574"/>
      <c r="F250" s="1574">
        <v>0</v>
      </c>
      <c r="G250" s="1574">
        <v>0</v>
      </c>
      <c r="H250" s="1574">
        <v>0</v>
      </c>
      <c r="I250" s="1575"/>
      <c r="J250" s="1574"/>
      <c r="K250" s="1574"/>
    </row>
    <row r="251" spans="1:11" ht="12.75" customHeight="1" x14ac:dyDescent="0.2">
      <c r="A251" s="220" t="s">
        <v>1438</v>
      </c>
      <c r="B251" s="486">
        <v>4880</v>
      </c>
      <c r="C251" s="1598">
        <v>0</v>
      </c>
      <c r="D251" s="1574">
        <v>0</v>
      </c>
      <c r="E251" s="1574"/>
      <c r="F251" s="1574">
        <v>0</v>
      </c>
      <c r="G251" s="1574">
        <v>0</v>
      </c>
      <c r="H251" s="1574">
        <v>0</v>
      </c>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12969</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4083</v>
      </c>
      <c r="D263" s="1651">
        <v>0</v>
      </c>
      <c r="E263" s="1575"/>
      <c r="F263" s="1651">
        <v>0</v>
      </c>
      <c r="G263" s="1651">
        <v>0</v>
      </c>
      <c r="H263" s="1575"/>
      <c r="I263" s="1575"/>
      <c r="J263" s="1575"/>
      <c r="K263" s="1575"/>
    </row>
    <row r="264" spans="1:11" ht="12.75" customHeight="1" thickTop="1" thickBot="1" x14ac:dyDescent="0.25">
      <c r="A264" s="427" t="s">
        <v>374</v>
      </c>
      <c r="B264" s="429">
        <v>4992</v>
      </c>
      <c r="C264" s="1650">
        <v>17401</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216609</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229781</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2230342</v>
      </c>
      <c r="D268" s="1641">
        <f t="shared" si="12"/>
        <v>132969</v>
      </c>
      <c r="E268" s="1641">
        <f t="shared" si="12"/>
        <v>212029</v>
      </c>
      <c r="F268" s="1641">
        <f t="shared" si="12"/>
        <v>195172</v>
      </c>
      <c r="G268" s="1641">
        <f t="shared" si="12"/>
        <v>28531</v>
      </c>
      <c r="H268" s="1641">
        <f t="shared" si="12"/>
        <v>169027</v>
      </c>
      <c r="I268" s="1641">
        <f t="shared" si="12"/>
        <v>29447</v>
      </c>
      <c r="J268" s="1641">
        <f t="shared" si="12"/>
        <v>194646</v>
      </c>
      <c r="K268" s="1629">
        <f t="shared" si="12"/>
        <v>14731</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0" firstPageNumber="9" fitToHeight="0"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A26" sqref="A26"/>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76"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310"/>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316" t="s">
        <v>294</v>
      </c>
      <c r="B3" s="2317"/>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875153</v>
      </c>
      <c r="D5" s="1573">
        <v>213354</v>
      </c>
      <c r="E5" s="1573">
        <v>45049</v>
      </c>
      <c r="F5" s="1573">
        <v>85732</v>
      </c>
      <c r="G5" s="1573">
        <v>0</v>
      </c>
      <c r="H5" s="1573">
        <v>0</v>
      </c>
      <c r="I5" s="1574">
        <v>0</v>
      </c>
      <c r="J5" s="1574">
        <v>0</v>
      </c>
      <c r="K5" s="1672">
        <f>SUM(C5:J5)</f>
        <v>1219288</v>
      </c>
      <c r="L5" s="1573">
        <v>1314568</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0</v>
      </c>
      <c r="D7" s="1574">
        <v>0</v>
      </c>
      <c r="E7" s="1574">
        <v>0</v>
      </c>
      <c r="F7" s="1574">
        <v>0</v>
      </c>
      <c r="G7" s="1574">
        <v>0</v>
      </c>
      <c r="H7" s="1574">
        <v>0</v>
      </c>
      <c r="I7" s="1574">
        <v>0</v>
      </c>
      <c r="J7" s="1574">
        <v>0</v>
      </c>
      <c r="K7" s="1672">
        <f t="shared" ref="K7:K32" si="0">SUM(C7:J7)</f>
        <v>0</v>
      </c>
      <c r="L7" s="1573">
        <v>0</v>
      </c>
    </row>
    <row r="8" spans="1:14" x14ac:dyDescent="0.2">
      <c r="A8" s="1274" t="s">
        <v>163</v>
      </c>
      <c r="B8" s="503">
        <v>1200</v>
      </c>
      <c r="C8" s="1573">
        <v>86843</v>
      </c>
      <c r="D8" s="1573">
        <v>10732</v>
      </c>
      <c r="E8" s="1573">
        <v>0</v>
      </c>
      <c r="F8" s="1573">
        <v>0</v>
      </c>
      <c r="G8" s="1573">
        <v>0</v>
      </c>
      <c r="H8" s="1573">
        <v>1303</v>
      </c>
      <c r="I8" s="1574">
        <v>0</v>
      </c>
      <c r="J8" s="1574">
        <v>0</v>
      </c>
      <c r="K8" s="1672">
        <f t="shared" si="0"/>
        <v>98878</v>
      </c>
      <c r="L8" s="1573">
        <v>139859</v>
      </c>
    </row>
    <row r="9" spans="1:14" x14ac:dyDescent="0.2">
      <c r="A9" s="1274" t="s">
        <v>716</v>
      </c>
      <c r="B9" s="503" t="s">
        <v>962</v>
      </c>
      <c r="C9" s="1574">
        <v>0</v>
      </c>
      <c r="D9" s="1574">
        <v>0</v>
      </c>
      <c r="E9" s="1574">
        <v>0</v>
      </c>
      <c r="F9" s="1574">
        <v>0</v>
      </c>
      <c r="G9" s="1574">
        <v>0</v>
      </c>
      <c r="H9" s="1574">
        <v>0</v>
      </c>
      <c r="I9" s="1574">
        <v>0</v>
      </c>
      <c r="J9" s="1574">
        <v>0</v>
      </c>
      <c r="K9" s="1672">
        <f t="shared" si="0"/>
        <v>0</v>
      </c>
      <c r="L9" s="1573">
        <v>0</v>
      </c>
    </row>
    <row r="10" spans="1:14" x14ac:dyDescent="0.2">
      <c r="A10" s="1274" t="s">
        <v>717</v>
      </c>
      <c r="B10" s="503">
        <v>1250</v>
      </c>
      <c r="C10" s="1573">
        <v>40000</v>
      </c>
      <c r="D10" s="1573">
        <v>13691</v>
      </c>
      <c r="E10" s="1573">
        <v>6465</v>
      </c>
      <c r="F10" s="1573">
        <v>31473</v>
      </c>
      <c r="G10" s="1573">
        <v>0</v>
      </c>
      <c r="H10" s="1573">
        <v>0</v>
      </c>
      <c r="I10" s="1574">
        <v>0</v>
      </c>
      <c r="J10" s="1574">
        <v>0</v>
      </c>
      <c r="K10" s="1672">
        <f t="shared" si="0"/>
        <v>91629</v>
      </c>
      <c r="L10" s="1573">
        <v>104594</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0</v>
      </c>
      <c r="D13" s="1573">
        <v>0</v>
      </c>
      <c r="E13" s="1573">
        <v>0</v>
      </c>
      <c r="F13" s="1573">
        <v>119</v>
      </c>
      <c r="G13" s="1573">
        <v>0</v>
      </c>
      <c r="H13" s="1573">
        <v>0</v>
      </c>
      <c r="I13" s="1574">
        <v>0</v>
      </c>
      <c r="J13" s="1574">
        <v>0</v>
      </c>
      <c r="K13" s="1672">
        <f t="shared" si="0"/>
        <v>119</v>
      </c>
      <c r="L13" s="1573">
        <v>250</v>
      </c>
    </row>
    <row r="14" spans="1:14" x14ac:dyDescent="0.2">
      <c r="A14" s="1274" t="s">
        <v>957</v>
      </c>
      <c r="B14" s="503">
        <v>1500</v>
      </c>
      <c r="C14" s="1573">
        <v>11000</v>
      </c>
      <c r="D14" s="1573">
        <v>820</v>
      </c>
      <c r="E14" s="1573">
        <v>0</v>
      </c>
      <c r="F14" s="1573">
        <v>0</v>
      </c>
      <c r="G14" s="1573">
        <v>0</v>
      </c>
      <c r="H14" s="1573">
        <v>5475</v>
      </c>
      <c r="I14" s="1574">
        <v>0</v>
      </c>
      <c r="J14" s="1574">
        <v>0</v>
      </c>
      <c r="K14" s="1672">
        <f t="shared" si="0"/>
        <v>17295</v>
      </c>
      <c r="L14" s="1573">
        <v>13505</v>
      </c>
    </row>
    <row r="15" spans="1:14" x14ac:dyDescent="0.2">
      <c r="A15" s="1274" t="s">
        <v>958</v>
      </c>
      <c r="B15" s="503">
        <v>1600</v>
      </c>
      <c r="C15" s="1573">
        <v>0</v>
      </c>
      <c r="D15" s="1573">
        <v>0</v>
      </c>
      <c r="E15" s="1573">
        <v>0</v>
      </c>
      <c r="F15" s="1573">
        <v>0</v>
      </c>
      <c r="G15" s="1573">
        <v>0</v>
      </c>
      <c r="H15" s="1573">
        <v>0</v>
      </c>
      <c r="I15" s="1574">
        <v>0</v>
      </c>
      <c r="J15" s="1574">
        <v>0</v>
      </c>
      <c r="K15" s="1672">
        <f t="shared" si="0"/>
        <v>0</v>
      </c>
      <c r="L15" s="1573">
        <v>0</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0</v>
      </c>
      <c r="D17" s="1574">
        <v>0</v>
      </c>
      <c r="E17" s="1574">
        <v>0</v>
      </c>
      <c r="F17" s="1574">
        <v>0</v>
      </c>
      <c r="G17" s="1574">
        <v>0</v>
      </c>
      <c r="H17" s="1574">
        <v>0</v>
      </c>
      <c r="I17" s="1574">
        <v>0</v>
      </c>
      <c r="J17" s="1574">
        <v>0</v>
      </c>
      <c r="K17" s="1672">
        <f t="shared" si="0"/>
        <v>0</v>
      </c>
      <c r="L17" s="1573">
        <v>0</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122945</v>
      </c>
      <c r="I22" s="1673"/>
      <c r="J22" s="1582"/>
      <c r="K22" s="1672">
        <f t="shared" si="0"/>
        <v>122945</v>
      </c>
      <c r="L22" s="1577">
        <v>80000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1012996</v>
      </c>
      <c r="D33" s="1674">
        <f t="shared" ref="D33:L33" si="1">SUM(D5:D32)</f>
        <v>238597</v>
      </c>
      <c r="E33" s="1674">
        <f t="shared" si="1"/>
        <v>51514</v>
      </c>
      <c r="F33" s="1674">
        <f t="shared" si="1"/>
        <v>117324</v>
      </c>
      <c r="G33" s="1674">
        <f t="shared" si="1"/>
        <v>0</v>
      </c>
      <c r="H33" s="1674">
        <f t="shared" si="1"/>
        <v>129723</v>
      </c>
      <c r="I33" s="1674">
        <f t="shared" si="1"/>
        <v>0</v>
      </c>
      <c r="J33" s="1674">
        <f t="shared" si="1"/>
        <v>0</v>
      </c>
      <c r="K33" s="1674">
        <f t="shared" si="1"/>
        <v>1550154</v>
      </c>
      <c r="L33" s="1674">
        <f t="shared" si="1"/>
        <v>1652776</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0</v>
      </c>
      <c r="D36" s="1586">
        <v>0</v>
      </c>
      <c r="E36" s="1586">
        <v>0</v>
      </c>
      <c r="F36" s="1586">
        <v>0</v>
      </c>
      <c r="G36" s="1586">
        <v>0</v>
      </c>
      <c r="H36" s="1586">
        <v>0</v>
      </c>
      <c r="I36" s="1574">
        <v>0</v>
      </c>
      <c r="J36" s="1574">
        <v>0</v>
      </c>
      <c r="K36" s="1672">
        <f t="shared" ref="K36:K41" si="2">SUM(C36:J36)</f>
        <v>0</v>
      </c>
      <c r="L36" s="1573">
        <v>0</v>
      </c>
    </row>
    <row r="37" spans="1:14" x14ac:dyDescent="0.2">
      <c r="A37" s="1274" t="s">
        <v>1081</v>
      </c>
      <c r="B37" s="503">
        <v>2120</v>
      </c>
      <c r="C37" s="1573">
        <v>0</v>
      </c>
      <c r="D37" s="1573">
        <v>0</v>
      </c>
      <c r="E37" s="1573">
        <v>7000</v>
      </c>
      <c r="F37" s="1573">
        <v>0</v>
      </c>
      <c r="G37" s="1573">
        <v>0</v>
      </c>
      <c r="H37" s="1573">
        <v>0</v>
      </c>
      <c r="I37" s="1574">
        <v>0</v>
      </c>
      <c r="J37" s="1574">
        <v>0</v>
      </c>
      <c r="K37" s="1672">
        <f t="shared" si="2"/>
        <v>7000</v>
      </c>
      <c r="L37" s="1573">
        <v>7000</v>
      </c>
    </row>
    <row r="38" spans="1:14" x14ac:dyDescent="0.2">
      <c r="A38" s="1274" t="s">
        <v>196</v>
      </c>
      <c r="B38" s="503">
        <v>2130</v>
      </c>
      <c r="C38" s="1573">
        <v>0</v>
      </c>
      <c r="D38" s="1573">
        <v>0</v>
      </c>
      <c r="E38" s="1573">
        <v>199</v>
      </c>
      <c r="F38" s="1573">
        <v>190</v>
      </c>
      <c r="G38" s="1573">
        <v>0</v>
      </c>
      <c r="H38" s="1573">
        <v>0</v>
      </c>
      <c r="I38" s="1573">
        <v>0</v>
      </c>
      <c r="J38" s="1573">
        <v>0</v>
      </c>
      <c r="K38" s="1672">
        <f t="shared" si="2"/>
        <v>389</v>
      </c>
      <c r="L38" s="1573">
        <v>650</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0</v>
      </c>
    </row>
    <row r="40" spans="1:14" x14ac:dyDescent="0.2">
      <c r="A40" s="1274" t="s">
        <v>198</v>
      </c>
      <c r="B40" s="503">
        <v>2150</v>
      </c>
      <c r="C40" s="1573">
        <v>59030</v>
      </c>
      <c r="D40" s="1573">
        <v>14434</v>
      </c>
      <c r="E40" s="1573">
        <v>0</v>
      </c>
      <c r="F40" s="1573">
        <v>0</v>
      </c>
      <c r="G40" s="1573">
        <v>0</v>
      </c>
      <c r="H40" s="1573">
        <v>0</v>
      </c>
      <c r="I40" s="1574">
        <v>0</v>
      </c>
      <c r="J40" s="1574">
        <v>0</v>
      </c>
      <c r="K40" s="1672">
        <f t="shared" si="2"/>
        <v>73464</v>
      </c>
      <c r="L40" s="1573">
        <v>74733</v>
      </c>
    </row>
    <row r="41" spans="1:14" x14ac:dyDescent="0.2">
      <c r="A41" s="1274" t="s">
        <v>1650</v>
      </c>
      <c r="B41" s="503">
        <v>2190</v>
      </c>
      <c r="C41" s="1573">
        <v>0</v>
      </c>
      <c r="D41" s="1573">
        <v>0</v>
      </c>
      <c r="E41" s="1573">
        <v>1836</v>
      </c>
      <c r="F41" s="1573">
        <v>0</v>
      </c>
      <c r="G41" s="1573">
        <v>0</v>
      </c>
      <c r="H41" s="1573">
        <v>0</v>
      </c>
      <c r="I41" s="1574">
        <v>0</v>
      </c>
      <c r="J41" s="1574">
        <v>0</v>
      </c>
      <c r="K41" s="1672">
        <f t="shared" si="2"/>
        <v>1836</v>
      </c>
      <c r="L41" s="1573">
        <v>2400</v>
      </c>
    </row>
    <row r="42" spans="1:14" ht="12.75" customHeight="1" thickBot="1" x14ac:dyDescent="0.25">
      <c r="A42" s="1380" t="s">
        <v>556</v>
      </c>
      <c r="B42" s="1381" t="s">
        <v>711</v>
      </c>
      <c r="C42" s="1674">
        <f>SUM(C36:C41)</f>
        <v>59030</v>
      </c>
      <c r="D42" s="1674">
        <f t="shared" ref="D42:L42" si="3">SUM(D36:D41)</f>
        <v>14434</v>
      </c>
      <c r="E42" s="1674">
        <f t="shared" si="3"/>
        <v>9035</v>
      </c>
      <c r="F42" s="1674">
        <f t="shared" si="3"/>
        <v>190</v>
      </c>
      <c r="G42" s="1674">
        <f t="shared" si="3"/>
        <v>0</v>
      </c>
      <c r="H42" s="1674">
        <f t="shared" si="3"/>
        <v>0</v>
      </c>
      <c r="I42" s="1674">
        <f t="shared" si="3"/>
        <v>0</v>
      </c>
      <c r="J42" s="1674">
        <f t="shared" si="3"/>
        <v>0</v>
      </c>
      <c r="K42" s="1674">
        <f t="shared" si="3"/>
        <v>82689</v>
      </c>
      <c r="L42" s="1674">
        <f t="shared" si="3"/>
        <v>84783</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3870</v>
      </c>
      <c r="D44" s="1586">
        <v>0</v>
      </c>
      <c r="E44" s="1586">
        <v>12105</v>
      </c>
      <c r="F44" s="1586">
        <v>0</v>
      </c>
      <c r="G44" s="1586">
        <v>0</v>
      </c>
      <c r="H44" s="1586">
        <v>0</v>
      </c>
      <c r="I44" s="1574">
        <v>0</v>
      </c>
      <c r="J44" s="1574">
        <v>0</v>
      </c>
      <c r="K44" s="1678">
        <f>SUM(C44:J44)</f>
        <v>15975</v>
      </c>
      <c r="L44" s="1586">
        <v>17178</v>
      </c>
    </row>
    <row r="45" spans="1:14" x14ac:dyDescent="0.2">
      <c r="A45" s="1274" t="s">
        <v>810</v>
      </c>
      <c r="B45" s="503">
        <v>2220</v>
      </c>
      <c r="C45" s="1573">
        <v>4966</v>
      </c>
      <c r="D45" s="1573">
        <v>1406</v>
      </c>
      <c r="E45" s="1573">
        <v>9170</v>
      </c>
      <c r="F45" s="1573">
        <v>483</v>
      </c>
      <c r="G45" s="1573">
        <v>3519</v>
      </c>
      <c r="H45" s="1573">
        <v>0</v>
      </c>
      <c r="I45" s="1574">
        <v>0</v>
      </c>
      <c r="J45" s="1574">
        <v>0</v>
      </c>
      <c r="K45" s="1678">
        <f>SUM(C45:J45)</f>
        <v>19544</v>
      </c>
      <c r="L45" s="1573">
        <v>25695</v>
      </c>
    </row>
    <row r="46" spans="1:14" x14ac:dyDescent="0.2">
      <c r="A46" s="1274" t="s">
        <v>811</v>
      </c>
      <c r="B46" s="503">
        <v>2230</v>
      </c>
      <c r="C46" s="1573">
        <v>0</v>
      </c>
      <c r="D46" s="1573">
        <v>0</v>
      </c>
      <c r="E46" s="1573">
        <v>324</v>
      </c>
      <c r="F46" s="1573">
        <v>0</v>
      </c>
      <c r="G46" s="1573">
        <v>0</v>
      </c>
      <c r="H46" s="1573">
        <v>0</v>
      </c>
      <c r="I46" s="1574">
        <v>0</v>
      </c>
      <c r="J46" s="1574">
        <v>0</v>
      </c>
      <c r="K46" s="1678">
        <f>SUM(C46:J46)</f>
        <v>324</v>
      </c>
      <c r="L46" s="1573">
        <v>2500</v>
      </c>
    </row>
    <row r="47" spans="1:14" ht="12.75" customHeight="1" thickBot="1" x14ac:dyDescent="0.25">
      <c r="A47" s="1380" t="s">
        <v>557</v>
      </c>
      <c r="B47" s="1381" t="s">
        <v>32</v>
      </c>
      <c r="C47" s="1674">
        <f>SUM(C44:C46)</f>
        <v>8836</v>
      </c>
      <c r="D47" s="1674">
        <f t="shared" ref="D47:K47" si="4">SUM(D44:D46)</f>
        <v>1406</v>
      </c>
      <c r="E47" s="1674">
        <f t="shared" si="4"/>
        <v>21599</v>
      </c>
      <c r="F47" s="1674">
        <f t="shared" si="4"/>
        <v>483</v>
      </c>
      <c r="G47" s="1674">
        <f t="shared" si="4"/>
        <v>3519</v>
      </c>
      <c r="H47" s="1674">
        <f t="shared" si="4"/>
        <v>0</v>
      </c>
      <c r="I47" s="1674">
        <f t="shared" si="4"/>
        <v>0</v>
      </c>
      <c r="J47" s="1674">
        <f t="shared" si="4"/>
        <v>0</v>
      </c>
      <c r="K47" s="1674">
        <f t="shared" si="4"/>
        <v>35843</v>
      </c>
      <c r="L47" s="1674">
        <f>SUM(L44:L46)</f>
        <v>45373</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1000</v>
      </c>
      <c r="D49" s="1586">
        <v>0</v>
      </c>
      <c r="E49" s="1586">
        <v>12310</v>
      </c>
      <c r="F49" s="1586">
        <v>800</v>
      </c>
      <c r="G49" s="1586">
        <v>0</v>
      </c>
      <c r="H49" s="1586">
        <v>8719</v>
      </c>
      <c r="I49" s="1574">
        <v>0</v>
      </c>
      <c r="J49" s="1574">
        <v>0</v>
      </c>
      <c r="K49" s="1678">
        <f>SUM(C49:J49)</f>
        <v>22829</v>
      </c>
      <c r="L49" s="1586">
        <v>30150</v>
      </c>
    </row>
    <row r="50" spans="1:14" x14ac:dyDescent="0.2">
      <c r="A50" s="1274" t="s">
        <v>813</v>
      </c>
      <c r="B50" s="503">
        <v>2320</v>
      </c>
      <c r="C50" s="1574">
        <v>95957</v>
      </c>
      <c r="D50" s="1573">
        <v>37526</v>
      </c>
      <c r="E50" s="1573">
        <v>2604</v>
      </c>
      <c r="F50" s="1573">
        <v>0</v>
      </c>
      <c r="G50" s="1573">
        <v>0</v>
      </c>
      <c r="H50" s="1573">
        <v>0</v>
      </c>
      <c r="I50" s="1574">
        <v>0</v>
      </c>
      <c r="J50" s="1574">
        <v>0</v>
      </c>
      <c r="K50" s="1678">
        <f>SUM(C50:J50)</f>
        <v>136087</v>
      </c>
      <c r="L50" s="1573">
        <v>134559</v>
      </c>
    </row>
    <row r="51" spans="1:14" x14ac:dyDescent="0.2">
      <c r="A51" s="1274" t="s">
        <v>42</v>
      </c>
      <c r="B51" s="503">
        <v>2330</v>
      </c>
      <c r="C51" s="1573">
        <v>0</v>
      </c>
      <c r="D51" s="1573">
        <v>0</v>
      </c>
      <c r="E51" s="1573">
        <v>0</v>
      </c>
      <c r="F51" s="1573">
        <v>0</v>
      </c>
      <c r="G51" s="1573">
        <v>0</v>
      </c>
      <c r="H51" s="1573">
        <v>0</v>
      </c>
      <c r="I51" s="1574">
        <v>0</v>
      </c>
      <c r="J51" s="1574">
        <v>0</v>
      </c>
      <c r="K51" s="1678">
        <f>SUM(C51:J51)</f>
        <v>0</v>
      </c>
      <c r="L51" s="1573">
        <v>0</v>
      </c>
    </row>
    <row r="52" spans="1:14" ht="22.5" x14ac:dyDescent="0.2">
      <c r="A52" s="1275" t="s">
        <v>295</v>
      </c>
      <c r="B52" s="511" t="s">
        <v>363</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712</v>
      </c>
      <c r="B53" s="1381" t="s">
        <v>33</v>
      </c>
      <c r="C53" s="1674">
        <f>SUM(C49:C52)</f>
        <v>96957</v>
      </c>
      <c r="D53" s="1674">
        <f t="shared" ref="D53:L53" si="5">SUM(D49:D52)</f>
        <v>37526</v>
      </c>
      <c r="E53" s="1674">
        <f t="shared" si="5"/>
        <v>14914</v>
      </c>
      <c r="F53" s="1674">
        <f t="shared" si="5"/>
        <v>800</v>
      </c>
      <c r="G53" s="1674">
        <f t="shared" si="5"/>
        <v>0</v>
      </c>
      <c r="H53" s="1674">
        <f t="shared" si="5"/>
        <v>8719</v>
      </c>
      <c r="I53" s="1674">
        <f t="shared" si="5"/>
        <v>0</v>
      </c>
      <c r="J53" s="1674">
        <f t="shared" si="5"/>
        <v>0</v>
      </c>
      <c r="K53" s="1674">
        <f t="shared" si="5"/>
        <v>158916</v>
      </c>
      <c r="L53" s="1674">
        <f t="shared" si="5"/>
        <v>164709</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24088</v>
      </c>
      <c r="D55" s="1586">
        <v>6167</v>
      </c>
      <c r="E55" s="1586">
        <v>3926</v>
      </c>
      <c r="F55" s="1586">
        <v>2485</v>
      </c>
      <c r="G55" s="1586">
        <v>0</v>
      </c>
      <c r="H55" s="1586">
        <v>804</v>
      </c>
      <c r="I55" s="1574">
        <v>0</v>
      </c>
      <c r="J55" s="1574">
        <v>0</v>
      </c>
      <c r="K55" s="1678">
        <f>SUM(C55:J55)</f>
        <v>37470</v>
      </c>
      <c r="L55" s="1586">
        <v>42445</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24088</v>
      </c>
      <c r="D57" s="1679">
        <f t="shared" ref="D57:K57" si="6">SUM(D55:D56)</f>
        <v>6167</v>
      </c>
      <c r="E57" s="1679">
        <f t="shared" si="6"/>
        <v>3926</v>
      </c>
      <c r="F57" s="1679">
        <f t="shared" si="6"/>
        <v>2485</v>
      </c>
      <c r="G57" s="1679">
        <f t="shared" si="6"/>
        <v>0</v>
      </c>
      <c r="H57" s="1679">
        <f t="shared" si="6"/>
        <v>804</v>
      </c>
      <c r="I57" s="1679">
        <f t="shared" si="6"/>
        <v>0</v>
      </c>
      <c r="J57" s="1679">
        <f t="shared" si="6"/>
        <v>0</v>
      </c>
      <c r="K57" s="1679">
        <f t="shared" si="6"/>
        <v>37470</v>
      </c>
      <c r="L57" s="1674">
        <f>SUM(L55:L56)</f>
        <v>42445</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43647</v>
      </c>
      <c r="D60" s="1573">
        <v>7680</v>
      </c>
      <c r="E60" s="1573">
        <v>11590</v>
      </c>
      <c r="F60" s="1573">
        <v>106</v>
      </c>
      <c r="G60" s="1573">
        <v>0</v>
      </c>
      <c r="H60" s="1573">
        <v>0</v>
      </c>
      <c r="I60" s="1574">
        <v>0</v>
      </c>
      <c r="J60" s="1574">
        <v>0</v>
      </c>
      <c r="K60" s="1678">
        <f t="shared" si="7"/>
        <v>63023</v>
      </c>
      <c r="L60" s="1573">
        <v>55785</v>
      </c>
      <c r="M60" s="501"/>
      <c r="N60" s="501"/>
    </row>
    <row r="61" spans="1:14" s="321" customFormat="1" x14ac:dyDescent="0.2">
      <c r="A61" s="1274" t="s">
        <v>195</v>
      </c>
      <c r="B61" s="503">
        <v>2540</v>
      </c>
      <c r="C61" s="1573">
        <v>59439</v>
      </c>
      <c r="D61" s="1573">
        <v>15282</v>
      </c>
      <c r="E61" s="1573">
        <v>480</v>
      </c>
      <c r="F61" s="1573">
        <v>0</v>
      </c>
      <c r="G61" s="1573">
        <v>0</v>
      </c>
      <c r="H61" s="1573">
        <v>0</v>
      </c>
      <c r="I61" s="1574">
        <v>0</v>
      </c>
      <c r="J61" s="1574">
        <v>0</v>
      </c>
      <c r="K61" s="1678">
        <f t="shared" si="7"/>
        <v>75201</v>
      </c>
      <c r="L61" s="1573">
        <v>72755</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0</v>
      </c>
      <c r="D63" s="1573">
        <v>0</v>
      </c>
      <c r="E63" s="1573">
        <v>33403</v>
      </c>
      <c r="F63" s="1573">
        <v>0</v>
      </c>
      <c r="G63" s="1573">
        <v>0</v>
      </c>
      <c r="H63" s="1573">
        <v>0</v>
      </c>
      <c r="I63" s="1574">
        <v>0</v>
      </c>
      <c r="J63" s="1574">
        <v>0</v>
      </c>
      <c r="K63" s="1678">
        <f t="shared" si="7"/>
        <v>33403</v>
      </c>
      <c r="L63" s="1573">
        <v>47500</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103086</v>
      </c>
      <c r="D65" s="1674">
        <f t="shared" ref="D65:L65" si="8">SUM(D59:D64)</f>
        <v>22962</v>
      </c>
      <c r="E65" s="1674">
        <f t="shared" si="8"/>
        <v>45473</v>
      </c>
      <c r="F65" s="1674">
        <f t="shared" si="8"/>
        <v>106</v>
      </c>
      <c r="G65" s="1674">
        <f t="shared" si="8"/>
        <v>0</v>
      </c>
      <c r="H65" s="1674">
        <f t="shared" si="8"/>
        <v>0</v>
      </c>
      <c r="I65" s="1674">
        <f t="shared" si="8"/>
        <v>0</v>
      </c>
      <c r="J65" s="1674">
        <f t="shared" si="8"/>
        <v>0</v>
      </c>
      <c r="K65" s="1674">
        <f t="shared" si="8"/>
        <v>171627</v>
      </c>
      <c r="L65" s="1674">
        <f t="shared" si="8"/>
        <v>176040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0</v>
      </c>
      <c r="D71" s="1573">
        <v>0</v>
      </c>
      <c r="E71" s="1573">
        <v>0</v>
      </c>
      <c r="F71" s="1573">
        <v>0</v>
      </c>
      <c r="G71" s="1573">
        <v>0</v>
      </c>
      <c r="H71" s="1573">
        <v>0</v>
      </c>
      <c r="I71" s="1574">
        <v>0</v>
      </c>
      <c r="J71" s="1574">
        <v>0</v>
      </c>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v>0</v>
      </c>
      <c r="D73" s="1649">
        <v>0</v>
      </c>
      <c r="E73" s="1649">
        <v>0</v>
      </c>
      <c r="F73" s="1649">
        <v>0</v>
      </c>
      <c r="G73" s="1649">
        <v>0</v>
      </c>
      <c r="H73" s="1649">
        <v>0</v>
      </c>
      <c r="I73" s="1627">
        <v>0</v>
      </c>
      <c r="J73" s="1627">
        <v>0</v>
      </c>
      <c r="K73" s="1674">
        <f>SUM(C73:J73)</f>
        <v>0</v>
      </c>
      <c r="L73" s="1651">
        <v>0</v>
      </c>
      <c r="M73" s="501"/>
      <c r="N73" s="501"/>
    </row>
    <row r="74" spans="1:14" ht="12.75" customHeight="1" thickTop="1" thickBot="1" x14ac:dyDescent="0.25">
      <c r="A74" s="1380" t="s">
        <v>806</v>
      </c>
      <c r="B74" s="1384">
        <v>2000</v>
      </c>
      <c r="C74" s="1681">
        <f>SUM(C42,C47,C53,C57,C65,C72,C73)</f>
        <v>291997</v>
      </c>
      <c r="D74" s="1681">
        <f t="shared" ref="D74:K74" si="10">SUM(D42,D47,D53,D57,D65,D72,D73)</f>
        <v>82495</v>
      </c>
      <c r="E74" s="1681">
        <f t="shared" si="10"/>
        <v>94947</v>
      </c>
      <c r="F74" s="1681">
        <f t="shared" si="10"/>
        <v>4064</v>
      </c>
      <c r="G74" s="1681">
        <f t="shared" si="10"/>
        <v>3519</v>
      </c>
      <c r="H74" s="1681">
        <f t="shared" si="10"/>
        <v>9523</v>
      </c>
      <c r="I74" s="1681">
        <f t="shared" si="10"/>
        <v>0</v>
      </c>
      <c r="J74" s="1681">
        <f t="shared" si="10"/>
        <v>0</v>
      </c>
      <c r="K74" s="1681">
        <f t="shared" si="10"/>
        <v>486545</v>
      </c>
      <c r="L74" s="1681">
        <f>SUM(L42,L47,L53,L57,L65,L72,L73)</f>
        <v>513350</v>
      </c>
    </row>
    <row r="75" spans="1:14" s="254" customFormat="1" ht="15.75" customHeight="1" thickTop="1" thickBot="1" x14ac:dyDescent="0.25">
      <c r="A75" s="1348" t="s">
        <v>47</v>
      </c>
      <c r="B75" s="1349" t="s">
        <v>571</v>
      </c>
      <c r="C75" s="1649">
        <v>0</v>
      </c>
      <c r="D75" s="1649">
        <v>0</v>
      </c>
      <c r="E75" s="1649">
        <v>0</v>
      </c>
      <c r="F75" s="1649">
        <v>1120</v>
      </c>
      <c r="G75" s="1649">
        <v>0</v>
      </c>
      <c r="H75" s="1649">
        <v>0</v>
      </c>
      <c r="I75" s="1627">
        <v>0</v>
      </c>
      <c r="J75" s="1627">
        <v>0</v>
      </c>
      <c r="K75" s="1674">
        <f>SUM(C75:J75)</f>
        <v>1120</v>
      </c>
      <c r="L75" s="1651">
        <v>1574</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0</v>
      </c>
      <c r="F78" s="1673"/>
      <c r="G78" s="1673"/>
      <c r="H78" s="1682">
        <v>0</v>
      </c>
      <c r="I78" s="1582"/>
      <c r="J78" s="1582"/>
      <c r="K78" s="1672">
        <f t="shared" ref="K78:K83" si="11">SUM(C78:J78)</f>
        <v>0</v>
      </c>
      <c r="L78" s="1586">
        <v>0</v>
      </c>
    </row>
    <row r="79" spans="1:14" x14ac:dyDescent="0.2">
      <c r="A79" s="1274" t="s">
        <v>301</v>
      </c>
      <c r="B79" s="503">
        <v>4120</v>
      </c>
      <c r="C79" s="1673"/>
      <c r="D79" s="1673"/>
      <c r="E79" s="1573">
        <v>0</v>
      </c>
      <c r="F79" s="1673"/>
      <c r="G79" s="1673"/>
      <c r="H79" s="1573">
        <v>130627</v>
      </c>
      <c r="I79" s="1582"/>
      <c r="J79" s="1582"/>
      <c r="K79" s="1672">
        <f t="shared" si="11"/>
        <v>130627</v>
      </c>
      <c r="L79" s="1573">
        <v>90000</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0</v>
      </c>
      <c r="I81" s="1582"/>
      <c r="J81" s="1582"/>
      <c r="K81" s="1672">
        <f t="shared" si="11"/>
        <v>0</v>
      </c>
      <c r="L81" s="1573">
        <v>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1677</v>
      </c>
      <c r="F83" s="1673"/>
      <c r="G83" s="1673"/>
      <c r="H83" s="1573">
        <v>0</v>
      </c>
      <c r="I83" s="1582"/>
      <c r="J83" s="1582"/>
      <c r="K83" s="1672">
        <f t="shared" si="11"/>
        <v>1677</v>
      </c>
      <c r="L83" s="1573">
        <v>2585</v>
      </c>
    </row>
    <row r="84" spans="1:12" ht="13.5" thickBot="1" x14ac:dyDescent="0.25">
      <c r="A84" s="1380" t="s">
        <v>1468</v>
      </c>
      <c r="B84" s="1385">
        <v>4100</v>
      </c>
      <c r="C84" s="1673"/>
      <c r="D84" s="1673"/>
      <c r="E84" s="1674">
        <f>SUM(E78:E83)</f>
        <v>1677</v>
      </c>
      <c r="F84" s="1673"/>
      <c r="G84" s="1673"/>
      <c r="H84" s="1674">
        <f>SUM(H78:H83)</f>
        <v>130627</v>
      </c>
      <c r="I84" s="1582"/>
      <c r="J84" s="1582"/>
      <c r="K84" s="1674">
        <f>SUM(K78:K83)</f>
        <v>132304</v>
      </c>
      <c r="L84" s="1674">
        <f>SUM(L78:L83)</f>
        <v>92585</v>
      </c>
    </row>
    <row r="85" spans="1:12" ht="12.75" customHeight="1" thickTop="1" thickBot="1" x14ac:dyDescent="0.25">
      <c r="A85" s="1281" t="s">
        <v>253</v>
      </c>
      <c r="B85" s="517">
        <v>4210</v>
      </c>
      <c r="C85" s="1673"/>
      <c r="D85" s="1673"/>
      <c r="E85" s="1683"/>
      <c r="F85" s="1673"/>
      <c r="G85" s="1673"/>
      <c r="H85" s="1630">
        <v>0</v>
      </c>
      <c r="I85" s="1582"/>
      <c r="J85" s="1582"/>
      <c r="K85" s="1681">
        <f>H85</f>
        <v>0</v>
      </c>
      <c r="L85" s="1626">
        <v>0</v>
      </c>
    </row>
    <row r="86" spans="1:12" ht="12.75" customHeight="1" thickTop="1" thickBot="1" x14ac:dyDescent="0.25">
      <c r="A86" s="1282" t="s">
        <v>694</v>
      </c>
      <c r="B86" s="518">
        <v>4220</v>
      </c>
      <c r="C86" s="1673"/>
      <c r="D86" s="1673"/>
      <c r="E86" s="1684"/>
      <c r="F86" s="1673"/>
      <c r="G86" s="1673"/>
      <c r="H86" s="1574">
        <v>0</v>
      </c>
      <c r="I86" s="1582"/>
      <c r="J86" s="1582"/>
      <c r="K86" s="1681">
        <f t="shared" ref="K86:K98" si="12">H86</f>
        <v>0</v>
      </c>
      <c r="L86" s="1626">
        <v>0</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0</v>
      </c>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1677</v>
      </c>
      <c r="F102" s="1673"/>
      <c r="G102" s="1673"/>
      <c r="H102" s="1681">
        <f>SUM(H84,H92,H100,H101)</f>
        <v>130627</v>
      </c>
      <c r="I102" s="1582"/>
      <c r="J102" s="1582"/>
      <c r="K102" s="1681">
        <f>SUM(K84,K92,K100,K101)</f>
        <v>132304</v>
      </c>
      <c r="L102" s="1681">
        <f>SUM(L84,L92,L100,L101)</f>
        <v>92585</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1304993</v>
      </c>
      <c r="D114" s="1674">
        <f t="shared" ref="D114:K114" si="13">SUM(D33,D74,D75,D102,D112,D113)</f>
        <v>321092</v>
      </c>
      <c r="E114" s="1674">
        <f t="shared" si="13"/>
        <v>148138</v>
      </c>
      <c r="F114" s="1674">
        <f t="shared" si="13"/>
        <v>122508</v>
      </c>
      <c r="G114" s="1674">
        <f t="shared" si="13"/>
        <v>3519</v>
      </c>
      <c r="H114" s="1674">
        <f>SUM(H33,H74,H75,H102,H112,H113)</f>
        <v>269873</v>
      </c>
      <c r="I114" s="1674">
        <f t="shared" si="13"/>
        <v>0</v>
      </c>
      <c r="J114" s="1674">
        <f t="shared" si="13"/>
        <v>0</v>
      </c>
      <c r="K114" s="1674">
        <f t="shared" si="13"/>
        <v>2170123</v>
      </c>
      <c r="L114" s="1674">
        <f>SUM(L33,L74,L75,L102,L112,L113)</f>
        <v>2260285</v>
      </c>
    </row>
    <row r="115" spans="1:14" ht="13.5" thickTop="1" x14ac:dyDescent="0.2">
      <c r="A115" s="2308" t="s">
        <v>989</v>
      </c>
      <c r="B115" s="2309"/>
      <c r="C115" s="1675"/>
      <c r="D115" s="1675"/>
      <c r="E115" s="1675"/>
      <c r="F115" s="1675"/>
      <c r="G115" s="1675"/>
      <c r="H115" s="1675"/>
      <c r="I115" s="1675"/>
      <c r="J115" s="1675"/>
      <c r="K115" s="1689">
        <f>'Revenues 9-14'!C268-'Expenditures 15-22'!K114</f>
        <v>60219</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313" t="s">
        <v>293</v>
      </c>
      <c r="B117" s="2314"/>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0</v>
      </c>
      <c r="D124" s="1573">
        <v>0</v>
      </c>
      <c r="E124" s="1573">
        <v>44189</v>
      </c>
      <c r="F124" s="1573">
        <v>34389</v>
      </c>
      <c r="G124" s="1573">
        <v>23058</v>
      </c>
      <c r="H124" s="1573">
        <v>0</v>
      </c>
      <c r="I124" s="1574">
        <v>0</v>
      </c>
      <c r="J124" s="1574">
        <v>0</v>
      </c>
      <c r="K124" s="1674">
        <f>SUM(C124:J124)</f>
        <v>101636</v>
      </c>
      <c r="L124" s="1573">
        <v>112400</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0</v>
      </c>
      <c r="D127" s="1674">
        <f t="shared" ref="D127:L127" si="14">SUM(D122:D126)</f>
        <v>0</v>
      </c>
      <c r="E127" s="1674">
        <f t="shared" si="14"/>
        <v>44189</v>
      </c>
      <c r="F127" s="1674">
        <f t="shared" si="14"/>
        <v>34389</v>
      </c>
      <c r="G127" s="1674">
        <f t="shared" si="14"/>
        <v>23058</v>
      </c>
      <c r="H127" s="1674">
        <f t="shared" si="14"/>
        <v>0</v>
      </c>
      <c r="I127" s="1674">
        <f t="shared" si="14"/>
        <v>0</v>
      </c>
      <c r="J127" s="1674">
        <f t="shared" si="14"/>
        <v>0</v>
      </c>
      <c r="K127" s="1674">
        <f t="shared" si="14"/>
        <v>101636</v>
      </c>
      <c r="L127" s="1674">
        <f t="shared" si="14"/>
        <v>112400</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0</v>
      </c>
      <c r="D129" s="1681">
        <f t="shared" ref="D129:L129" si="15">SUM(D120,D127,D128)</f>
        <v>0</v>
      </c>
      <c r="E129" s="1681">
        <f t="shared" si="15"/>
        <v>44189</v>
      </c>
      <c r="F129" s="1681">
        <f t="shared" si="15"/>
        <v>34389</v>
      </c>
      <c r="G129" s="1681">
        <f t="shared" si="15"/>
        <v>23058</v>
      </c>
      <c r="H129" s="1681">
        <f t="shared" si="15"/>
        <v>0</v>
      </c>
      <c r="I129" s="1681">
        <f t="shared" si="15"/>
        <v>0</v>
      </c>
      <c r="J129" s="1681">
        <f t="shared" si="15"/>
        <v>0</v>
      </c>
      <c r="K129" s="1681">
        <f t="shared" si="15"/>
        <v>101636</v>
      </c>
      <c r="L129" s="1681">
        <f t="shared" si="15"/>
        <v>112400</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325" t="s">
        <v>616</v>
      </c>
      <c r="B151" s="2305"/>
      <c r="C151" s="1674">
        <f>SUM(C129,C130,C139,C149,C150)</f>
        <v>0</v>
      </c>
      <c r="D151" s="1674">
        <f t="shared" ref="D151:K151" si="16">SUM(D129,D130,D139,D149,D150)</f>
        <v>0</v>
      </c>
      <c r="E151" s="1674">
        <f t="shared" si="16"/>
        <v>44189</v>
      </c>
      <c r="F151" s="1674">
        <f t="shared" si="16"/>
        <v>34389</v>
      </c>
      <c r="G151" s="1674">
        <f t="shared" si="16"/>
        <v>23058</v>
      </c>
      <c r="H151" s="1674">
        <f t="shared" si="16"/>
        <v>0</v>
      </c>
      <c r="I151" s="1674">
        <f t="shared" si="16"/>
        <v>0</v>
      </c>
      <c r="J151" s="1674">
        <f t="shared" si="16"/>
        <v>0</v>
      </c>
      <c r="K151" s="1674">
        <f t="shared" si="16"/>
        <v>101636</v>
      </c>
      <c r="L151" s="1674">
        <f>SUM(L129,L130,L139,L149,L150)</f>
        <v>112400</v>
      </c>
    </row>
    <row r="152" spans="1:14" ht="12.75" customHeight="1" thickTop="1" x14ac:dyDescent="0.2">
      <c r="A152" s="2328" t="s">
        <v>1168</v>
      </c>
      <c r="B152" s="2329"/>
      <c r="C152" s="1675"/>
      <c r="D152" s="1675"/>
      <c r="E152" s="1675"/>
      <c r="F152" s="1675"/>
      <c r="G152" s="1675"/>
      <c r="H152" s="1675"/>
      <c r="I152" s="1675"/>
      <c r="J152" s="1673"/>
      <c r="K152" s="1689">
        <f>'Revenues 9-14'!D268-'Expenditures 15-22'!K151</f>
        <v>31333</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313" t="s">
        <v>617</v>
      </c>
      <c r="B154" s="2315"/>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4">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48095</v>
      </c>
      <c r="I169" s="1673"/>
      <c r="J169" s="1673"/>
      <c r="K169" s="1672">
        <f>SUM(C169:H169)</f>
        <v>48095</v>
      </c>
      <c r="L169" s="1695">
        <v>48095</v>
      </c>
    </row>
    <row r="170" spans="1:14" ht="33.75" customHeight="1" x14ac:dyDescent="0.2">
      <c r="A170" s="543" t="s">
        <v>1651</v>
      </c>
      <c r="B170" s="545" t="s">
        <v>31</v>
      </c>
      <c r="C170" s="1673"/>
      <c r="D170" s="1673"/>
      <c r="E170" s="1673"/>
      <c r="F170" s="1673"/>
      <c r="G170" s="1673"/>
      <c r="H170" s="1646">
        <v>160000</v>
      </c>
      <c r="I170" s="1673"/>
      <c r="J170" s="1673"/>
      <c r="K170" s="1672">
        <f>SUM(C170:J170)</f>
        <v>160000</v>
      </c>
      <c r="L170" s="1646">
        <v>160000</v>
      </c>
    </row>
    <row r="171" spans="1:14" ht="15.75" customHeight="1" x14ac:dyDescent="0.2">
      <c r="A171" s="507" t="s">
        <v>761</v>
      </c>
      <c r="B171" s="546" t="s">
        <v>84</v>
      </c>
      <c r="C171" s="1673"/>
      <c r="D171" s="1673"/>
      <c r="E171" s="1573">
        <v>0</v>
      </c>
      <c r="F171" s="1673"/>
      <c r="G171" s="1673"/>
      <c r="H171" s="1646">
        <v>9468</v>
      </c>
      <c r="I171" s="1582"/>
      <c r="J171" s="1673"/>
      <c r="K171" s="1672">
        <f>SUM(C171:J171)</f>
        <v>9468</v>
      </c>
      <c r="L171" s="1646">
        <v>9400</v>
      </c>
    </row>
    <row r="172" spans="1:14" ht="12.75" customHeight="1" thickBot="1" x14ac:dyDescent="0.25">
      <c r="A172" s="1380" t="s">
        <v>633</v>
      </c>
      <c r="B172" s="1381" t="s">
        <v>489</v>
      </c>
      <c r="C172" s="1673"/>
      <c r="D172" s="1673"/>
      <c r="E172" s="1681">
        <f>SUM(E168,E169,E170,E171)</f>
        <v>0</v>
      </c>
      <c r="F172" s="1673"/>
      <c r="G172" s="1673"/>
      <c r="H172" s="1681">
        <f>SUM(H168,H169,H170,H171)</f>
        <v>217563</v>
      </c>
      <c r="I172" s="1684"/>
      <c r="J172" s="1673"/>
      <c r="K172" s="1681">
        <f>SUM(K168,K169,K170,K171)</f>
        <v>217563</v>
      </c>
      <c r="L172" s="1681">
        <f>SUM(L168,L169,L170,L171)</f>
        <v>217495</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217563</v>
      </c>
      <c r="I174" s="1684"/>
      <c r="J174" s="1673"/>
      <c r="K174" s="1681">
        <f>SUM(K160,K172,K173)</f>
        <v>217563</v>
      </c>
      <c r="L174" s="1681">
        <f>SUM(L160,L172,L173)</f>
        <v>217495</v>
      </c>
    </row>
    <row r="175" spans="1:14" ht="13.5" thickTop="1" x14ac:dyDescent="0.2">
      <c r="A175" s="2308" t="s">
        <v>989</v>
      </c>
      <c r="B175" s="2309"/>
      <c r="C175" s="1673"/>
      <c r="D175" s="1673"/>
      <c r="E175" s="1673"/>
      <c r="F175" s="1673"/>
      <c r="G175" s="1673"/>
      <c r="H175" s="1675"/>
      <c r="I175" s="1673"/>
      <c r="J175" s="1673"/>
      <c r="K175" s="1689">
        <f>'Revenues 9-14'!E268-'Expenditures 15-22'!K174</f>
        <v>-5534</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0</v>
      </c>
      <c r="D182" s="1573">
        <v>0</v>
      </c>
      <c r="E182" s="1573">
        <v>212396</v>
      </c>
      <c r="F182" s="1573">
        <v>9585</v>
      </c>
      <c r="G182" s="1573">
        <v>0</v>
      </c>
      <c r="H182" s="1573">
        <v>0</v>
      </c>
      <c r="I182" s="1574">
        <v>0</v>
      </c>
      <c r="J182" s="1574">
        <v>0</v>
      </c>
      <c r="K182" s="1672">
        <f>SUM(C182:J182)</f>
        <v>221981</v>
      </c>
      <c r="L182" s="1573">
        <v>273570</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0</v>
      </c>
      <c r="D184" s="1681">
        <f t="shared" ref="D184:J184" si="17">SUM(D180,D182,D183)</f>
        <v>0</v>
      </c>
      <c r="E184" s="1681">
        <f t="shared" si="17"/>
        <v>212396</v>
      </c>
      <c r="F184" s="1681">
        <f t="shared" si="17"/>
        <v>9585</v>
      </c>
      <c r="G184" s="1681">
        <f t="shared" si="17"/>
        <v>0</v>
      </c>
      <c r="H184" s="1681">
        <f t="shared" si="17"/>
        <v>0</v>
      </c>
      <c r="I184" s="1681">
        <f t="shared" si="17"/>
        <v>0</v>
      </c>
      <c r="J184" s="1681">
        <f t="shared" si="17"/>
        <v>0</v>
      </c>
      <c r="K184" s="1681">
        <f>SUM(K180,K182,K183)</f>
        <v>221981</v>
      </c>
      <c r="L184" s="1681">
        <f>SUM(L180, L182:L183)</f>
        <v>273570</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0</v>
      </c>
      <c r="D210" s="1674">
        <f>SUM(D184,D185)</f>
        <v>0</v>
      </c>
      <c r="E210" s="1674">
        <f>SUM(E184,E185,E196)</f>
        <v>212396</v>
      </c>
      <c r="F210" s="1674">
        <f>SUM(F184,F185)</f>
        <v>9585</v>
      </c>
      <c r="G210" s="1674">
        <f>SUM(G184,G185)</f>
        <v>0</v>
      </c>
      <c r="H210" s="1674">
        <f>SUM(H184,H185,H196,H208,H209)</f>
        <v>0</v>
      </c>
      <c r="I210" s="1674">
        <f>SUM(I184,I185)</f>
        <v>0</v>
      </c>
      <c r="J210" s="1674">
        <f>SUM(J184,J185)</f>
        <v>0</v>
      </c>
      <c r="K210" s="1672">
        <f>SUM(K184,K185,K196,K208,K209)</f>
        <v>221981</v>
      </c>
      <c r="L210" s="1674">
        <f>SUM(L184,L185,L196,L208,L209)</f>
        <v>273570</v>
      </c>
    </row>
    <row r="211" spans="1:14" ht="13.5" thickTop="1" x14ac:dyDescent="0.2">
      <c r="A211" s="2308" t="s">
        <v>989</v>
      </c>
      <c r="B211" s="2309"/>
      <c r="C211" s="1675"/>
      <c r="D211" s="1675"/>
      <c r="E211" s="1675"/>
      <c r="F211" s="1675"/>
      <c r="G211" s="1675"/>
      <c r="H211" s="1675"/>
      <c r="I211" s="1673"/>
      <c r="J211" s="1673"/>
      <c r="K211" s="1689">
        <f>'Revenues 9-14'!F268-'Expenditures 15-22'!K210</f>
        <v>-26809</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330" t="s">
        <v>959</v>
      </c>
      <c r="B213" s="2331"/>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12281</v>
      </c>
      <c r="E215" s="1673"/>
      <c r="F215" s="1673"/>
      <c r="G215" s="1673"/>
      <c r="H215" s="1673"/>
      <c r="I215" s="1673"/>
      <c r="J215" s="1673"/>
      <c r="K215" s="1672">
        <f>D215</f>
        <v>12281</v>
      </c>
      <c r="L215" s="1573">
        <v>13575</v>
      </c>
    </row>
    <row r="216" spans="1:14" x14ac:dyDescent="0.2">
      <c r="A216" s="1274" t="s">
        <v>162</v>
      </c>
      <c r="B216" s="503" t="s">
        <v>961</v>
      </c>
      <c r="C216" s="1673"/>
      <c r="D216" s="1574">
        <v>0</v>
      </c>
      <c r="E216" s="1673"/>
      <c r="F216" s="1673"/>
      <c r="G216" s="1673"/>
      <c r="H216" s="1673"/>
      <c r="I216" s="1673"/>
      <c r="J216" s="1673"/>
      <c r="K216" s="1672">
        <f t="shared" ref="K216:K228" si="19">D216</f>
        <v>0</v>
      </c>
      <c r="L216" s="1573">
        <v>0</v>
      </c>
    </row>
    <row r="217" spans="1:14" x14ac:dyDescent="0.2">
      <c r="A217" s="1274" t="s">
        <v>163</v>
      </c>
      <c r="B217" s="503">
        <v>1200</v>
      </c>
      <c r="C217" s="1673"/>
      <c r="D217" s="1573">
        <v>5536</v>
      </c>
      <c r="E217" s="1673"/>
      <c r="F217" s="1673"/>
      <c r="G217" s="1673"/>
      <c r="H217" s="1673"/>
      <c r="I217" s="1673"/>
      <c r="J217" s="1673"/>
      <c r="K217" s="1672">
        <f t="shared" si="19"/>
        <v>5536</v>
      </c>
      <c r="L217" s="1573">
        <v>9000</v>
      </c>
    </row>
    <row r="218" spans="1:14" x14ac:dyDescent="0.2">
      <c r="A218" s="1274" t="s">
        <v>276</v>
      </c>
      <c r="B218" s="503" t="s">
        <v>962</v>
      </c>
      <c r="C218" s="1673"/>
      <c r="D218" s="1574">
        <v>0</v>
      </c>
      <c r="E218" s="1673"/>
      <c r="F218" s="1673"/>
      <c r="G218" s="1673"/>
      <c r="H218" s="1673"/>
      <c r="I218" s="1673"/>
      <c r="J218" s="1673"/>
      <c r="K218" s="1672">
        <f t="shared" si="19"/>
        <v>0</v>
      </c>
      <c r="L218" s="1573">
        <v>0</v>
      </c>
    </row>
    <row r="219" spans="1:14" x14ac:dyDescent="0.2">
      <c r="A219" s="1274" t="s">
        <v>277</v>
      </c>
      <c r="B219" s="503">
        <v>1250</v>
      </c>
      <c r="C219" s="1673"/>
      <c r="D219" s="1573">
        <v>563</v>
      </c>
      <c r="E219" s="1673"/>
      <c r="F219" s="1673"/>
      <c r="G219" s="1673"/>
      <c r="H219" s="1673"/>
      <c r="I219" s="1673"/>
      <c r="J219" s="1673"/>
      <c r="K219" s="1672">
        <f t="shared" si="19"/>
        <v>563</v>
      </c>
      <c r="L219" s="1573">
        <v>600</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0</v>
      </c>
      <c r="E222" s="1673"/>
      <c r="F222" s="1673"/>
      <c r="G222" s="1673"/>
      <c r="H222" s="1673"/>
      <c r="I222" s="1673"/>
      <c r="J222" s="1673"/>
      <c r="K222" s="1672">
        <f t="shared" si="19"/>
        <v>0</v>
      </c>
      <c r="L222" s="1573">
        <v>0</v>
      </c>
    </row>
    <row r="223" spans="1:14" x14ac:dyDescent="0.2">
      <c r="A223" s="1274" t="s">
        <v>957</v>
      </c>
      <c r="B223" s="503">
        <v>1500</v>
      </c>
      <c r="C223" s="1673"/>
      <c r="D223" s="1573">
        <v>1119</v>
      </c>
      <c r="E223" s="1673"/>
      <c r="F223" s="1673"/>
      <c r="G223" s="1673"/>
      <c r="H223" s="1673"/>
      <c r="I223" s="1673"/>
      <c r="J223" s="1673"/>
      <c r="K223" s="1672">
        <f t="shared" si="19"/>
        <v>1119</v>
      </c>
      <c r="L223" s="1573">
        <v>1150</v>
      </c>
    </row>
    <row r="224" spans="1:14" x14ac:dyDescent="0.2">
      <c r="A224" s="1274" t="s">
        <v>958</v>
      </c>
      <c r="B224" s="503">
        <v>1600</v>
      </c>
      <c r="C224" s="1673"/>
      <c r="D224" s="1573">
        <v>0</v>
      </c>
      <c r="E224" s="1673"/>
      <c r="F224" s="1673"/>
      <c r="G224" s="1673"/>
      <c r="H224" s="1673"/>
      <c r="I224" s="1673"/>
      <c r="J224" s="1673"/>
      <c r="K224" s="1672">
        <f t="shared" si="19"/>
        <v>0</v>
      </c>
      <c r="L224" s="1573">
        <v>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0</v>
      </c>
      <c r="E226" s="1673"/>
      <c r="F226" s="1673"/>
      <c r="G226" s="1673"/>
      <c r="H226" s="1673"/>
      <c r="I226" s="1673"/>
      <c r="J226" s="1673"/>
      <c r="K226" s="1672">
        <f t="shared" si="19"/>
        <v>0</v>
      </c>
      <c r="L226" s="1573">
        <v>0</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19499</v>
      </c>
      <c r="E229" s="1673"/>
      <c r="F229" s="1673"/>
      <c r="G229" s="1673"/>
      <c r="H229" s="1673"/>
      <c r="I229" s="1673"/>
      <c r="J229" s="1673"/>
      <c r="K229" s="1674">
        <f>SUM(K215:K228)</f>
        <v>19499</v>
      </c>
      <c r="L229" s="1674">
        <f>SUM(L215:L228)</f>
        <v>24325</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0</v>
      </c>
      <c r="E232" s="1673"/>
      <c r="F232" s="1673"/>
      <c r="G232" s="1673"/>
      <c r="H232" s="1673"/>
      <c r="I232" s="1673"/>
      <c r="J232" s="1673"/>
      <c r="K232" s="1672">
        <f t="shared" ref="K232:K237" si="20">D232</f>
        <v>0</v>
      </c>
      <c r="L232" s="1573">
        <v>0</v>
      </c>
    </row>
    <row r="233" spans="1:12" x14ac:dyDescent="0.2">
      <c r="A233" s="1274" t="s">
        <v>1081</v>
      </c>
      <c r="B233" s="503">
        <v>2120</v>
      </c>
      <c r="C233" s="1673"/>
      <c r="D233" s="1573">
        <v>0</v>
      </c>
      <c r="E233" s="1673"/>
      <c r="F233" s="1673"/>
      <c r="G233" s="1673"/>
      <c r="H233" s="1673"/>
      <c r="I233" s="1673"/>
      <c r="J233" s="1673"/>
      <c r="K233" s="1672">
        <f t="shared" si="20"/>
        <v>0</v>
      </c>
      <c r="L233" s="1573">
        <v>0</v>
      </c>
    </row>
    <row r="234" spans="1:12" x14ac:dyDescent="0.2">
      <c r="A234" s="1274" t="s">
        <v>196</v>
      </c>
      <c r="B234" s="503">
        <v>2130</v>
      </c>
      <c r="C234" s="1673"/>
      <c r="D234" s="1573">
        <v>0</v>
      </c>
      <c r="E234" s="1673"/>
      <c r="F234" s="1673"/>
      <c r="G234" s="1673"/>
      <c r="H234" s="1673"/>
      <c r="I234" s="1673"/>
      <c r="J234" s="1673"/>
      <c r="K234" s="1672">
        <f t="shared" si="20"/>
        <v>0</v>
      </c>
      <c r="L234" s="1573">
        <v>0</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830</v>
      </c>
      <c r="E236" s="1673"/>
      <c r="F236" s="1673"/>
      <c r="G236" s="1673"/>
      <c r="H236" s="1673"/>
      <c r="I236" s="1673"/>
      <c r="J236" s="1673"/>
      <c r="K236" s="1672">
        <f t="shared" si="20"/>
        <v>830</v>
      </c>
      <c r="L236" s="1573">
        <v>900</v>
      </c>
    </row>
    <row r="237" spans="1:12" x14ac:dyDescent="0.2">
      <c r="A237" s="1274" t="s">
        <v>164</v>
      </c>
      <c r="B237" s="503">
        <v>2190</v>
      </c>
      <c r="C237" s="1673"/>
      <c r="D237" s="1573">
        <v>0</v>
      </c>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830</v>
      </c>
      <c r="E238" s="1673"/>
      <c r="F238" s="1673"/>
      <c r="G238" s="1673"/>
      <c r="H238" s="1673"/>
      <c r="I238" s="1673"/>
      <c r="J238" s="1673"/>
      <c r="K238" s="1674">
        <f>SUM(K232:K237)</f>
        <v>830</v>
      </c>
      <c r="L238" s="1674">
        <f>SUM(L232:L237)</f>
        <v>900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0</v>
      </c>
      <c r="E240" s="1673"/>
      <c r="F240" s="1673"/>
      <c r="G240" s="1673"/>
      <c r="H240" s="1673"/>
      <c r="I240" s="1673"/>
      <c r="J240" s="1673"/>
      <c r="K240" s="1678">
        <f>D240</f>
        <v>0</v>
      </c>
      <c r="L240" s="1586">
        <v>0</v>
      </c>
    </row>
    <row r="241" spans="1:12" x14ac:dyDescent="0.2">
      <c r="A241" s="1274" t="s">
        <v>810</v>
      </c>
      <c r="B241" s="503">
        <v>2220</v>
      </c>
      <c r="C241" s="1673"/>
      <c r="D241" s="1573">
        <v>69</v>
      </c>
      <c r="E241" s="1673"/>
      <c r="F241" s="1673"/>
      <c r="G241" s="1673"/>
      <c r="H241" s="1673"/>
      <c r="I241" s="1673"/>
      <c r="J241" s="1673"/>
      <c r="K241" s="1678">
        <f>D241</f>
        <v>69</v>
      </c>
      <c r="L241" s="1573">
        <v>90</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69</v>
      </c>
      <c r="E243" s="1673"/>
      <c r="F243" s="1673"/>
      <c r="G243" s="1673"/>
      <c r="H243" s="1673"/>
      <c r="I243" s="1673"/>
      <c r="J243" s="1673"/>
      <c r="K243" s="1674">
        <f>SUM(K240:K242)</f>
        <v>69</v>
      </c>
      <c r="L243" s="1674">
        <f>SUM(L240:L242)</f>
        <v>90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76</v>
      </c>
      <c r="E245" s="1673"/>
      <c r="F245" s="1673"/>
      <c r="G245" s="1673"/>
      <c r="H245" s="1673"/>
      <c r="I245" s="1673"/>
      <c r="J245" s="1673"/>
      <c r="K245" s="1678">
        <f>D245</f>
        <v>76</v>
      </c>
      <c r="L245" s="1586">
        <v>90</v>
      </c>
    </row>
    <row r="246" spans="1:12" x14ac:dyDescent="0.2">
      <c r="A246" s="1274" t="s">
        <v>813</v>
      </c>
      <c r="B246" s="503">
        <v>2320</v>
      </c>
      <c r="C246" s="1673"/>
      <c r="D246" s="1573">
        <v>5752</v>
      </c>
      <c r="E246" s="1673"/>
      <c r="F246" s="1673"/>
      <c r="G246" s="1673"/>
      <c r="H246" s="1673"/>
      <c r="I246" s="1673"/>
      <c r="J246" s="1673"/>
      <c r="K246" s="1678">
        <f t="shared" ref="K246:K256" si="21">D246</f>
        <v>5752</v>
      </c>
      <c r="L246" s="1573">
        <v>6200</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11849</v>
      </c>
      <c r="E254" s="1673"/>
      <c r="F254" s="1673"/>
      <c r="G254" s="1673"/>
      <c r="H254" s="1673"/>
      <c r="I254" s="1673"/>
      <c r="J254" s="1673"/>
      <c r="K254" s="1678">
        <f t="shared" si="21"/>
        <v>11849</v>
      </c>
      <c r="L254" s="1573">
        <v>12200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17677</v>
      </c>
      <c r="E257" s="1673"/>
      <c r="F257" s="1673"/>
      <c r="G257" s="1673"/>
      <c r="H257" s="1673"/>
      <c r="I257" s="1673"/>
      <c r="J257" s="1673"/>
      <c r="K257" s="1674">
        <f>SUM(K245:K256)</f>
        <v>17677</v>
      </c>
      <c r="L257" s="1674">
        <f>SUM(L245:L256)</f>
        <v>18490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312</v>
      </c>
      <c r="E259" s="1673"/>
      <c r="F259" s="1673"/>
      <c r="G259" s="1673"/>
      <c r="H259" s="1673"/>
      <c r="I259" s="1673"/>
      <c r="J259" s="1673"/>
      <c r="K259" s="1678">
        <f>D259</f>
        <v>312</v>
      </c>
      <c r="L259" s="1586">
        <v>400</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312</v>
      </c>
      <c r="E261" s="1673"/>
      <c r="F261" s="1673"/>
      <c r="G261" s="1673"/>
      <c r="H261" s="1673"/>
      <c r="I261" s="1673"/>
      <c r="J261" s="1673"/>
      <c r="K261" s="1674">
        <f>SUM(K259:K260)</f>
        <v>312</v>
      </c>
      <c r="L261" s="1674">
        <f>SUM(L259:L260)</f>
        <v>400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8233</v>
      </c>
      <c r="E264" s="1673"/>
      <c r="F264" s="1673"/>
      <c r="G264" s="1673"/>
      <c r="H264" s="1673"/>
      <c r="I264" s="1673"/>
      <c r="J264" s="1673"/>
      <c r="K264" s="1678">
        <f t="shared" ref="K264:K269" si="22">D264</f>
        <v>8233</v>
      </c>
      <c r="L264" s="1573">
        <v>8600</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10992</v>
      </c>
      <c r="E266" s="1673"/>
      <c r="F266" s="1673"/>
      <c r="G266" s="1673"/>
      <c r="H266" s="1673"/>
      <c r="I266" s="1673"/>
      <c r="J266" s="1673"/>
      <c r="K266" s="1678">
        <f t="shared" si="22"/>
        <v>10992</v>
      </c>
      <c r="L266" s="1573">
        <v>10000</v>
      </c>
    </row>
    <row r="267" spans="1:14" x14ac:dyDescent="0.2">
      <c r="A267" s="1274" t="s">
        <v>947</v>
      </c>
      <c r="B267" s="503">
        <v>2550</v>
      </c>
      <c r="C267" s="1673"/>
      <c r="D267" s="1573">
        <v>0</v>
      </c>
      <c r="E267" s="1673"/>
      <c r="F267" s="1673"/>
      <c r="G267" s="1673"/>
      <c r="H267" s="1673"/>
      <c r="I267" s="1673"/>
      <c r="J267" s="1673"/>
      <c r="K267" s="1678">
        <f t="shared" si="22"/>
        <v>0</v>
      </c>
      <c r="L267" s="1573">
        <v>0</v>
      </c>
    </row>
    <row r="268" spans="1:14" x14ac:dyDescent="0.2">
      <c r="A268" s="1274" t="s">
        <v>100</v>
      </c>
      <c r="B268" s="503">
        <v>2560</v>
      </c>
      <c r="C268" s="1673"/>
      <c r="D268" s="1573">
        <v>0</v>
      </c>
      <c r="E268" s="1673"/>
      <c r="F268" s="1673"/>
      <c r="G268" s="1673"/>
      <c r="H268" s="1673"/>
      <c r="I268" s="1673"/>
      <c r="J268" s="1673"/>
      <c r="K268" s="1678">
        <f t="shared" si="22"/>
        <v>0</v>
      </c>
      <c r="L268" s="1573">
        <v>0</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19225</v>
      </c>
      <c r="E270" s="1673"/>
      <c r="F270" s="1673"/>
      <c r="G270" s="1673"/>
      <c r="H270" s="1673"/>
      <c r="I270" s="1673"/>
      <c r="J270" s="1673"/>
      <c r="K270" s="1674">
        <f>SUM(K263:K269)</f>
        <v>19225</v>
      </c>
      <c r="L270" s="1674">
        <f>SUM(L263:L269)</f>
        <v>18600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38113</v>
      </c>
      <c r="E279" s="1673"/>
      <c r="F279" s="1673"/>
      <c r="G279" s="1673"/>
      <c r="H279" s="1673"/>
      <c r="I279" s="1673"/>
      <c r="J279" s="1673"/>
      <c r="K279" s="1681">
        <f>SUM(K238,K243,K257,K261,K270,K277,K278)</f>
        <v>38113</v>
      </c>
      <c r="L279" s="1681">
        <f>SUM(L238,L243,L257,L261,L270,L277,L278)</f>
        <v>38480</v>
      </c>
    </row>
    <row r="280" spans="1:12" ht="15.75" customHeight="1" thickTop="1" thickBot="1" x14ac:dyDescent="0.25">
      <c r="A280" s="1362" t="s">
        <v>870</v>
      </c>
      <c r="B280" s="1351">
        <v>3000</v>
      </c>
      <c r="C280" s="1673"/>
      <c r="D280" s="1651">
        <v>0</v>
      </c>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0</v>
      </c>
      <c r="E283" s="1673"/>
      <c r="F283" s="1673"/>
      <c r="G283" s="1673"/>
      <c r="H283" s="1673"/>
      <c r="I283" s="1673"/>
      <c r="J283" s="1673"/>
      <c r="K283" s="1672">
        <f>D283</f>
        <v>0</v>
      </c>
      <c r="L283" s="1573">
        <v>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326" t="s">
        <v>502</v>
      </c>
      <c r="B295" s="2327"/>
      <c r="C295" s="1673"/>
      <c r="D295" s="1674">
        <f>SUM(D229,D279,D280,D285)</f>
        <v>57612</v>
      </c>
      <c r="E295" s="1673"/>
      <c r="F295" s="1673"/>
      <c r="G295" s="1673"/>
      <c r="H295" s="1674">
        <f>H293</f>
        <v>0</v>
      </c>
      <c r="I295" s="1673"/>
      <c r="J295" s="1673"/>
      <c r="K295" s="1674">
        <f>SUM(K229,K279,K280,K285,K293,K294)</f>
        <v>57612</v>
      </c>
      <c r="L295" s="1674">
        <f>SUM(L229,L279,L280,L285,L293,L294)</f>
        <v>62805</v>
      </c>
    </row>
    <row r="296" spans="1:14" ht="13.5" thickTop="1" x14ac:dyDescent="0.2">
      <c r="A296" s="2308" t="s">
        <v>989</v>
      </c>
      <c r="B296" s="2309"/>
      <c r="C296" s="1673"/>
      <c r="D296" s="1675"/>
      <c r="E296" s="1673"/>
      <c r="F296" s="1673"/>
      <c r="G296" s="1673"/>
      <c r="H296" s="1707"/>
      <c r="I296" s="1673"/>
      <c r="J296" s="1673"/>
      <c r="K296" s="1689">
        <f>'Revenues 9-14'!G268-'Expenditures 15-22'!K295</f>
        <v>-29081</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318" t="s">
        <v>142</v>
      </c>
      <c r="B298" s="2312"/>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16283</v>
      </c>
      <c r="F301" s="1573">
        <v>0</v>
      </c>
      <c r="G301" s="1573">
        <v>162763</v>
      </c>
      <c r="H301" s="1573">
        <v>0</v>
      </c>
      <c r="I301" s="1574">
        <v>0</v>
      </c>
      <c r="J301" s="1574">
        <v>0</v>
      </c>
      <c r="K301" s="1672">
        <f>SUM(C301:J301)</f>
        <v>179046</v>
      </c>
      <c r="L301" s="1574">
        <v>270000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16283</v>
      </c>
      <c r="F303" s="1681">
        <f t="shared" si="23"/>
        <v>0</v>
      </c>
      <c r="G303" s="1681">
        <f t="shared" si="23"/>
        <v>162763</v>
      </c>
      <c r="H303" s="1681">
        <f t="shared" si="23"/>
        <v>0</v>
      </c>
      <c r="I303" s="1681">
        <f t="shared" si="23"/>
        <v>0</v>
      </c>
      <c r="J303" s="1681">
        <f t="shared" si="23"/>
        <v>0</v>
      </c>
      <c r="K303" s="1681">
        <f t="shared" si="23"/>
        <v>179046</v>
      </c>
      <c r="L303" s="1681">
        <f t="shared" si="23"/>
        <v>270000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323" t="s">
        <v>275</v>
      </c>
      <c r="B312" s="2324"/>
      <c r="C312" s="1674">
        <f>SUM(C303)</f>
        <v>0</v>
      </c>
      <c r="D312" s="1674">
        <f>SUM(D303)</f>
        <v>0</v>
      </c>
      <c r="E312" s="1674">
        <f>SUM(E303,E310)</f>
        <v>16283</v>
      </c>
      <c r="F312" s="1674">
        <f>SUM(F303)</f>
        <v>0</v>
      </c>
      <c r="G312" s="1674">
        <f>SUM(G303)</f>
        <v>162763</v>
      </c>
      <c r="H312" s="1674">
        <f>SUM(H303,H310)</f>
        <v>0</v>
      </c>
      <c r="I312" s="1674">
        <f>SUM(I303)</f>
        <v>0</v>
      </c>
      <c r="J312" s="1674">
        <f>SUM(J303)</f>
        <v>0</v>
      </c>
      <c r="K312" s="1674">
        <f>SUM(K303,K310,K311)</f>
        <v>179046</v>
      </c>
      <c r="L312" s="1674">
        <f>SUM(L303,L310,L311)</f>
        <v>270000</v>
      </c>
      <c r="M312" s="539"/>
      <c r="N312" s="539"/>
    </row>
    <row r="313" spans="1:14" ht="13.5" thickTop="1" x14ac:dyDescent="0.2">
      <c r="A313" s="2319" t="s">
        <v>989</v>
      </c>
      <c r="B313" s="2320"/>
      <c r="C313" s="1677"/>
      <c r="D313" s="1677"/>
      <c r="E313" s="1677"/>
      <c r="F313" s="1677"/>
      <c r="G313" s="1677"/>
      <c r="H313" s="1677"/>
      <c r="I313" s="1677"/>
      <c r="J313" s="1677"/>
      <c r="K313" s="1696">
        <f>'Revenues 9-14'!H268-'Expenditures 15-22'!K312</f>
        <v>-10019</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332" t="s">
        <v>148</v>
      </c>
      <c r="B315" s="2333"/>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334" t="s">
        <v>892</v>
      </c>
      <c r="B317" s="2333"/>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16705</v>
      </c>
      <c r="F320" s="1574">
        <v>0</v>
      </c>
      <c r="G320" s="1574">
        <v>0</v>
      </c>
      <c r="H320" s="1574">
        <v>0</v>
      </c>
      <c r="I320" s="1574">
        <v>0</v>
      </c>
      <c r="J320" s="1574">
        <v>0</v>
      </c>
      <c r="K320" s="1672">
        <f t="shared" ref="K320:K327" si="24">SUM(C320:J320)</f>
        <v>16705</v>
      </c>
      <c r="L320" s="1574">
        <v>9000</v>
      </c>
      <c r="M320" s="539"/>
      <c r="N320" s="539"/>
    </row>
    <row r="321" spans="1:14" s="548" customFormat="1" x14ac:dyDescent="0.2">
      <c r="A321" s="1289" t="s">
        <v>297</v>
      </c>
      <c r="B321" s="567" t="s">
        <v>281</v>
      </c>
      <c r="C321" s="1574">
        <v>0</v>
      </c>
      <c r="D321" s="1574">
        <v>0</v>
      </c>
      <c r="E321" s="1574">
        <v>878</v>
      </c>
      <c r="F321" s="1574">
        <v>0</v>
      </c>
      <c r="G321" s="1574">
        <v>0</v>
      </c>
      <c r="H321" s="1574">
        <v>0</v>
      </c>
      <c r="I321" s="1574">
        <v>0</v>
      </c>
      <c r="J321" s="1574">
        <v>0</v>
      </c>
      <c r="K321" s="1672">
        <f t="shared" si="24"/>
        <v>878</v>
      </c>
      <c r="L321" s="1574">
        <v>1000</v>
      </c>
      <c r="M321" s="539"/>
      <c r="N321" s="539"/>
    </row>
    <row r="322" spans="1:14" s="548" customFormat="1" x14ac:dyDescent="0.2">
      <c r="A322" s="1289" t="s">
        <v>236</v>
      </c>
      <c r="B322" s="567" t="s">
        <v>282</v>
      </c>
      <c r="C322" s="1574">
        <v>0</v>
      </c>
      <c r="D322" s="1574">
        <v>0</v>
      </c>
      <c r="E322" s="1574">
        <v>0</v>
      </c>
      <c r="F322" s="1574">
        <v>0</v>
      </c>
      <c r="G322" s="1574">
        <v>0</v>
      </c>
      <c r="H322" s="1574">
        <v>0</v>
      </c>
      <c r="I322" s="1574">
        <v>0</v>
      </c>
      <c r="J322" s="1574">
        <v>0</v>
      </c>
      <c r="K322" s="1672">
        <f t="shared" si="24"/>
        <v>0</v>
      </c>
      <c r="L322" s="1574">
        <v>0</v>
      </c>
      <c r="M322" s="539"/>
      <c r="N322" s="539"/>
    </row>
    <row r="323" spans="1:14" s="548" customFormat="1" x14ac:dyDescent="0.2">
      <c r="A323" s="1289" t="s">
        <v>697</v>
      </c>
      <c r="B323" s="567" t="s">
        <v>283</v>
      </c>
      <c r="C323" s="1574">
        <v>0</v>
      </c>
      <c r="D323" s="1574">
        <v>0</v>
      </c>
      <c r="E323" s="1574">
        <v>755</v>
      </c>
      <c r="F323" s="1574">
        <v>0</v>
      </c>
      <c r="G323" s="1574">
        <v>0</v>
      </c>
      <c r="H323" s="1574">
        <v>0</v>
      </c>
      <c r="I323" s="1574">
        <v>0</v>
      </c>
      <c r="J323" s="1574">
        <v>0</v>
      </c>
      <c r="K323" s="1672">
        <f t="shared" si="24"/>
        <v>755</v>
      </c>
      <c r="L323" s="1574">
        <v>900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108861</v>
      </c>
      <c r="D325" s="1574">
        <v>25982</v>
      </c>
      <c r="E325" s="1574">
        <v>6898</v>
      </c>
      <c r="F325" s="1574">
        <v>0</v>
      </c>
      <c r="G325" s="1574">
        <v>0</v>
      </c>
      <c r="H325" s="1574">
        <v>0</v>
      </c>
      <c r="I325" s="1574">
        <v>0</v>
      </c>
      <c r="J325" s="1574">
        <v>0</v>
      </c>
      <c r="K325" s="1672">
        <f t="shared" si="24"/>
        <v>141741</v>
      </c>
      <c r="L325" s="1574">
        <v>153060</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1431</v>
      </c>
      <c r="F327" s="1574">
        <v>0</v>
      </c>
      <c r="G327" s="1574">
        <v>0</v>
      </c>
      <c r="H327" s="1574">
        <v>0</v>
      </c>
      <c r="I327" s="1574">
        <v>0</v>
      </c>
      <c r="J327" s="1574">
        <v>0</v>
      </c>
      <c r="K327" s="1672">
        <f t="shared" si="24"/>
        <v>1431</v>
      </c>
      <c r="L327" s="1574">
        <v>30000</v>
      </c>
      <c r="M327" s="539"/>
      <c r="N327" s="539"/>
    </row>
    <row r="328" spans="1:14" s="548" customFormat="1" x14ac:dyDescent="0.2">
      <c r="A328" s="1290" t="s">
        <v>469</v>
      </c>
      <c r="B328" s="562" t="s">
        <v>1122</v>
      </c>
      <c r="C328" s="1579">
        <v>0</v>
      </c>
      <c r="D328" s="1579">
        <v>0</v>
      </c>
      <c r="E328" s="1579">
        <v>51520</v>
      </c>
      <c r="F328" s="1579">
        <v>0</v>
      </c>
      <c r="G328" s="1579">
        <v>0</v>
      </c>
      <c r="H328" s="1579">
        <v>0</v>
      </c>
      <c r="I328" s="1579">
        <v>0</v>
      </c>
      <c r="J328" s="1579">
        <v>0</v>
      </c>
      <c r="K328" s="1713">
        <f>SUM(C328:J328)</f>
        <v>51520</v>
      </c>
      <c r="L328" s="1579">
        <v>26800</v>
      </c>
      <c r="M328" s="539"/>
      <c r="N328" s="539"/>
    </row>
    <row r="329" spans="1:14" s="548" customFormat="1" x14ac:dyDescent="0.2">
      <c r="A329" s="1290" t="s">
        <v>1123</v>
      </c>
      <c r="B329" s="562" t="s">
        <v>1124</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712</v>
      </c>
      <c r="B330" s="1381" t="s">
        <v>565</v>
      </c>
      <c r="C330" s="1674">
        <f>SUM(C319:C329)</f>
        <v>108861</v>
      </c>
      <c r="D330" s="1674">
        <f t="shared" ref="D330:J330" si="25">SUM(D319:D329)</f>
        <v>25982</v>
      </c>
      <c r="E330" s="1674">
        <f t="shared" si="25"/>
        <v>78187</v>
      </c>
      <c r="F330" s="1674">
        <f t="shared" si="25"/>
        <v>0</v>
      </c>
      <c r="G330" s="1674">
        <f t="shared" si="25"/>
        <v>0</v>
      </c>
      <c r="H330" s="1674">
        <f t="shared" si="25"/>
        <v>0</v>
      </c>
      <c r="I330" s="1674">
        <f t="shared" si="25"/>
        <v>0</v>
      </c>
      <c r="J330" s="1674">
        <f t="shared" si="25"/>
        <v>0</v>
      </c>
      <c r="K330" s="1674">
        <f>SUM(K319:K329)</f>
        <v>213030</v>
      </c>
      <c r="L330" s="1674">
        <f>SUM(L319:L329)</f>
        <v>220760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108861</v>
      </c>
      <c r="D342" s="1674">
        <f>SUM(D330)</f>
        <v>25982</v>
      </c>
      <c r="E342" s="1674">
        <f>SUM(E330)</f>
        <v>78187</v>
      </c>
      <c r="F342" s="1674">
        <f>SUM(F330)</f>
        <v>0</v>
      </c>
      <c r="G342" s="1674">
        <f>SUM(G330)</f>
        <v>0</v>
      </c>
      <c r="H342" s="1674">
        <f>SUM(H330,H334,H340)</f>
        <v>0</v>
      </c>
      <c r="I342" s="1674">
        <f>SUM(I330)</f>
        <v>0</v>
      </c>
      <c r="J342" s="1674">
        <f>SUM(J330)</f>
        <v>0</v>
      </c>
      <c r="K342" s="1674">
        <f>SUM(K330,K334,K340)</f>
        <v>213030</v>
      </c>
      <c r="L342" s="1681">
        <f>SUM(L330,L334,L340,L341)</f>
        <v>220760</v>
      </c>
    </row>
    <row r="343" spans="1:14" ht="12.75" customHeight="1" thickTop="1" x14ac:dyDescent="0.2">
      <c r="A343" s="2321" t="s">
        <v>989</v>
      </c>
      <c r="B343" s="2322"/>
      <c r="C343" s="1673"/>
      <c r="D343" s="1673"/>
      <c r="E343" s="1673"/>
      <c r="F343" s="1673"/>
      <c r="G343" s="1673"/>
      <c r="H343" s="1673"/>
      <c r="I343" s="1673"/>
      <c r="J343" s="1673"/>
      <c r="K343" s="1689">
        <f>'Revenues 9-14'!J268-'Expenditures 15-22'!K342</f>
        <v>-18384</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311" t="s">
        <v>960</v>
      </c>
      <c r="B345" s="2312"/>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13300</v>
      </c>
      <c r="F348" s="1573">
        <v>0</v>
      </c>
      <c r="G348" s="1573">
        <v>6530</v>
      </c>
      <c r="H348" s="1573">
        <v>0</v>
      </c>
      <c r="I348" s="1574">
        <v>0</v>
      </c>
      <c r="J348" s="1574">
        <v>0</v>
      </c>
      <c r="K348" s="1672">
        <f>SUM(C348:J348)</f>
        <v>19830</v>
      </c>
      <c r="L348" s="1573">
        <v>23000</v>
      </c>
    </row>
    <row r="349" spans="1:14" x14ac:dyDescent="0.2">
      <c r="A349" s="1274" t="s">
        <v>195</v>
      </c>
      <c r="B349" s="503">
        <v>2540</v>
      </c>
      <c r="C349" s="1573">
        <v>0</v>
      </c>
      <c r="D349" s="1573">
        <v>0</v>
      </c>
      <c r="E349" s="1573">
        <v>0</v>
      </c>
      <c r="F349" s="1573">
        <v>0</v>
      </c>
      <c r="G349" s="1573">
        <v>0</v>
      </c>
      <c r="H349" s="1573">
        <v>0</v>
      </c>
      <c r="I349" s="1574">
        <v>0</v>
      </c>
      <c r="J349" s="1574">
        <v>0</v>
      </c>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13300</v>
      </c>
      <c r="F350" s="1674">
        <f t="shared" si="26"/>
        <v>0</v>
      </c>
      <c r="G350" s="1674">
        <f t="shared" si="26"/>
        <v>6530</v>
      </c>
      <c r="H350" s="1674">
        <f t="shared" si="26"/>
        <v>0</v>
      </c>
      <c r="I350" s="1674">
        <f t="shared" si="26"/>
        <v>0</v>
      </c>
      <c r="J350" s="1674">
        <f t="shared" si="26"/>
        <v>0</v>
      </c>
      <c r="K350" s="1674">
        <f t="shared" si="26"/>
        <v>19830</v>
      </c>
      <c r="L350" s="1674">
        <f t="shared" si="26"/>
        <v>23000</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13300</v>
      </c>
      <c r="F352" s="1674">
        <f t="shared" si="27"/>
        <v>0</v>
      </c>
      <c r="G352" s="1674">
        <f t="shared" si="27"/>
        <v>6530</v>
      </c>
      <c r="H352" s="1674">
        <f t="shared" si="27"/>
        <v>0</v>
      </c>
      <c r="I352" s="1674">
        <f t="shared" si="27"/>
        <v>0</v>
      </c>
      <c r="J352" s="1674">
        <f t="shared" si="27"/>
        <v>0</v>
      </c>
      <c r="K352" s="1674">
        <f t="shared" si="27"/>
        <v>19830</v>
      </c>
      <c r="L352" s="1674">
        <f t="shared" si="27"/>
        <v>23000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13300</v>
      </c>
      <c r="F367" s="1674">
        <f t="shared" si="28"/>
        <v>0</v>
      </c>
      <c r="G367" s="1674">
        <f t="shared" si="28"/>
        <v>6530</v>
      </c>
      <c r="H367" s="1674">
        <f t="shared" si="28"/>
        <v>0</v>
      </c>
      <c r="I367" s="1674">
        <f t="shared" si="28"/>
        <v>0</v>
      </c>
      <c r="J367" s="1674">
        <f t="shared" si="28"/>
        <v>0</v>
      </c>
      <c r="K367" s="1674">
        <f t="shared" si="28"/>
        <v>19830</v>
      </c>
      <c r="L367" s="1674">
        <f t="shared" si="28"/>
        <v>23000</v>
      </c>
    </row>
    <row r="368" spans="1:14" ht="13.5" thickTop="1" x14ac:dyDescent="0.2">
      <c r="A368" s="2308" t="s">
        <v>989</v>
      </c>
      <c r="B368" s="2309"/>
      <c r="C368" s="1694"/>
      <c r="D368" s="1694"/>
      <c r="E368" s="1677"/>
      <c r="F368" s="1677"/>
      <c r="G368" s="1677"/>
      <c r="H368" s="1677"/>
      <c r="I368" s="1677"/>
      <c r="J368" s="1676"/>
      <c r="K368" s="1672">
        <f>'Revenues 9-14'!K268-'Expenditures 15-22'!K367</f>
        <v>-5099</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335"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336"/>
      <c r="B3" s="1294"/>
      <c r="C3" s="1295"/>
      <c r="D3" s="1296" t="s">
        <v>254</v>
      </c>
      <c r="E3" s="1295"/>
      <c r="F3" s="1296" t="s">
        <v>255</v>
      </c>
    </row>
    <row r="4" spans="1:8" ht="13.7" customHeight="1" x14ac:dyDescent="0.2">
      <c r="A4" s="579" t="s">
        <v>1145</v>
      </c>
      <c r="B4" s="1721">
        <f>'Revenues 9-14'!C5</f>
        <v>898506</v>
      </c>
      <c r="C4" s="1722">
        <v>503947</v>
      </c>
      <c r="D4" s="1723">
        <f>B4-C4</f>
        <v>394559</v>
      </c>
      <c r="E4" s="1722">
        <v>912655</v>
      </c>
      <c r="F4" s="1723">
        <f>E4-C4</f>
        <v>408708</v>
      </c>
    </row>
    <row r="5" spans="1:8" ht="13.7" customHeight="1" x14ac:dyDescent="0.2">
      <c r="A5" s="579" t="s">
        <v>865</v>
      </c>
      <c r="B5" s="1724">
        <f>'Revenues 9-14'!D5</f>
        <v>123390</v>
      </c>
      <c r="C5" s="1664">
        <v>69085</v>
      </c>
      <c r="D5" s="1725">
        <f t="shared" ref="D5:D18" si="0">B5-C5</f>
        <v>54305</v>
      </c>
      <c r="E5" s="1664">
        <v>125114</v>
      </c>
      <c r="F5" s="1725">
        <f>E5-C5</f>
        <v>56029</v>
      </c>
    </row>
    <row r="6" spans="1:8" ht="13.7" customHeight="1" x14ac:dyDescent="0.2">
      <c r="A6" s="579" t="s">
        <v>408</v>
      </c>
      <c r="B6" s="1724">
        <f>'Revenues 9-14'!E5</f>
        <v>210807</v>
      </c>
      <c r="C6" s="1664">
        <v>115437</v>
      </c>
      <c r="D6" s="1725">
        <f t="shared" si="0"/>
        <v>95370</v>
      </c>
      <c r="E6" s="1664">
        <v>209058</v>
      </c>
      <c r="F6" s="1725">
        <f t="shared" ref="F6:F18" si="1">E6-C6</f>
        <v>93621</v>
      </c>
    </row>
    <row r="7" spans="1:8" ht="13.7" customHeight="1" x14ac:dyDescent="0.2">
      <c r="A7" s="579" t="s">
        <v>154</v>
      </c>
      <c r="B7" s="1724">
        <f>'Revenues 9-14'!F5</f>
        <v>59242</v>
      </c>
      <c r="C7" s="1664">
        <v>33172</v>
      </c>
      <c r="D7" s="1725">
        <f t="shared" si="0"/>
        <v>26070</v>
      </c>
      <c r="E7" s="1664">
        <v>60075</v>
      </c>
      <c r="F7" s="1725">
        <f t="shared" si="1"/>
        <v>26903</v>
      </c>
    </row>
    <row r="8" spans="1:8" ht="13.7" customHeight="1" x14ac:dyDescent="0.2">
      <c r="A8" s="579" t="s">
        <v>1169</v>
      </c>
      <c r="B8" s="1724">
        <f>'Revenues 9-14'!G5</f>
        <v>12244</v>
      </c>
      <c r="C8" s="1664">
        <v>8833</v>
      </c>
      <c r="D8" s="1725">
        <f t="shared" si="0"/>
        <v>3411</v>
      </c>
      <c r="E8" s="1664">
        <v>15997</v>
      </c>
      <c r="F8" s="1725">
        <f t="shared" si="1"/>
        <v>7164</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24686</v>
      </c>
      <c r="C10" s="1664">
        <v>13817</v>
      </c>
      <c r="D10" s="1725">
        <f t="shared" si="0"/>
        <v>10869</v>
      </c>
      <c r="E10" s="1664">
        <v>25023</v>
      </c>
      <c r="F10" s="1725">
        <f t="shared" si="1"/>
        <v>11206</v>
      </c>
    </row>
    <row r="11" spans="1:8" x14ac:dyDescent="0.2">
      <c r="A11" s="579" t="s">
        <v>406</v>
      </c>
      <c r="B11" s="1724">
        <f>'Revenues 9-14'!J5</f>
        <v>192658</v>
      </c>
      <c r="C11" s="1664">
        <v>106023</v>
      </c>
      <c r="D11" s="1725">
        <f t="shared" si="0"/>
        <v>86635</v>
      </c>
      <c r="E11" s="1664">
        <v>192008</v>
      </c>
      <c r="F11" s="1725">
        <f t="shared" si="1"/>
        <v>85985</v>
      </c>
    </row>
    <row r="12" spans="1:8" ht="13.7" customHeight="1" x14ac:dyDescent="0.2">
      <c r="A12" s="579" t="s">
        <v>156</v>
      </c>
      <c r="B12" s="1724">
        <f>'Revenues 9-14'!K5</f>
        <v>13638</v>
      </c>
      <c r="C12" s="1664">
        <v>2769</v>
      </c>
      <c r="D12" s="1725">
        <f t="shared" si="0"/>
        <v>10869</v>
      </c>
      <c r="E12" s="1664">
        <v>5015</v>
      </c>
      <c r="F12" s="1725">
        <f t="shared" si="1"/>
        <v>2246</v>
      </c>
    </row>
    <row r="13" spans="1:8" ht="13.7" customHeight="1" x14ac:dyDescent="0.2">
      <c r="A13" s="579" t="s">
        <v>930</v>
      </c>
      <c r="B13" s="1724">
        <f>SUM('Revenues 9-14'!C6:D6)</f>
        <v>3315</v>
      </c>
      <c r="C13" s="1664">
        <v>2769</v>
      </c>
      <c r="D13" s="1725">
        <f t="shared" si="0"/>
        <v>546</v>
      </c>
      <c r="E13" s="1664">
        <v>5015</v>
      </c>
      <c r="F13" s="1725">
        <f t="shared" si="1"/>
        <v>2246</v>
      </c>
    </row>
    <row r="14" spans="1:8" ht="13.7" customHeight="1" x14ac:dyDescent="0.2">
      <c r="A14" s="579" t="s">
        <v>407</v>
      </c>
      <c r="B14" s="1724">
        <f>SUM('Revenues 9-14'!C7:D7,'Revenues 9-14'!F7:H7)</f>
        <v>9891</v>
      </c>
      <c r="C14" s="1664">
        <v>5538</v>
      </c>
      <c r="D14" s="1725">
        <f t="shared" si="0"/>
        <v>4353</v>
      </c>
      <c r="E14" s="1664">
        <v>10029</v>
      </c>
      <c r="F14" s="1725">
        <f t="shared" si="1"/>
        <v>4491</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12244</v>
      </c>
      <c r="C16" s="1664">
        <v>8833</v>
      </c>
      <c r="D16" s="1725">
        <f t="shared" si="0"/>
        <v>3411</v>
      </c>
      <c r="E16" s="1664">
        <v>15997</v>
      </c>
      <c r="F16" s="1725">
        <f t="shared" si="1"/>
        <v>7164</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1560621</v>
      </c>
      <c r="C19" s="1726">
        <f>SUM(C4:C18)</f>
        <v>870223</v>
      </c>
      <c r="D19" s="1726">
        <f>SUM(D4:D18)</f>
        <v>690398</v>
      </c>
      <c r="E19" s="1726">
        <f>SUM(E4:E18)</f>
        <v>1575986</v>
      </c>
      <c r="F19" s="1726">
        <f>SUM(F4:F18)</f>
        <v>705763</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57" t="s">
        <v>625</v>
      </c>
      <c r="B1" s="2355"/>
      <c r="C1" s="585"/>
    </row>
    <row r="2" spans="1:7" ht="33.75" x14ac:dyDescent="0.2">
      <c r="A2" s="2362" t="s">
        <v>1779</v>
      </c>
      <c r="B2" s="2363"/>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64" t="s">
        <v>1104</v>
      </c>
      <c r="B3" s="2365"/>
      <c r="C3" s="2358"/>
      <c r="D3" s="2359"/>
      <c r="E3" s="2359"/>
      <c r="F3" s="2360"/>
    </row>
    <row r="4" spans="1:7" ht="12.75" customHeight="1" thickBot="1" x14ac:dyDescent="0.25">
      <c r="A4" s="2352" t="s">
        <v>626</v>
      </c>
      <c r="B4" s="2353"/>
      <c r="C4" s="1656"/>
      <c r="D4" s="1656"/>
      <c r="E4" s="1656"/>
      <c r="F4" s="1732">
        <f>SUM(C4+D4)-E4</f>
        <v>0</v>
      </c>
    </row>
    <row r="5" spans="1:7" ht="15.75" customHeight="1" thickTop="1" x14ac:dyDescent="0.2">
      <c r="A5" s="2356" t="s">
        <v>1101</v>
      </c>
      <c r="B5" s="2351"/>
      <c r="C5" s="2345"/>
      <c r="D5" s="2346"/>
      <c r="E5" s="2346"/>
      <c r="F5" s="2347"/>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48" t="s">
        <v>627</v>
      </c>
      <c r="B15" s="2349"/>
      <c r="C15" s="1732">
        <f>SUM(C6:C14)</f>
        <v>0</v>
      </c>
      <c r="D15" s="1732">
        <f>SUM(D6:D14)</f>
        <v>0</v>
      </c>
      <c r="E15" s="1732">
        <f>SUM(E6:E14)</f>
        <v>0</v>
      </c>
      <c r="F15" s="1732">
        <f>SUM(F6:F14)</f>
        <v>0</v>
      </c>
      <c r="G15" s="473"/>
    </row>
    <row r="16" spans="1:7" s="197" customFormat="1" ht="15.75" customHeight="1" thickTop="1" x14ac:dyDescent="0.2">
      <c r="A16" s="2361" t="s">
        <v>1102</v>
      </c>
      <c r="B16" s="2351"/>
      <c r="C16" s="2345"/>
      <c r="D16" s="2346"/>
      <c r="E16" s="2346"/>
      <c r="F16" s="2347"/>
    </row>
    <row r="17" spans="1:11" ht="12.75" customHeight="1" thickBot="1" x14ac:dyDescent="0.25">
      <c r="A17" s="2343" t="s">
        <v>64</v>
      </c>
      <c r="B17" s="2344"/>
      <c r="C17" s="1733"/>
      <c r="D17" s="1664"/>
      <c r="E17" s="1733"/>
      <c r="F17" s="1732">
        <f>SUM(C17+D17)-E17</f>
        <v>0</v>
      </c>
    </row>
    <row r="18" spans="1:11" ht="12.75" customHeight="1" thickTop="1" thickBot="1" x14ac:dyDescent="0.25">
      <c r="A18" s="2343" t="s">
        <v>6</v>
      </c>
      <c r="B18" s="2344"/>
      <c r="C18" s="1733"/>
      <c r="D18" s="1664"/>
      <c r="E18" s="1733"/>
      <c r="F18" s="1732">
        <f>SUM(C18+D18)-E18</f>
        <v>0</v>
      </c>
    </row>
    <row r="19" spans="1:11" ht="12.75" customHeight="1" thickTop="1" thickBot="1" x14ac:dyDescent="0.25">
      <c r="A19" s="2343" t="s">
        <v>385</v>
      </c>
      <c r="B19" s="2344"/>
      <c r="C19" s="1733"/>
      <c r="D19" s="1664"/>
      <c r="E19" s="1733"/>
      <c r="F19" s="1732">
        <f>SUM(C19+D19)-E19</f>
        <v>0</v>
      </c>
    </row>
    <row r="20" spans="1:11" ht="12.75" customHeight="1" thickTop="1" thickBot="1" x14ac:dyDescent="0.25">
      <c r="A20" s="2343" t="s">
        <v>445</v>
      </c>
      <c r="B20" s="2344"/>
      <c r="C20" s="1733"/>
      <c r="D20" s="1664"/>
      <c r="E20" s="1733"/>
      <c r="F20" s="1732">
        <f>SUM(C20+D20)-E20</f>
        <v>0</v>
      </c>
    </row>
    <row r="21" spans="1:11" ht="14.25" thickTop="1" thickBot="1" x14ac:dyDescent="0.25">
      <c r="A21" s="2348" t="s">
        <v>628</v>
      </c>
      <c r="B21" s="2349"/>
      <c r="C21" s="1732">
        <f>SUM(C17:C20)</f>
        <v>0</v>
      </c>
      <c r="D21" s="1732">
        <f>SUM(D17:D20)</f>
        <v>0</v>
      </c>
      <c r="E21" s="1732">
        <f>SUM(E17:E20)</f>
        <v>0</v>
      </c>
      <c r="F21" s="1732">
        <f>SUM(F17:F20)</f>
        <v>0</v>
      </c>
      <c r="G21" s="473"/>
    </row>
    <row r="22" spans="1:11" ht="15.75" customHeight="1" thickTop="1" x14ac:dyDescent="0.2">
      <c r="A22" s="2350" t="s">
        <v>1103</v>
      </c>
      <c r="B22" s="2351"/>
      <c r="C22" s="2345"/>
      <c r="D22" s="2346"/>
      <c r="E22" s="2346"/>
      <c r="F22" s="2347"/>
    </row>
    <row r="23" spans="1:11" ht="13.5" thickBot="1" x14ac:dyDescent="0.25">
      <c r="A23" s="2352" t="s">
        <v>629</v>
      </c>
      <c r="B23" s="2353"/>
      <c r="C23" s="1656"/>
      <c r="D23" s="1656"/>
      <c r="E23" s="1656"/>
      <c r="F23" s="1732">
        <f>SUM(C23+D23)-E23</f>
        <v>0</v>
      </c>
      <c r="G23" s="473"/>
    </row>
    <row r="24" spans="1:11" ht="15.75" customHeight="1" thickTop="1" x14ac:dyDescent="0.2">
      <c r="A24" s="2350" t="s">
        <v>2006</v>
      </c>
      <c r="B24" s="2351"/>
      <c r="C24" s="2345"/>
      <c r="D24" s="2346"/>
      <c r="E24" s="2346"/>
      <c r="F24" s="2347"/>
    </row>
    <row r="25" spans="1:11" ht="13.5" thickBot="1" x14ac:dyDescent="0.25">
      <c r="A25" s="2352" t="s">
        <v>2007</v>
      </c>
      <c r="B25" s="2353"/>
      <c r="C25" s="1656"/>
      <c r="D25" s="1656"/>
      <c r="E25" s="1656"/>
      <c r="F25" s="1732">
        <f>SUM(C25+D25)-E25</f>
        <v>0</v>
      </c>
      <c r="G25" s="473"/>
    </row>
    <row r="26" spans="1:11" ht="15.75" customHeight="1" thickTop="1" x14ac:dyDescent="0.2">
      <c r="A26" s="2356" t="s">
        <v>652</v>
      </c>
      <c r="B26" s="2351"/>
      <c r="C26" s="589"/>
      <c r="D26" s="589"/>
      <c r="E26" s="589"/>
      <c r="F26" s="590"/>
    </row>
    <row r="27" spans="1:11" ht="13.5" thickBot="1" x14ac:dyDescent="0.25">
      <c r="A27" s="2348" t="s">
        <v>1061</v>
      </c>
      <c r="B27" s="2349"/>
      <c r="C27" s="1664"/>
      <c r="D27" s="1664"/>
      <c r="E27" s="1664"/>
      <c r="F27" s="1732">
        <f>SUM(C27+D27)-E27</f>
        <v>0</v>
      </c>
      <c r="G27" s="473"/>
    </row>
    <row r="28" spans="1:11" ht="7.5" customHeight="1" thickTop="1" x14ac:dyDescent="0.2">
      <c r="A28" s="489"/>
    </row>
    <row r="29" spans="1:11" ht="23.25" customHeight="1" x14ac:dyDescent="0.2">
      <c r="A29" s="2354" t="s">
        <v>578</v>
      </c>
      <c r="B29" s="2355"/>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2111</v>
      </c>
      <c r="B31" s="595">
        <v>43174</v>
      </c>
      <c r="C31" s="1734">
        <v>200000</v>
      </c>
      <c r="D31" s="1735">
        <v>1</v>
      </c>
      <c r="E31" s="1734">
        <v>100000</v>
      </c>
      <c r="F31" s="1734"/>
      <c r="G31" s="1734"/>
      <c r="H31" s="1734">
        <v>100000</v>
      </c>
      <c r="I31" s="1736">
        <f>((E31+F31)-H31)+G31</f>
        <v>0</v>
      </c>
      <c r="J31" s="1734">
        <v>0</v>
      </c>
      <c r="K31" s="596"/>
    </row>
    <row r="32" spans="1:11" ht="12" customHeight="1" x14ac:dyDescent="0.2">
      <c r="A32" s="594" t="s">
        <v>2110</v>
      </c>
      <c r="B32" s="595">
        <v>41426</v>
      </c>
      <c r="C32" s="1734">
        <v>1300000</v>
      </c>
      <c r="D32" s="1735">
        <v>2</v>
      </c>
      <c r="E32" s="1734">
        <v>1185000</v>
      </c>
      <c r="F32" s="1734"/>
      <c r="G32" s="1734"/>
      <c r="H32" s="1734">
        <v>60000</v>
      </c>
      <c r="I32" s="1736">
        <f>((E32+F32)-H32)+G32</f>
        <v>1125000</v>
      </c>
      <c r="J32" s="1734">
        <f>1125000-139698</f>
        <v>985302</v>
      </c>
      <c r="K32" s="596"/>
    </row>
    <row r="33" spans="1:11" ht="12" customHeight="1" x14ac:dyDescent="0.2">
      <c r="A33" s="594" t="s">
        <v>2109</v>
      </c>
      <c r="B33" s="595">
        <v>43860</v>
      </c>
      <c r="C33" s="1734">
        <v>277800</v>
      </c>
      <c r="D33" s="1735">
        <v>2</v>
      </c>
      <c r="E33" s="1734"/>
      <c r="F33" s="1734">
        <v>277800</v>
      </c>
      <c r="G33" s="1734"/>
      <c r="H33" s="1734"/>
      <c r="I33" s="1736">
        <f t="shared" ref="I33:I48" si="1">((E33+F33)-H33)+G33</f>
        <v>277800</v>
      </c>
      <c r="J33" s="1734">
        <v>277800</v>
      </c>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1777800</v>
      </c>
      <c r="D49" s="1742"/>
      <c r="E49" s="1736">
        <f t="shared" ref="E49:J49" si="2">SUM(E31:E48)</f>
        <v>1285000</v>
      </c>
      <c r="F49" s="1736">
        <f t="shared" si="2"/>
        <v>277800</v>
      </c>
      <c r="G49" s="1736">
        <f t="shared" si="2"/>
        <v>0</v>
      </c>
      <c r="H49" s="1736">
        <f t="shared" si="2"/>
        <v>160000</v>
      </c>
      <c r="I49" s="1736">
        <f t="shared" si="2"/>
        <v>1402800</v>
      </c>
      <c r="J49" s="1736">
        <f t="shared" si="2"/>
        <v>1263102</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37" t="s">
        <v>580</v>
      </c>
      <c r="C52" s="2338"/>
      <c r="D52" s="2338"/>
      <c r="E52" s="603" t="s">
        <v>840</v>
      </c>
      <c r="F52" s="2339"/>
      <c r="G52" s="2340"/>
      <c r="H52" s="596"/>
      <c r="I52" s="596"/>
      <c r="J52" s="600"/>
    </row>
    <row r="53" spans="1:11" ht="11.25" customHeight="1" x14ac:dyDescent="0.2">
      <c r="A53" s="604" t="s">
        <v>907</v>
      </c>
      <c r="B53" s="605" t="s">
        <v>945</v>
      </c>
      <c r="C53" s="600"/>
      <c r="D53" s="597"/>
      <c r="E53" s="603" t="s">
        <v>494</v>
      </c>
      <c r="F53" s="2341"/>
      <c r="G53" s="2342"/>
      <c r="H53" s="596"/>
      <c r="I53" s="596"/>
      <c r="J53" s="600"/>
    </row>
    <row r="54" spans="1:11" ht="11.25" customHeight="1" x14ac:dyDescent="0.2">
      <c r="A54" s="606" t="s">
        <v>908</v>
      </c>
      <c r="B54" s="601" t="s">
        <v>946</v>
      </c>
      <c r="C54" s="600"/>
      <c r="D54" s="597"/>
      <c r="E54" s="603" t="s">
        <v>495</v>
      </c>
      <c r="F54" s="2341"/>
      <c r="G54" s="2342"/>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66" t="s">
        <v>851</v>
      </c>
      <c r="B1" s="2367"/>
      <c r="C1" s="2367"/>
      <c r="D1" s="2367"/>
      <c r="E1" s="2367"/>
      <c r="F1" s="2367"/>
      <c r="G1" s="2368"/>
      <c r="H1" s="1298"/>
      <c r="I1" s="614"/>
      <c r="J1" s="400"/>
    </row>
    <row r="2" spans="1:11" ht="26.25" x14ac:dyDescent="0.2">
      <c r="A2" s="2385" t="s">
        <v>1658</v>
      </c>
      <c r="B2" s="2386"/>
      <c r="C2" s="2386"/>
      <c r="D2" s="2386"/>
      <c r="E2" s="2387"/>
      <c r="F2" s="615" t="s">
        <v>898</v>
      </c>
      <c r="G2" s="616" t="s">
        <v>1655</v>
      </c>
      <c r="H2" s="616" t="s">
        <v>407</v>
      </c>
      <c r="I2" s="616" t="s">
        <v>1148</v>
      </c>
      <c r="J2" s="616" t="s">
        <v>1789</v>
      </c>
      <c r="K2" s="616" t="s">
        <v>137</v>
      </c>
    </row>
    <row r="3" spans="1:11" x14ac:dyDescent="0.2">
      <c r="A3" s="2388" t="str">
        <f>"Cash Basis Fund Balance as of July 1, "&amp;'AFR20'!E2-1</f>
        <v>Cash Basis Fund Balance as of July 1, 2019</v>
      </c>
      <c r="B3" s="2389"/>
      <c r="C3" s="2389"/>
      <c r="D3" s="2389"/>
      <c r="E3" s="2390"/>
      <c r="F3" s="617"/>
      <c r="G3" s="1744"/>
      <c r="H3" s="1744"/>
      <c r="I3" s="1744"/>
      <c r="J3" s="1745">
        <v>296561</v>
      </c>
      <c r="K3" s="1745"/>
    </row>
    <row r="4" spans="1:11" x14ac:dyDescent="0.2">
      <c r="A4" s="2391" t="s">
        <v>366</v>
      </c>
      <c r="B4" s="2392"/>
      <c r="C4" s="2392"/>
      <c r="D4" s="2392"/>
      <c r="E4" s="2338"/>
      <c r="F4" s="620"/>
      <c r="G4" s="1746"/>
      <c r="H4" s="1747"/>
      <c r="I4" s="1746"/>
      <c r="J4" s="1748"/>
      <c r="K4" s="1748"/>
    </row>
    <row r="5" spans="1:11" x14ac:dyDescent="0.2">
      <c r="A5" s="2369" t="s">
        <v>1060</v>
      </c>
      <c r="B5" s="2370"/>
      <c r="C5" s="2370"/>
      <c r="D5" s="2370"/>
      <c r="E5" s="2371"/>
      <c r="F5" s="622" t="s">
        <v>843</v>
      </c>
      <c r="G5" s="1749"/>
      <c r="H5" s="1744">
        <v>9891</v>
      </c>
      <c r="I5" s="1750"/>
      <c r="J5" s="1751"/>
      <c r="K5" s="1751"/>
    </row>
    <row r="6" spans="1:11" x14ac:dyDescent="0.2">
      <c r="A6" s="625" t="s">
        <v>715</v>
      </c>
      <c r="B6" s="626"/>
      <c r="C6" s="626"/>
      <c r="D6" s="626"/>
      <c r="E6" s="627"/>
      <c r="F6" s="628" t="s">
        <v>844</v>
      </c>
      <c r="G6" s="1744"/>
      <c r="H6" s="1744">
        <v>5</v>
      </c>
      <c r="I6" s="1744"/>
      <c r="J6" s="1745">
        <v>1587</v>
      </c>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v>117440</v>
      </c>
      <c r="K8" s="1748"/>
    </row>
    <row r="9" spans="1:11" x14ac:dyDescent="0.2">
      <c r="A9" s="629" t="s">
        <v>137</v>
      </c>
      <c r="B9" s="630"/>
      <c r="C9" s="630"/>
      <c r="D9" s="630"/>
      <c r="E9" s="631"/>
      <c r="F9" s="628" t="s">
        <v>848</v>
      </c>
      <c r="G9" s="1753"/>
      <c r="H9" s="1749"/>
      <c r="I9" s="1749"/>
      <c r="J9" s="1752"/>
      <c r="K9" s="1745"/>
    </row>
    <row r="10" spans="1:11" x14ac:dyDescent="0.2">
      <c r="A10" s="2369" t="s">
        <v>1790</v>
      </c>
      <c r="B10" s="2370"/>
      <c r="C10" s="2370"/>
      <c r="D10" s="2370"/>
      <c r="E10" s="2372"/>
      <c r="F10" s="633" t="s">
        <v>857</v>
      </c>
      <c r="G10" s="1753"/>
      <c r="H10" s="1754"/>
      <c r="I10" s="1744"/>
      <c r="J10" s="1745"/>
      <c r="K10" s="1745"/>
    </row>
    <row r="11" spans="1:11" x14ac:dyDescent="0.2">
      <c r="A11" s="2369" t="s">
        <v>159</v>
      </c>
      <c r="B11" s="2370"/>
      <c r="C11" s="2370"/>
      <c r="D11" s="2370"/>
      <c r="E11" s="2371"/>
      <c r="F11" s="622" t="s">
        <v>847</v>
      </c>
      <c r="G11" s="1749"/>
      <c r="H11" s="1744"/>
      <c r="I11" s="1744"/>
      <c r="J11" s="1745"/>
      <c r="K11" s="1751"/>
    </row>
    <row r="12" spans="1:11" ht="13.5" thickBot="1" x14ac:dyDescent="0.25">
      <c r="A12" s="2396" t="s">
        <v>899</v>
      </c>
      <c r="B12" s="2397"/>
      <c r="C12" s="2397"/>
      <c r="D12" s="2397"/>
      <c r="E12" s="2398"/>
      <c r="F12" s="1433"/>
      <c r="G12" s="1755">
        <f>SUM(G5:G11)</f>
        <v>0</v>
      </c>
      <c r="H12" s="1755">
        <f>SUM(H5:H11)</f>
        <v>9896</v>
      </c>
      <c r="I12" s="1755">
        <f>SUM(I5:I11)</f>
        <v>0</v>
      </c>
      <c r="J12" s="1755">
        <f>SUM(J5:J11)</f>
        <v>119027</v>
      </c>
      <c r="K12" s="1755">
        <f>SUM(K5:K11)</f>
        <v>0</v>
      </c>
    </row>
    <row r="13" spans="1:11" ht="13.5" thickTop="1" x14ac:dyDescent="0.2">
      <c r="A13" s="2393" t="s">
        <v>367</v>
      </c>
      <c r="B13" s="2394"/>
      <c r="C13" s="2394"/>
      <c r="D13" s="2394"/>
      <c r="E13" s="2395"/>
      <c r="F13" s="634"/>
      <c r="G13" s="1756"/>
      <c r="H13" s="1757"/>
      <c r="I13" s="1758"/>
      <c r="J13" s="1758"/>
      <c r="K13" s="1758"/>
    </row>
    <row r="14" spans="1:11" x14ac:dyDescent="0.2">
      <c r="A14" s="2376" t="s">
        <v>453</v>
      </c>
      <c r="B14" s="2376"/>
      <c r="C14" s="2376"/>
      <c r="D14" s="2376"/>
      <c r="E14" s="2377"/>
      <c r="F14" s="635" t="s">
        <v>849</v>
      </c>
      <c r="G14" s="1753"/>
      <c r="H14" s="1744">
        <v>9896</v>
      </c>
      <c r="I14" s="1749"/>
      <c r="J14" s="1751"/>
      <c r="K14" s="1745"/>
    </row>
    <row r="15" spans="1:11" x14ac:dyDescent="0.2">
      <c r="A15" s="2370" t="s">
        <v>4</v>
      </c>
      <c r="B15" s="2370"/>
      <c r="C15" s="2370"/>
      <c r="D15" s="2370"/>
      <c r="E15" s="2371"/>
      <c r="F15" s="635" t="s">
        <v>850</v>
      </c>
      <c r="G15" s="1749"/>
      <c r="H15" s="1744"/>
      <c r="I15" s="1744"/>
      <c r="J15" s="1745">
        <v>179046</v>
      </c>
      <c r="K15" s="1745"/>
    </row>
    <row r="16" spans="1:11" x14ac:dyDescent="0.2">
      <c r="A16" s="2370" t="s">
        <v>295</v>
      </c>
      <c r="B16" s="2370"/>
      <c r="C16" s="2370"/>
      <c r="D16" s="2370"/>
      <c r="E16" s="2371"/>
      <c r="F16" s="635" t="s">
        <v>917</v>
      </c>
      <c r="G16" s="1750"/>
      <c r="H16" s="1746"/>
      <c r="I16" s="1746"/>
      <c r="J16" s="1748"/>
      <c r="K16" s="1748"/>
    </row>
    <row r="17" spans="1:15" x14ac:dyDescent="0.2">
      <c r="A17" s="2403" t="s">
        <v>929</v>
      </c>
      <c r="B17" s="2403"/>
      <c r="C17" s="2403"/>
      <c r="D17" s="2403"/>
      <c r="E17" s="2404"/>
      <c r="F17" s="636"/>
      <c r="G17" s="1759"/>
      <c r="H17" s="1760"/>
      <c r="I17" s="1760"/>
      <c r="J17" s="1761"/>
      <c r="K17" s="1762"/>
    </row>
    <row r="18" spans="1:15" x14ac:dyDescent="0.2">
      <c r="A18" s="2380" t="s">
        <v>365</v>
      </c>
      <c r="B18" s="2381"/>
      <c r="C18" s="2381"/>
      <c r="D18" s="2381"/>
      <c r="E18" s="2382"/>
      <c r="F18" s="635" t="s">
        <v>926</v>
      </c>
      <c r="G18" s="1753"/>
      <c r="H18" s="1753"/>
      <c r="I18" s="1753"/>
      <c r="J18" s="1745"/>
      <c r="K18" s="1763"/>
    </row>
    <row r="19" spans="1:15" ht="21.75" customHeight="1" x14ac:dyDescent="0.2">
      <c r="A19" s="2378" t="s">
        <v>1786</v>
      </c>
      <c r="B19" s="2378"/>
      <c r="C19" s="2378"/>
      <c r="D19" s="2378"/>
      <c r="E19" s="2379"/>
      <c r="F19" s="635" t="s">
        <v>927</v>
      </c>
      <c r="G19" s="1753"/>
      <c r="H19" s="1753"/>
      <c r="I19" s="1753"/>
      <c r="J19" s="1745"/>
      <c r="K19" s="1763"/>
    </row>
    <row r="20" spans="1:15" x14ac:dyDescent="0.2">
      <c r="A20" s="2380" t="s">
        <v>1791</v>
      </c>
      <c r="B20" s="2381"/>
      <c r="C20" s="2381"/>
      <c r="D20" s="2381"/>
      <c r="E20" s="2382"/>
      <c r="F20" s="635" t="s">
        <v>928</v>
      </c>
      <c r="G20" s="1753"/>
      <c r="H20" s="1753"/>
      <c r="I20" s="1753"/>
      <c r="J20" s="1745"/>
      <c r="K20" s="1763"/>
    </row>
    <row r="21" spans="1:15" ht="13.5" thickBot="1" x14ac:dyDescent="0.25">
      <c r="A21" s="2399" t="s">
        <v>633</v>
      </c>
      <c r="B21" s="2399"/>
      <c r="C21" s="2399"/>
      <c r="D21" s="2399"/>
      <c r="E21" s="2399"/>
      <c r="F21" s="1434"/>
      <c r="G21" s="1760"/>
      <c r="H21" s="1764"/>
      <c r="I21" s="1764"/>
      <c r="J21" s="1765">
        <f>SUM(J18:J20)</f>
        <v>0</v>
      </c>
      <c r="K21" s="1761"/>
    </row>
    <row r="22" spans="1:15" ht="13.5" thickTop="1" x14ac:dyDescent="0.2">
      <c r="A22" s="2370" t="s">
        <v>1792</v>
      </c>
      <c r="B22" s="2370"/>
      <c r="C22" s="2370"/>
      <c r="D22" s="2370"/>
      <c r="E22" s="2371"/>
      <c r="F22" s="635" t="s">
        <v>857</v>
      </c>
      <c r="G22" s="1753"/>
      <c r="H22" s="1744"/>
      <c r="I22" s="1744"/>
      <c r="J22" s="1766"/>
      <c r="K22" s="1745"/>
    </row>
    <row r="23" spans="1:15" ht="13.5" thickBot="1" x14ac:dyDescent="0.25">
      <c r="A23" s="2400" t="s">
        <v>900</v>
      </c>
      <c r="B23" s="2399"/>
      <c r="C23" s="2399"/>
      <c r="D23" s="2399"/>
      <c r="E23" s="2399"/>
      <c r="F23" s="1436"/>
      <c r="G23" s="1755">
        <f>SUM(G14:G16,G21,G22)</f>
        <v>0</v>
      </c>
      <c r="H23" s="1755">
        <f>SUM(H14:H16,H21,H22)</f>
        <v>9896</v>
      </c>
      <c r="I23" s="1755">
        <f>SUM(I14:I16,I21,I22)</f>
        <v>0</v>
      </c>
      <c r="J23" s="1755">
        <f>SUM(J14:J16,J21,J22)</f>
        <v>179046</v>
      </c>
      <c r="K23" s="1755">
        <f>SUM(K14:K16,K21,K22)</f>
        <v>0</v>
      </c>
      <c r="M23" s="1846"/>
      <c r="N23" s="1846"/>
      <c r="O23" s="1846"/>
    </row>
    <row r="24" spans="1:15" ht="14.25" thickTop="1" thickBot="1" x14ac:dyDescent="0.25">
      <c r="A24" s="2401" t="str">
        <f>"Ending Cash Basis Fund Balance as of June 30, "&amp;'AFR20'!E2</f>
        <v>Ending Cash Basis Fund Balance as of June 30, 2020</v>
      </c>
      <c r="B24" s="2402"/>
      <c r="C24" s="2402"/>
      <c r="D24" s="2402"/>
      <c r="E24" s="2402"/>
      <c r="F24" s="1437"/>
      <c r="G24" s="1767">
        <f>SUM(G3,G12)-G23</f>
        <v>0</v>
      </c>
      <c r="H24" s="1767">
        <f>SUM(H3,H12)-H23</f>
        <v>0</v>
      </c>
      <c r="I24" s="1767">
        <f>SUM(I3,I12)-I23</f>
        <v>0</v>
      </c>
      <c r="J24" s="1767">
        <f>SUM(J3,J12)-J23</f>
        <v>236542</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236542</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73"/>
      <c r="I31" s="2374"/>
      <c r="J31" s="2374"/>
      <c r="K31" s="2374"/>
    </row>
    <row r="32" spans="1:15" x14ac:dyDescent="0.2">
      <c r="A32" s="649"/>
      <c r="B32" s="232"/>
      <c r="C32" s="232"/>
      <c r="D32" s="232"/>
      <c r="E32" s="645"/>
      <c r="F32" s="651" t="s">
        <v>537</v>
      </c>
      <c r="G32" s="618"/>
      <c r="H32" s="2375"/>
      <c r="I32" s="2374"/>
      <c r="J32" s="2374"/>
      <c r="K32" s="2374"/>
    </row>
    <row r="33" spans="1:11" ht="1.5" customHeight="1" x14ac:dyDescent="0.2">
      <c r="A33" s="652" t="s">
        <v>1159</v>
      </c>
      <c r="B33" s="341"/>
      <c r="C33" s="341"/>
      <c r="D33" s="341"/>
      <c r="E33" s="341"/>
      <c r="F33" s="341"/>
      <c r="G33" s="653"/>
      <c r="H33" s="2375"/>
      <c r="I33" s="2374"/>
      <c r="J33" s="2374"/>
      <c r="K33" s="2374"/>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70" t="s">
        <v>538</v>
      </c>
      <c r="B41" s="2383"/>
      <c r="C41" s="2383"/>
      <c r="D41" s="2383"/>
      <c r="E41" s="2383"/>
      <c r="F41" s="2384"/>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07" t="s">
        <v>1875</v>
      </c>
      <c r="B1" s="2408"/>
      <c r="C1" s="2409"/>
      <c r="D1" s="666"/>
      <c r="E1" s="667"/>
      <c r="F1" s="667"/>
      <c r="G1" s="668"/>
      <c r="H1" s="669"/>
      <c r="I1" s="670"/>
      <c r="J1" s="2405"/>
      <c r="K1" s="2406"/>
      <c r="L1" s="2406"/>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8150</v>
      </c>
      <c r="D5" s="1770"/>
      <c r="E5" s="1770"/>
      <c r="F5" s="1765">
        <f>(C5+D5)-E5</f>
        <v>8150</v>
      </c>
      <c r="G5" s="676"/>
      <c r="H5" s="680"/>
      <c r="I5" s="680"/>
      <c r="J5" s="680"/>
      <c r="K5" s="637"/>
      <c r="L5" s="1442">
        <f>F5-K5</f>
        <v>8150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4268281</v>
      </c>
      <c r="D8" s="1771">
        <v>169293</v>
      </c>
      <c r="E8" s="1771"/>
      <c r="F8" s="1765">
        <f>(C8+D8)-E8</f>
        <v>4437574</v>
      </c>
      <c r="G8" s="681">
        <v>50</v>
      </c>
      <c r="H8" s="619">
        <v>1767634</v>
      </c>
      <c r="I8" s="619">
        <v>78151</v>
      </c>
      <c r="J8" s="619"/>
      <c r="K8" s="1442">
        <f>(H8+I8)-J8</f>
        <v>1845785</v>
      </c>
      <c r="L8" s="1442">
        <f>F8-K8</f>
        <v>2591789</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45261</v>
      </c>
      <c r="D10" s="1772"/>
      <c r="E10" s="1772"/>
      <c r="F10" s="1773">
        <f>(C10+D10)-E10</f>
        <v>45261</v>
      </c>
      <c r="G10" s="681">
        <v>20</v>
      </c>
      <c r="H10" s="683">
        <v>7252</v>
      </c>
      <c r="I10" s="683">
        <v>2264</v>
      </c>
      <c r="J10" s="683"/>
      <c r="K10" s="1442">
        <f>(H10+I10)-J10</f>
        <v>9516</v>
      </c>
      <c r="L10" s="1442">
        <f>F10-K10</f>
        <v>35745</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214724</v>
      </c>
      <c r="D12" s="1771">
        <v>26577</v>
      </c>
      <c r="E12" s="1771">
        <v>6828</v>
      </c>
      <c r="F12" s="1765">
        <f>(C12+D12)-E12</f>
        <v>234473</v>
      </c>
      <c r="G12" s="681">
        <v>10</v>
      </c>
      <c r="H12" s="619">
        <v>78972</v>
      </c>
      <c r="I12" s="619">
        <v>23449</v>
      </c>
      <c r="J12" s="619">
        <v>6828</v>
      </c>
      <c r="K12" s="1442">
        <f>(H12+I12)-J12</f>
        <v>95593</v>
      </c>
      <c r="L12" s="1442">
        <f>F12-K12</f>
        <v>138880</v>
      </c>
    </row>
    <row r="13" spans="1:14" ht="14.25" thickTop="1" thickBot="1" x14ac:dyDescent="0.25">
      <c r="A13" s="684" t="s">
        <v>1112</v>
      </c>
      <c r="B13" s="679">
        <v>252</v>
      </c>
      <c r="C13" s="1771"/>
      <c r="D13" s="1771"/>
      <c r="E13" s="1771"/>
      <c r="F13" s="1765">
        <f>(C13+D13)-E13</f>
        <v>0</v>
      </c>
      <c r="G13" s="681">
        <v>5</v>
      </c>
      <c r="H13" s="619"/>
      <c r="I13" s="619"/>
      <c r="J13" s="619"/>
      <c r="K13" s="1442">
        <f>(H13+I13)-J13</f>
        <v>0</v>
      </c>
      <c r="L13" s="1442">
        <f>F13-K13</f>
        <v>0</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4536416</v>
      </c>
      <c r="D16" s="1765">
        <f>SUM(D3,D5:D6,D8:D10,D12:D15)</f>
        <v>195870</v>
      </c>
      <c r="E16" s="1765">
        <f>SUM(E3,E5:E6,E8:E10,E12:E15)</f>
        <v>6828</v>
      </c>
      <c r="F16" s="1765">
        <f>SUM(F3,F5:F6,F8:F10,F12:F15)</f>
        <v>4725458</v>
      </c>
      <c r="G16" s="681"/>
      <c r="H16" s="1435">
        <f>SUM(H3,H6,H8:H10,H12:H14,)</f>
        <v>1853858</v>
      </c>
      <c r="I16" s="1435">
        <f>SUM(I3,I6,I8:I10,I12:I14,)</f>
        <v>103864</v>
      </c>
      <c r="J16" s="1435">
        <f>SUM(J3,J6,J8:J10,J12:J14,)</f>
        <v>6828</v>
      </c>
      <c r="K16" s="1435">
        <f>(H16+I16)-J16</f>
        <v>1950894</v>
      </c>
      <c r="L16" s="1435">
        <f>F16-K16</f>
        <v>2774564</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103864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13" t="str">
        <f>"ESTIMATED OPERATING EXPENSE PER PUPIL (OEPP)/PER CAPITA TUITION CHARGE (PCTC) COMPUTATIONS ("&amp;'AFR20'!E2-1&amp;" - "&amp;'AFR20'!E2&amp;")"</f>
        <v>ESTIMATED OPERATING EXPENSE PER PUPIL (OEPP)/PER CAPITA TUITION CHARGE (PCTC) COMPUTATIONS (2019 - 2020)</v>
      </c>
      <c r="B1" s="2414"/>
      <c r="C1" s="2414"/>
      <c r="D1" s="2414"/>
      <c r="E1" s="2414"/>
      <c r="F1" s="2415"/>
      <c r="G1" s="691"/>
      <c r="I1" s="701"/>
    </row>
    <row r="2" spans="1:9" ht="15" customHeight="1" thickBot="1" x14ac:dyDescent="0.25">
      <c r="A2" s="2416" t="s">
        <v>474</v>
      </c>
      <c r="B2" s="2417"/>
      <c r="C2" s="2417"/>
      <c r="D2" s="2417"/>
      <c r="E2" s="2417"/>
      <c r="F2" s="2418"/>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419"/>
      <c r="B5" s="2420"/>
      <c r="C5" s="2420"/>
      <c r="D5" s="2420"/>
      <c r="E5" s="2420"/>
      <c r="F5" s="2420"/>
    </row>
    <row r="6" spans="1:9" ht="13.5" customHeight="1" thickBot="1" x14ac:dyDescent="0.25">
      <c r="A6" s="2410" t="s">
        <v>1095</v>
      </c>
      <c r="B6" s="2411"/>
      <c r="C6" s="2411"/>
      <c r="D6" s="2411"/>
      <c r="E6" s="2411"/>
      <c r="F6" s="2412"/>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2170123</v>
      </c>
      <c r="G8" s="701"/>
    </row>
    <row r="9" spans="1:9" x14ac:dyDescent="0.2">
      <c r="A9" s="705" t="s">
        <v>457</v>
      </c>
      <c r="B9" s="706" t="s">
        <v>1848</v>
      </c>
      <c r="C9" s="707"/>
      <c r="D9" s="705" t="s">
        <v>498</v>
      </c>
      <c r="E9" s="704"/>
      <c r="F9" s="1775">
        <f>'Expenditures 15-22'!K151</f>
        <v>101636</v>
      </c>
      <c r="G9" s="708"/>
    </row>
    <row r="10" spans="1:9" x14ac:dyDescent="0.2">
      <c r="A10" s="705" t="s">
        <v>496</v>
      </c>
      <c r="B10" s="706" t="s">
        <v>1849</v>
      </c>
      <c r="C10" s="707"/>
      <c r="D10" s="705" t="s">
        <v>498</v>
      </c>
      <c r="E10" s="704"/>
      <c r="F10" s="1775">
        <f>'Expenditures 15-22'!K174</f>
        <v>217563</v>
      </c>
      <c r="G10" s="708"/>
    </row>
    <row r="11" spans="1:9" x14ac:dyDescent="0.2">
      <c r="A11" s="705" t="s">
        <v>458</v>
      </c>
      <c r="B11" s="706" t="s">
        <v>1850</v>
      </c>
      <c r="C11" s="707"/>
      <c r="D11" s="705" t="s">
        <v>498</v>
      </c>
      <c r="E11" s="704"/>
      <c r="F11" s="1775">
        <f>'Expenditures 15-22'!K210</f>
        <v>221981</v>
      </c>
      <c r="G11" s="708"/>
    </row>
    <row r="12" spans="1:9" x14ac:dyDescent="0.2">
      <c r="A12" s="705" t="s">
        <v>459</v>
      </c>
      <c r="B12" s="706" t="s">
        <v>1851</v>
      </c>
      <c r="C12" s="707"/>
      <c r="D12" s="705" t="s">
        <v>498</v>
      </c>
      <c r="E12" s="704"/>
      <c r="F12" s="1775">
        <f>'Expenditures 15-22'!K295</f>
        <v>57612</v>
      </c>
      <c r="G12" s="708"/>
    </row>
    <row r="13" spans="1:9" x14ac:dyDescent="0.2">
      <c r="A13" s="705" t="s">
        <v>106</v>
      </c>
      <c r="B13" s="706" t="s">
        <v>1852</v>
      </c>
      <c r="C13" s="707"/>
      <c r="D13" s="705" t="s">
        <v>498</v>
      </c>
      <c r="E13" s="704"/>
      <c r="F13" s="1775">
        <f>'Expenditures 15-22'!K342</f>
        <v>213030</v>
      </c>
      <c r="G13" s="709"/>
    </row>
    <row r="14" spans="1:9" ht="12" customHeight="1" thickBot="1" x14ac:dyDescent="0.25">
      <c r="A14" s="1443"/>
      <c r="B14" s="1444"/>
      <c r="C14" s="1445"/>
      <c r="D14" s="1446" t="s">
        <v>498</v>
      </c>
      <c r="E14" s="1447" t="s">
        <v>952</v>
      </c>
      <c r="F14" s="1776">
        <f>SUM(F8:F13)</f>
        <v>2981945</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122945</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1120</v>
      </c>
      <c r="G52" s="701"/>
    </row>
    <row r="53" spans="1:7" x14ac:dyDescent="0.2">
      <c r="A53" s="705" t="s">
        <v>456</v>
      </c>
      <c r="B53" s="705" t="s">
        <v>1458</v>
      </c>
      <c r="C53" s="724">
        <f>'Expenditures 15-22'!B102</f>
        <v>4000</v>
      </c>
      <c r="D53" s="723" t="str">
        <f>'Expenditures 15-22'!A102</f>
        <v>Total Payments to Other Govt Units</v>
      </c>
      <c r="E53" s="704"/>
      <c r="F53" s="1782">
        <f>'Expenditures 15-22'!K102</f>
        <v>132304</v>
      </c>
      <c r="G53" s="701"/>
    </row>
    <row r="54" spans="1:7" x14ac:dyDescent="0.2">
      <c r="A54" s="705" t="s">
        <v>456</v>
      </c>
      <c r="B54" s="705" t="s">
        <v>1459</v>
      </c>
      <c r="C54" s="724" t="s">
        <v>975</v>
      </c>
      <c r="D54" s="720" t="s">
        <v>1086</v>
      </c>
      <c r="E54" s="704"/>
      <c r="F54" s="1782">
        <f>'Expenditures 15-22'!G114</f>
        <v>3519</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23058</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160000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442946</v>
      </c>
      <c r="G77" s="701"/>
    </row>
    <row r="78" spans="1:9" s="728" customFormat="1" ht="12" customHeight="1" thickTop="1" thickBot="1" x14ac:dyDescent="0.25">
      <c r="A78" s="1450"/>
      <c r="B78" s="1448"/>
      <c r="C78" s="1445"/>
      <c r="D78" s="1449" t="s">
        <v>2012</v>
      </c>
      <c r="E78" s="1447"/>
      <c r="F78" s="1788">
        <f>(F14-F77)</f>
        <v>2538999</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212.9</v>
      </c>
      <c r="G79" s="733"/>
      <c r="H79" s="705"/>
      <c r="I79" s="705"/>
    </row>
    <row r="80" spans="1:9" s="728" customFormat="1" ht="12" customHeight="1" thickBot="1" x14ac:dyDescent="0.25">
      <c r="A80" s="1452"/>
      <c r="B80" s="1448"/>
      <c r="C80" s="1445"/>
      <c r="D80" s="1449" t="s">
        <v>2013</v>
      </c>
      <c r="E80" s="1447" t="s">
        <v>952</v>
      </c>
      <c r="F80" s="1790">
        <f>IF(F79&gt;0,F78/F79," Complete Line 79")</f>
        <v>11925.782057303899</v>
      </c>
      <c r="G80" s="705"/>
    </row>
    <row r="81" spans="1:7" s="728" customFormat="1" ht="8.25" customHeight="1" thickTop="1" x14ac:dyDescent="0.2">
      <c r="A81" s="734"/>
      <c r="B81" s="705"/>
      <c r="C81" s="707"/>
      <c r="D81" s="735"/>
      <c r="E81" s="704"/>
      <c r="F81" s="1791"/>
      <c r="G81" s="705"/>
    </row>
    <row r="82" spans="1:7" s="728" customFormat="1" ht="12" thickBot="1" x14ac:dyDescent="0.25">
      <c r="A82" s="2410" t="s">
        <v>1096</v>
      </c>
      <c r="B82" s="2411"/>
      <c r="C82" s="2411"/>
      <c r="D82" s="2411"/>
      <c r="E82" s="2411"/>
      <c r="F82" s="2412"/>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0</v>
      </c>
      <c r="G95" s="745"/>
    </row>
    <row r="96" spans="1:7" x14ac:dyDescent="0.2">
      <c r="A96" s="741" t="s">
        <v>139</v>
      </c>
      <c r="B96" s="741" t="s">
        <v>174</v>
      </c>
      <c r="C96" s="743">
        <v>1700</v>
      </c>
      <c r="D96" s="751" t="str">
        <f>'Revenues 9-14'!A82</f>
        <v>Total District/School Activity Income</v>
      </c>
      <c r="E96" s="739"/>
      <c r="F96" s="1793">
        <f>SUM('Revenues 9-14'!C82,'Revenues 9-14'!D82)</f>
        <v>5161</v>
      </c>
      <c r="G96" s="745"/>
    </row>
    <row r="97" spans="1:7" x14ac:dyDescent="0.2">
      <c r="A97" s="741" t="s">
        <v>456</v>
      </c>
      <c r="B97" s="741" t="s">
        <v>175</v>
      </c>
      <c r="C97" s="743">
        <f>'Revenues 9-14'!B84</f>
        <v>1811</v>
      </c>
      <c r="D97" s="744" t="str">
        <f>'Revenues 9-14'!A84</f>
        <v>Rentals - Regular Textbooks</v>
      </c>
      <c r="E97" s="739"/>
      <c r="F97" s="1793">
        <f>'Revenues 9-14'!C84</f>
        <v>9484</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17273</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230</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365</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134676</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13172</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25913</v>
      </c>
      <c r="G126" s="763"/>
    </row>
    <row r="127" spans="1:7" x14ac:dyDescent="0.2">
      <c r="A127" s="760" t="s">
        <v>663</v>
      </c>
      <c r="B127" s="760" t="s">
        <v>1931</v>
      </c>
      <c r="C127" s="765">
        <v>4300</v>
      </c>
      <c r="D127" s="766" t="str">
        <f>'Revenues 9-14'!A204</f>
        <v>Total Title I</v>
      </c>
      <c r="E127" s="739"/>
      <c r="F127" s="1793">
        <f>SUM('Revenues 9-14'!C204,'Revenues 9-14'!D204,'Revenues 9-14'!F204,'Revenues 9-14'!G204)</f>
        <v>146012</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10231</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0</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12969</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4083</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17401</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164586.64000000001</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561556.64</v>
      </c>
    </row>
    <row r="176" spans="1:7" ht="12" customHeight="1" x14ac:dyDescent="0.2">
      <c r="A176" s="1443"/>
      <c r="B176" s="1453"/>
      <c r="C176" s="1454"/>
      <c r="D176" s="1455" t="s">
        <v>2014</v>
      </c>
      <c r="E176" s="1456"/>
      <c r="F176" s="1793">
        <f>'PCTC-OEPP 27-28'!F78-F175</f>
        <v>1977442.3599999999</v>
      </c>
    </row>
    <row r="177" spans="1:9" ht="12" customHeight="1" x14ac:dyDescent="0.2">
      <c r="A177" s="1443"/>
      <c r="B177" s="1453"/>
      <c r="C177" s="1454"/>
      <c r="D177" s="1455" t="s">
        <v>1794</v>
      </c>
      <c r="E177" s="1456"/>
      <c r="F177" s="1793">
        <f>'Cap Outlay Deprec 26'!I18</f>
        <v>103864</v>
      </c>
    </row>
    <row r="178" spans="1:9" ht="12" customHeight="1" x14ac:dyDescent="0.2">
      <c r="A178" s="1443"/>
      <c r="B178" s="1453"/>
      <c r="C178" s="1454"/>
      <c r="D178" s="1455" t="s">
        <v>2015</v>
      </c>
      <c r="E178" s="1456"/>
      <c r="F178" s="1793">
        <f>F176+F177</f>
        <v>2081306.3599999999</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212.9</v>
      </c>
      <c r="G179" s="763"/>
      <c r="I179" s="701"/>
    </row>
    <row r="180" spans="1:9" ht="12" customHeight="1" thickBot="1" x14ac:dyDescent="0.25">
      <c r="A180" s="1443"/>
      <c r="B180" s="1457"/>
      <c r="C180" s="1454"/>
      <c r="D180" s="1455" t="s">
        <v>2017</v>
      </c>
      <c r="E180" s="1456" t="s">
        <v>1528</v>
      </c>
      <c r="F180" s="1798">
        <f>F178/F179</f>
        <v>9775.9810239549079</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B18" sqref="B18"/>
    </sheetView>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424" t="s">
        <v>1795</v>
      </c>
      <c r="B4" s="2425"/>
      <c r="C4" s="2425"/>
      <c r="D4" s="2425"/>
      <c r="E4" s="2425"/>
      <c r="F4" s="2426"/>
    </row>
    <row r="5" spans="1:6" x14ac:dyDescent="0.25">
      <c r="A5" s="2427"/>
      <c r="B5" s="2428"/>
      <c r="C5" s="2428"/>
      <c r="D5" s="2428"/>
      <c r="E5" s="2428"/>
      <c r="F5" s="2429"/>
    </row>
    <row r="6" spans="1:6" ht="18.75" x14ac:dyDescent="0.25">
      <c r="A6" s="1867" t="s">
        <v>1796</v>
      </c>
      <c r="B6" s="1868"/>
      <c r="C6" s="1869"/>
      <c r="D6" s="1869"/>
      <c r="E6" s="1869"/>
      <c r="F6" s="1870"/>
    </row>
    <row r="7" spans="1:6" ht="47.25" customHeight="1" x14ac:dyDescent="0.25">
      <c r="A7" s="2430" t="s">
        <v>1985</v>
      </c>
      <c r="B7" s="2431"/>
      <c r="C7" s="2431"/>
      <c r="D7" s="2431"/>
      <c r="E7" s="2431"/>
      <c r="F7" s="2432"/>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433" t="s">
        <v>1981</v>
      </c>
      <c r="B10" s="2434"/>
      <c r="C10" s="2434"/>
      <c r="D10" s="2434"/>
      <c r="E10" s="2434"/>
      <c r="F10" s="2435"/>
    </row>
    <row r="11" spans="1:6" ht="33" customHeight="1" x14ac:dyDescent="0.25">
      <c r="A11" s="2430" t="s">
        <v>1986</v>
      </c>
      <c r="B11" s="2431"/>
      <c r="C11" s="2431"/>
      <c r="D11" s="2431"/>
      <c r="E11" s="2431"/>
      <c r="F11" s="2432"/>
    </row>
    <row r="12" spans="1:6" ht="15" customHeight="1" x14ac:dyDescent="0.25">
      <c r="A12" s="1873" t="s">
        <v>1982</v>
      </c>
      <c r="B12" s="1874"/>
      <c r="C12" s="1875"/>
      <c r="D12" s="1875"/>
      <c r="E12" s="1875"/>
      <c r="F12" s="1876"/>
    </row>
    <row r="13" spans="1:6" ht="17.25" customHeight="1" x14ac:dyDescent="0.25">
      <c r="A13" s="2430" t="s">
        <v>1983</v>
      </c>
      <c r="B13" s="2431"/>
      <c r="C13" s="2431"/>
      <c r="D13" s="2431"/>
      <c r="E13" s="2431"/>
      <c r="F13" s="2432"/>
    </row>
    <row r="14" spans="1:6" ht="15" customHeight="1" x14ac:dyDescent="0.25">
      <c r="A14" s="1873" t="s">
        <v>1800</v>
      </c>
      <c r="B14" s="1874"/>
      <c r="C14" s="1875"/>
      <c r="D14" s="1875"/>
      <c r="E14" s="1875"/>
      <c r="F14" s="1876"/>
    </row>
    <row r="15" spans="1:6" ht="32.25" customHeight="1" x14ac:dyDescent="0.25">
      <c r="A15" s="2421"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22"/>
      <c r="C15" s="2422"/>
      <c r="D15" s="2422"/>
      <c r="E15" s="2422"/>
      <c r="F15" s="2423"/>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83" t="s">
        <v>2119</v>
      </c>
      <c r="B18" s="1908">
        <v>102560300</v>
      </c>
      <c r="C18" s="2082" t="s">
        <v>2112</v>
      </c>
      <c r="D18" s="1886">
        <v>33403</v>
      </c>
      <c r="E18" s="1906" t="str">
        <f t="shared" ref="E18:E81" si="0">IF(D18&lt;25000,D18,"25,000")</f>
        <v>25,000</v>
      </c>
      <c r="F18" s="1906">
        <f t="shared" ref="F18:F81" si="1">IF(D18&gt;=25000,(D18-E18),"0")</f>
        <v>8403</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hidden="1" x14ac:dyDescent="0.25">
      <c r="A36" s="1888"/>
      <c r="B36" s="1908"/>
      <c r="C36" s="1889"/>
      <c r="D36" s="1886"/>
      <c r="E36" s="1906">
        <f t="shared" si="0"/>
        <v>0</v>
      </c>
      <c r="F36" s="1906" t="str">
        <f t="shared" si="1"/>
        <v>0</v>
      </c>
    </row>
    <row r="37" spans="1:6" hidden="1" x14ac:dyDescent="0.25">
      <c r="A37" s="1888"/>
      <c r="B37" s="1908"/>
      <c r="C37" s="1889"/>
      <c r="D37" s="1886"/>
      <c r="E37" s="1906">
        <f t="shared" si="0"/>
        <v>0</v>
      </c>
      <c r="F37" s="1906" t="str">
        <f t="shared" si="1"/>
        <v>0</v>
      </c>
    </row>
    <row r="38" spans="1:6" hidden="1" x14ac:dyDescent="0.25">
      <c r="A38" s="1888"/>
      <c r="B38" s="1908"/>
      <c r="C38" s="1889"/>
      <c r="D38" s="1886"/>
      <c r="E38" s="1906">
        <f t="shared" si="0"/>
        <v>0</v>
      </c>
      <c r="F38" s="1906" t="str">
        <f t="shared" si="1"/>
        <v>0</v>
      </c>
    </row>
    <row r="39" spans="1:6" hidden="1" x14ac:dyDescent="0.25">
      <c r="A39" s="1888"/>
      <c r="B39" s="1909"/>
      <c r="C39" s="1889"/>
      <c r="D39" s="1886"/>
      <c r="E39" s="1906">
        <f t="shared" si="0"/>
        <v>0</v>
      </c>
      <c r="F39" s="1906" t="str">
        <f t="shared" si="1"/>
        <v>0</v>
      </c>
    </row>
    <row r="40" spans="1:6" hidden="1" x14ac:dyDescent="0.25">
      <c r="A40" s="1888"/>
      <c r="B40" s="1909"/>
      <c r="C40" s="1889"/>
      <c r="D40" s="1886"/>
      <c r="E40" s="1906">
        <f t="shared" si="0"/>
        <v>0</v>
      </c>
      <c r="F40" s="1906" t="str">
        <f t="shared" si="1"/>
        <v>0</v>
      </c>
    </row>
    <row r="41" spans="1:6" hidden="1" x14ac:dyDescent="0.25">
      <c r="A41" s="1888"/>
      <c r="B41" s="1909"/>
      <c r="C41" s="1889"/>
      <c r="D41" s="1886"/>
      <c r="E41" s="1906">
        <f t="shared" si="0"/>
        <v>0</v>
      </c>
      <c r="F41" s="1906" t="str">
        <f t="shared" si="1"/>
        <v>0</v>
      </c>
    </row>
    <row r="42" spans="1:6" hidden="1" x14ac:dyDescent="0.25">
      <c r="A42" s="1888"/>
      <c r="B42" s="1909"/>
      <c r="C42" s="1889"/>
      <c r="D42" s="1886"/>
      <c r="E42" s="1906">
        <f t="shared" si="0"/>
        <v>0</v>
      </c>
      <c r="F42" s="1906" t="str">
        <f t="shared" si="1"/>
        <v>0</v>
      </c>
    </row>
    <row r="43" spans="1:6" hidden="1" x14ac:dyDescent="0.25">
      <c r="A43" s="1888"/>
      <c r="B43" s="1909"/>
      <c r="C43" s="1889"/>
      <c r="D43" s="1886"/>
      <c r="E43" s="1906">
        <f t="shared" si="0"/>
        <v>0</v>
      </c>
      <c r="F43" s="1906" t="str">
        <f t="shared" si="1"/>
        <v>0</v>
      </c>
    </row>
    <row r="44" spans="1:6" hidden="1" x14ac:dyDescent="0.25">
      <c r="A44" s="1888"/>
      <c r="B44" s="1909"/>
      <c r="C44" s="1889"/>
      <c r="D44" s="1886"/>
      <c r="E44" s="1906">
        <f t="shared" si="0"/>
        <v>0</v>
      </c>
      <c r="F44" s="1906" t="str">
        <f t="shared" si="1"/>
        <v>0</v>
      </c>
    </row>
    <row r="45" spans="1:6" hidden="1" x14ac:dyDescent="0.25">
      <c r="A45" s="1888"/>
      <c r="B45" s="1909"/>
      <c r="C45" s="1889"/>
      <c r="D45" s="1886"/>
      <c r="E45" s="1906">
        <f t="shared" si="0"/>
        <v>0</v>
      </c>
      <c r="F45" s="1906" t="str">
        <f t="shared" si="1"/>
        <v>0</v>
      </c>
    </row>
    <row r="46" spans="1:6" hidden="1" x14ac:dyDescent="0.25">
      <c r="A46" s="1888"/>
      <c r="B46" s="1909"/>
      <c r="C46" s="1889"/>
      <c r="D46" s="1886"/>
      <c r="E46" s="1906">
        <f t="shared" si="0"/>
        <v>0</v>
      </c>
      <c r="F46" s="1906" t="str">
        <f t="shared" si="1"/>
        <v>0</v>
      </c>
    </row>
    <row r="47" spans="1:6" hidden="1" x14ac:dyDescent="0.25">
      <c r="A47" s="1888"/>
      <c r="B47" s="1909"/>
      <c r="C47" s="1889"/>
      <c r="D47" s="1886"/>
      <c r="E47" s="1906">
        <f t="shared" si="0"/>
        <v>0</v>
      </c>
      <c r="F47" s="1906" t="str">
        <f t="shared" si="1"/>
        <v>0</v>
      </c>
    </row>
    <row r="48" spans="1:6" hidden="1" x14ac:dyDescent="0.25">
      <c r="A48" s="1888"/>
      <c r="B48" s="1909"/>
      <c r="C48" s="1889"/>
      <c r="D48" s="1886"/>
      <c r="E48" s="1906">
        <f t="shared" si="0"/>
        <v>0</v>
      </c>
      <c r="F48" s="1906" t="str">
        <f t="shared" si="1"/>
        <v>0</v>
      </c>
    </row>
    <row r="49" spans="1:6" hidden="1" x14ac:dyDescent="0.25">
      <c r="A49" s="1888"/>
      <c r="B49" s="1909"/>
      <c r="C49" s="1889"/>
      <c r="D49" s="1886"/>
      <c r="E49" s="1906">
        <f t="shared" si="0"/>
        <v>0</v>
      </c>
      <c r="F49" s="1906" t="str">
        <f t="shared" si="1"/>
        <v>0</v>
      </c>
    </row>
    <row r="50" spans="1:6" hidden="1" x14ac:dyDescent="0.25">
      <c r="A50" s="1888"/>
      <c r="B50" s="1909"/>
      <c r="C50" s="1889"/>
      <c r="D50" s="1886"/>
      <c r="E50" s="1906">
        <f t="shared" si="0"/>
        <v>0</v>
      </c>
      <c r="F50" s="1906" t="str">
        <f t="shared" si="1"/>
        <v>0</v>
      </c>
    </row>
    <row r="51" spans="1:6" hidden="1" x14ac:dyDescent="0.25">
      <c r="A51" s="1888"/>
      <c r="B51" s="1909"/>
      <c r="C51" s="1889"/>
      <c r="D51" s="1886"/>
      <c r="E51" s="1906">
        <f t="shared" si="0"/>
        <v>0</v>
      </c>
      <c r="F51" s="1906" t="str">
        <f t="shared" si="1"/>
        <v>0</v>
      </c>
    </row>
    <row r="52" spans="1:6" hidden="1" x14ac:dyDescent="0.25">
      <c r="A52" s="1888"/>
      <c r="B52" s="1909"/>
      <c r="C52" s="1889"/>
      <c r="D52" s="1886"/>
      <c r="E52" s="1906">
        <f t="shared" si="0"/>
        <v>0</v>
      </c>
      <c r="F52" s="1906" t="str">
        <f t="shared" si="1"/>
        <v>0</v>
      </c>
    </row>
    <row r="53" spans="1:6" hidden="1" x14ac:dyDescent="0.25">
      <c r="A53" s="1888"/>
      <c r="B53" s="1909"/>
      <c r="C53" s="1889"/>
      <c r="D53" s="1886"/>
      <c r="E53" s="1906">
        <f t="shared" si="0"/>
        <v>0</v>
      </c>
      <c r="F53" s="1906" t="str">
        <f t="shared" si="1"/>
        <v>0</v>
      </c>
    </row>
    <row r="54" spans="1:6" hidden="1" x14ac:dyDescent="0.25">
      <c r="A54" s="1888"/>
      <c r="B54" s="1909"/>
      <c r="C54" s="1889"/>
      <c r="D54" s="1886"/>
      <c r="E54" s="1906">
        <f t="shared" si="0"/>
        <v>0</v>
      </c>
      <c r="F54" s="1906" t="str">
        <f t="shared" si="1"/>
        <v>0</v>
      </c>
    </row>
    <row r="55" spans="1:6" hidden="1" x14ac:dyDescent="0.25">
      <c r="A55" s="1888"/>
      <c r="B55" s="1909"/>
      <c r="C55" s="1889"/>
      <c r="D55" s="1886"/>
      <c r="E55" s="1906">
        <f t="shared" si="0"/>
        <v>0</v>
      </c>
      <c r="F55" s="1906" t="str">
        <f t="shared" si="1"/>
        <v>0</v>
      </c>
    </row>
    <row r="56" spans="1:6" hidden="1" x14ac:dyDescent="0.25">
      <c r="A56" s="1888"/>
      <c r="B56" s="1909"/>
      <c r="C56" s="1889"/>
      <c r="D56" s="1886"/>
      <c r="E56" s="1906">
        <f t="shared" si="0"/>
        <v>0</v>
      </c>
      <c r="F56" s="1906" t="str">
        <f t="shared" si="1"/>
        <v>0</v>
      </c>
    </row>
    <row r="57" spans="1:6" hidden="1" x14ac:dyDescent="0.25">
      <c r="A57" s="1888"/>
      <c r="B57" s="1909"/>
      <c r="C57" s="1889"/>
      <c r="D57" s="1886"/>
      <c r="E57" s="1906">
        <f t="shared" si="0"/>
        <v>0</v>
      </c>
      <c r="F57" s="1906" t="str">
        <f t="shared" si="1"/>
        <v>0</v>
      </c>
    </row>
    <row r="58" spans="1:6" hidden="1" x14ac:dyDescent="0.25">
      <c r="A58" s="1888"/>
      <c r="B58" s="1909"/>
      <c r="C58" s="1889"/>
      <c r="D58" s="1886"/>
      <c r="E58" s="1906">
        <f t="shared" si="0"/>
        <v>0</v>
      </c>
      <c r="F58" s="1906" t="str">
        <f t="shared" si="1"/>
        <v>0</v>
      </c>
    </row>
    <row r="59" spans="1:6" hidden="1" x14ac:dyDescent="0.25">
      <c r="A59" s="1888"/>
      <c r="B59" s="1909"/>
      <c r="C59" s="1889"/>
      <c r="D59" s="1886"/>
      <c r="E59" s="1906">
        <f t="shared" si="0"/>
        <v>0</v>
      </c>
      <c r="F59" s="1906" t="str">
        <f t="shared" si="1"/>
        <v>0</v>
      </c>
    </row>
    <row r="60" spans="1:6" hidden="1" x14ac:dyDescent="0.25">
      <c r="A60" s="1888"/>
      <c r="B60" s="1909"/>
      <c r="C60" s="1889"/>
      <c r="D60" s="1886"/>
      <c r="E60" s="1906">
        <f t="shared" si="0"/>
        <v>0</v>
      </c>
      <c r="F60" s="1906" t="str">
        <f t="shared" si="1"/>
        <v>0</v>
      </c>
    </row>
    <row r="61" spans="1:6" hidden="1" x14ac:dyDescent="0.25">
      <c r="A61" s="1888"/>
      <c r="B61" s="1909"/>
      <c r="C61" s="1889"/>
      <c r="D61" s="1886"/>
      <c r="E61" s="1906">
        <f t="shared" si="0"/>
        <v>0</v>
      </c>
      <c r="F61" s="1906" t="str">
        <f t="shared" si="1"/>
        <v>0</v>
      </c>
    </row>
    <row r="62" spans="1:6" hidden="1" x14ac:dyDescent="0.25">
      <c r="A62" s="1888"/>
      <c r="B62" s="1909"/>
      <c r="C62" s="1889"/>
      <c r="D62" s="1886"/>
      <c r="E62" s="1906">
        <f t="shared" si="0"/>
        <v>0</v>
      </c>
      <c r="F62" s="1906" t="str">
        <f t="shared" si="1"/>
        <v>0</v>
      </c>
    </row>
    <row r="63" spans="1:6" hidden="1" x14ac:dyDescent="0.25">
      <c r="A63" s="1888"/>
      <c r="B63" s="1909"/>
      <c r="C63" s="1889"/>
      <c r="D63" s="1886"/>
      <c r="E63" s="1906">
        <f t="shared" si="0"/>
        <v>0</v>
      </c>
      <c r="F63" s="1906" t="str">
        <f t="shared" si="1"/>
        <v>0</v>
      </c>
    </row>
    <row r="64" spans="1:6" hidden="1" x14ac:dyDescent="0.25">
      <c r="A64" s="1888"/>
      <c r="B64" s="1909"/>
      <c r="C64" s="1889"/>
      <c r="D64" s="1886"/>
      <c r="E64" s="1906">
        <f t="shared" si="0"/>
        <v>0</v>
      </c>
      <c r="F64" s="1906" t="str">
        <f t="shared" si="1"/>
        <v>0</v>
      </c>
    </row>
    <row r="65" spans="1:6" hidden="1" x14ac:dyDescent="0.25">
      <c r="A65" s="1884"/>
      <c r="B65" s="1909"/>
      <c r="C65" s="1885"/>
      <c r="D65" s="1886"/>
      <c r="E65" s="1906">
        <f t="shared" si="0"/>
        <v>0</v>
      </c>
      <c r="F65" s="1906" t="str">
        <f t="shared" si="1"/>
        <v>0</v>
      </c>
    </row>
    <row r="66" spans="1:6" hidden="1" x14ac:dyDescent="0.25">
      <c r="A66" s="1888"/>
      <c r="B66" s="1909"/>
      <c r="C66" s="1889"/>
      <c r="D66" s="1886"/>
      <c r="E66" s="1906">
        <f t="shared" si="0"/>
        <v>0</v>
      </c>
      <c r="F66" s="1906" t="str">
        <f t="shared" si="1"/>
        <v>0</v>
      </c>
    </row>
    <row r="67" spans="1:6" hidden="1" x14ac:dyDescent="0.25">
      <c r="A67" s="1888"/>
      <c r="B67" s="1909"/>
      <c r="C67" s="1889"/>
      <c r="D67" s="1886"/>
      <c r="E67" s="1906">
        <f t="shared" si="0"/>
        <v>0</v>
      </c>
      <c r="F67" s="1906" t="str">
        <f t="shared" si="1"/>
        <v>0</v>
      </c>
    </row>
    <row r="68" spans="1:6" hidden="1" x14ac:dyDescent="0.25">
      <c r="A68" s="1888"/>
      <c r="B68" s="1909"/>
      <c r="C68" s="1889"/>
      <c r="D68" s="1886"/>
      <c r="E68" s="1906">
        <f t="shared" si="0"/>
        <v>0</v>
      </c>
      <c r="F68" s="1906" t="str">
        <f t="shared" si="1"/>
        <v>0</v>
      </c>
    </row>
    <row r="69" spans="1:6" hidden="1" x14ac:dyDescent="0.25">
      <c r="A69" s="1888"/>
      <c r="B69" s="1909"/>
      <c r="C69" s="1889"/>
      <c r="D69" s="1886"/>
      <c r="E69" s="1906">
        <f t="shared" si="0"/>
        <v>0</v>
      </c>
      <c r="F69" s="1906" t="str">
        <f t="shared" si="1"/>
        <v>0</v>
      </c>
    </row>
    <row r="70" spans="1:6" hidden="1" x14ac:dyDescent="0.25">
      <c r="A70" s="1888"/>
      <c r="B70" s="1909"/>
      <c r="C70" s="1889"/>
      <c r="D70" s="1886"/>
      <c r="E70" s="1906">
        <f t="shared" si="0"/>
        <v>0</v>
      </c>
      <c r="F70" s="1906" t="str">
        <f t="shared" si="1"/>
        <v>0</v>
      </c>
    </row>
    <row r="71" spans="1:6" hidden="1" x14ac:dyDescent="0.25">
      <c r="A71" s="1888"/>
      <c r="B71" s="1909"/>
      <c r="C71" s="1889"/>
      <c r="D71" s="1886"/>
      <c r="E71" s="1906">
        <f t="shared" si="0"/>
        <v>0</v>
      </c>
      <c r="F71" s="1906" t="str">
        <f t="shared" si="1"/>
        <v>0</v>
      </c>
    </row>
    <row r="72" spans="1:6" hidden="1" x14ac:dyDescent="0.25">
      <c r="A72" s="1888"/>
      <c r="B72" s="1909"/>
      <c r="C72" s="1889"/>
      <c r="D72" s="1886"/>
      <c r="E72" s="1906">
        <f t="shared" si="0"/>
        <v>0</v>
      </c>
      <c r="F72" s="1906" t="str">
        <f t="shared" si="1"/>
        <v>0</v>
      </c>
    </row>
    <row r="73" spans="1:6" hidden="1" x14ac:dyDescent="0.25">
      <c r="A73" s="1888"/>
      <c r="B73" s="1909"/>
      <c r="C73" s="1889"/>
      <c r="D73" s="1886"/>
      <c r="E73" s="1906">
        <f t="shared" si="0"/>
        <v>0</v>
      </c>
      <c r="F73" s="1906" t="str">
        <f t="shared" si="1"/>
        <v>0</v>
      </c>
    </row>
    <row r="74" spans="1:6" hidden="1" x14ac:dyDescent="0.25">
      <c r="A74" s="1888"/>
      <c r="B74" s="1909"/>
      <c r="C74" s="1889"/>
      <c r="D74" s="1886"/>
      <c r="E74" s="1906">
        <f t="shared" si="0"/>
        <v>0</v>
      </c>
      <c r="F74" s="1906" t="str">
        <f t="shared" si="1"/>
        <v>0</v>
      </c>
    </row>
    <row r="75" spans="1:6" hidden="1" x14ac:dyDescent="0.25">
      <c r="A75" s="1888"/>
      <c r="B75" s="1909"/>
      <c r="C75" s="1889"/>
      <c r="D75" s="1886"/>
      <c r="E75" s="1906">
        <f t="shared" si="0"/>
        <v>0</v>
      </c>
      <c r="F75" s="1906" t="str">
        <f t="shared" si="1"/>
        <v>0</v>
      </c>
    </row>
    <row r="76" spans="1:6" hidden="1" x14ac:dyDescent="0.25">
      <c r="A76" s="1888"/>
      <c r="B76" s="1909"/>
      <c r="C76" s="1889"/>
      <c r="D76" s="1886"/>
      <c r="E76" s="1906">
        <f t="shared" si="0"/>
        <v>0</v>
      </c>
      <c r="F76" s="1906" t="str">
        <f t="shared" si="1"/>
        <v>0</v>
      </c>
    </row>
    <row r="77" spans="1:6" hidden="1" x14ac:dyDescent="0.25">
      <c r="A77" s="1888"/>
      <c r="B77" s="1909"/>
      <c r="C77" s="1889"/>
      <c r="D77" s="1886"/>
      <c r="E77" s="1906">
        <f t="shared" si="0"/>
        <v>0</v>
      </c>
      <c r="F77" s="1906" t="str">
        <f t="shared" si="1"/>
        <v>0</v>
      </c>
    </row>
    <row r="78" spans="1:6" hidden="1" x14ac:dyDescent="0.25">
      <c r="A78" s="1888"/>
      <c r="B78" s="1909"/>
      <c r="C78" s="1889"/>
      <c r="D78" s="1886"/>
      <c r="E78" s="1906">
        <f t="shared" si="0"/>
        <v>0</v>
      </c>
      <c r="F78" s="1906" t="str">
        <f t="shared" si="1"/>
        <v>0</v>
      </c>
    </row>
    <row r="79" spans="1:6" hidden="1" x14ac:dyDescent="0.25">
      <c r="A79" s="1888"/>
      <c r="B79" s="1909"/>
      <c r="C79" s="1889"/>
      <c r="D79" s="1886"/>
      <c r="E79" s="1906">
        <f t="shared" si="0"/>
        <v>0</v>
      </c>
      <c r="F79" s="1906" t="str">
        <f t="shared" si="1"/>
        <v>0</v>
      </c>
    </row>
    <row r="80" spans="1:6" hidden="1" x14ac:dyDescent="0.25">
      <c r="A80" s="1888"/>
      <c r="B80" s="1909"/>
      <c r="C80" s="1889"/>
      <c r="D80" s="1886"/>
      <c r="E80" s="1906">
        <f t="shared" si="0"/>
        <v>0</v>
      </c>
      <c r="F80" s="1906" t="str">
        <f t="shared" si="1"/>
        <v>0</v>
      </c>
    </row>
    <row r="81" spans="1:6" hidden="1" x14ac:dyDescent="0.25">
      <c r="A81" s="1888"/>
      <c r="B81" s="1909"/>
      <c r="C81" s="1889"/>
      <c r="D81" s="1886"/>
      <c r="E81" s="1906">
        <f t="shared" si="0"/>
        <v>0</v>
      </c>
      <c r="F81" s="1906" t="str">
        <f t="shared" si="1"/>
        <v>0</v>
      </c>
    </row>
    <row r="82" spans="1:6" hidden="1" x14ac:dyDescent="0.25">
      <c r="A82" s="1888"/>
      <c r="B82" s="1909"/>
      <c r="C82" s="1889"/>
      <c r="D82" s="1886"/>
      <c r="E82" s="1906">
        <f t="shared" ref="E82:E141" si="2">IF(D82&lt;25000,D82,"25,000")</f>
        <v>0</v>
      </c>
      <c r="F82" s="1906" t="str">
        <f t="shared" ref="F82:F141" si="3">IF(D82&gt;=25000,(D82-E82),"0")</f>
        <v>0</v>
      </c>
    </row>
    <row r="83" spans="1:6" hidden="1" x14ac:dyDescent="0.25">
      <c r="A83" s="1888"/>
      <c r="B83" s="1909"/>
      <c r="C83" s="1889"/>
      <c r="D83" s="1886"/>
      <c r="E83" s="1906">
        <f t="shared" si="2"/>
        <v>0</v>
      </c>
      <c r="F83" s="1906" t="str">
        <f t="shared" si="3"/>
        <v>0</v>
      </c>
    </row>
    <row r="84" spans="1:6" hidden="1" x14ac:dyDescent="0.25">
      <c r="A84" s="1888"/>
      <c r="B84" s="1909"/>
      <c r="C84" s="1889"/>
      <c r="D84" s="1886"/>
      <c r="E84" s="1906">
        <f t="shared" si="2"/>
        <v>0</v>
      </c>
      <c r="F84" s="1906" t="str">
        <f t="shared" si="3"/>
        <v>0</v>
      </c>
    </row>
    <row r="85" spans="1:6" hidden="1" x14ac:dyDescent="0.25">
      <c r="A85" s="1888"/>
      <c r="B85" s="1909"/>
      <c r="C85" s="1889"/>
      <c r="D85" s="1886"/>
      <c r="E85" s="1906">
        <f t="shared" si="2"/>
        <v>0</v>
      </c>
      <c r="F85" s="1906" t="str">
        <f t="shared" si="3"/>
        <v>0</v>
      </c>
    </row>
    <row r="86" spans="1:6" hidden="1" x14ac:dyDescent="0.25">
      <c r="A86" s="1888"/>
      <c r="B86" s="1909"/>
      <c r="C86" s="1889"/>
      <c r="D86" s="1886"/>
      <c r="E86" s="1906">
        <f t="shared" si="2"/>
        <v>0</v>
      </c>
      <c r="F86" s="1906" t="str">
        <f t="shared" si="3"/>
        <v>0</v>
      </c>
    </row>
    <row r="87" spans="1:6" hidden="1" x14ac:dyDescent="0.25">
      <c r="A87" s="1888"/>
      <c r="B87" s="1909"/>
      <c r="C87" s="1889"/>
      <c r="D87" s="1886"/>
      <c r="E87" s="1906">
        <f t="shared" si="2"/>
        <v>0</v>
      </c>
      <c r="F87" s="1906" t="str">
        <f t="shared" si="3"/>
        <v>0</v>
      </c>
    </row>
    <row r="88" spans="1:6" hidden="1" x14ac:dyDescent="0.25">
      <c r="A88" s="1888"/>
      <c r="B88" s="1909"/>
      <c r="C88" s="1889"/>
      <c r="D88" s="1886"/>
      <c r="E88" s="1906">
        <f t="shared" si="2"/>
        <v>0</v>
      </c>
      <c r="F88" s="1906" t="str">
        <f t="shared" si="3"/>
        <v>0</v>
      </c>
    </row>
    <row r="89" spans="1:6" hidden="1" x14ac:dyDescent="0.25">
      <c r="A89" s="1888"/>
      <c r="B89" s="1909"/>
      <c r="C89" s="1889"/>
      <c r="D89" s="1886"/>
      <c r="E89" s="1906">
        <f t="shared" si="2"/>
        <v>0</v>
      </c>
      <c r="F89" s="1906" t="str">
        <f t="shared" si="3"/>
        <v>0</v>
      </c>
    </row>
    <row r="90" spans="1:6" hidden="1" x14ac:dyDescent="0.25">
      <c r="A90" s="1888"/>
      <c r="B90" s="1909"/>
      <c r="C90" s="1889"/>
      <c r="D90" s="1886"/>
      <c r="E90" s="1906">
        <f t="shared" si="2"/>
        <v>0</v>
      </c>
      <c r="F90" s="1906" t="str">
        <f t="shared" si="3"/>
        <v>0</v>
      </c>
    </row>
    <row r="91" spans="1:6" hidden="1" x14ac:dyDescent="0.25">
      <c r="A91" s="1888"/>
      <c r="B91" s="1909"/>
      <c r="C91" s="1889"/>
      <c r="D91" s="1886"/>
      <c r="E91" s="1906">
        <f t="shared" si="2"/>
        <v>0</v>
      </c>
      <c r="F91" s="1906" t="str">
        <f t="shared" si="3"/>
        <v>0</v>
      </c>
    </row>
    <row r="92" spans="1:6" hidden="1" x14ac:dyDescent="0.25">
      <c r="A92" s="1888"/>
      <c r="B92" s="1909"/>
      <c r="C92" s="1889"/>
      <c r="D92" s="1886"/>
      <c r="E92" s="1906">
        <f t="shared" si="2"/>
        <v>0</v>
      </c>
      <c r="F92" s="1906" t="str">
        <f t="shared" si="3"/>
        <v>0</v>
      </c>
    </row>
    <row r="93" spans="1:6" hidden="1" x14ac:dyDescent="0.25">
      <c r="A93" s="1888"/>
      <c r="B93" s="1909"/>
      <c r="C93" s="1889"/>
      <c r="D93" s="1886"/>
      <c r="E93" s="1906">
        <f t="shared" si="2"/>
        <v>0</v>
      </c>
      <c r="F93" s="1906" t="str">
        <f t="shared" si="3"/>
        <v>0</v>
      </c>
    </row>
    <row r="94" spans="1:6" hidden="1" x14ac:dyDescent="0.25">
      <c r="A94" s="1888"/>
      <c r="B94" s="1909"/>
      <c r="C94" s="1889"/>
      <c r="D94" s="1886"/>
      <c r="E94" s="1906">
        <f t="shared" si="2"/>
        <v>0</v>
      </c>
      <c r="F94" s="1906" t="str">
        <f t="shared" si="3"/>
        <v>0</v>
      </c>
    </row>
    <row r="95" spans="1:6" hidden="1" x14ac:dyDescent="0.25">
      <c r="A95" s="1888"/>
      <c r="B95" s="1909"/>
      <c r="C95" s="1889"/>
      <c r="D95" s="1886"/>
      <c r="E95" s="1906">
        <f t="shared" si="2"/>
        <v>0</v>
      </c>
      <c r="F95" s="1906" t="str">
        <f t="shared" si="3"/>
        <v>0</v>
      </c>
    </row>
    <row r="96" spans="1:6" hidden="1" x14ac:dyDescent="0.25">
      <c r="A96" s="1888"/>
      <c r="B96" s="1909"/>
      <c r="C96" s="1889"/>
      <c r="D96" s="1886"/>
      <c r="E96" s="1906">
        <f t="shared" si="2"/>
        <v>0</v>
      </c>
      <c r="F96" s="1906" t="str">
        <f t="shared" si="3"/>
        <v>0</v>
      </c>
    </row>
    <row r="97" spans="1:6" hidden="1" x14ac:dyDescent="0.25">
      <c r="A97" s="1888"/>
      <c r="B97" s="1909"/>
      <c r="C97" s="1889"/>
      <c r="D97" s="1886"/>
      <c r="E97" s="1906">
        <f t="shared" si="2"/>
        <v>0</v>
      </c>
      <c r="F97" s="1906" t="str">
        <f t="shared" si="3"/>
        <v>0</v>
      </c>
    </row>
    <row r="98" spans="1:6" hidden="1" x14ac:dyDescent="0.25">
      <c r="A98" s="1888"/>
      <c r="B98" s="1909"/>
      <c r="C98" s="1889"/>
      <c r="D98" s="1886"/>
      <c r="E98" s="1906">
        <f t="shared" si="2"/>
        <v>0</v>
      </c>
      <c r="F98" s="1906" t="str">
        <f t="shared" si="3"/>
        <v>0</v>
      </c>
    </row>
    <row r="99" spans="1:6" hidden="1" x14ac:dyDescent="0.25">
      <c r="A99" s="1888"/>
      <c r="B99" s="1909"/>
      <c r="C99" s="1889"/>
      <c r="D99" s="1886"/>
      <c r="E99" s="1906">
        <f t="shared" si="2"/>
        <v>0</v>
      </c>
      <c r="F99" s="1906" t="str">
        <f t="shared" si="3"/>
        <v>0</v>
      </c>
    </row>
    <row r="100" spans="1:6" hidden="1" x14ac:dyDescent="0.25">
      <c r="A100" s="1888"/>
      <c r="B100" s="1909"/>
      <c r="C100" s="1889"/>
      <c r="D100" s="1886"/>
      <c r="E100" s="1906">
        <f t="shared" si="2"/>
        <v>0</v>
      </c>
      <c r="F100" s="1906" t="str">
        <f t="shared" si="3"/>
        <v>0</v>
      </c>
    </row>
    <row r="101" spans="1:6" hidden="1" x14ac:dyDescent="0.25">
      <c r="A101" s="1888"/>
      <c r="B101" s="1909"/>
      <c r="C101" s="1889"/>
      <c r="D101" s="1886"/>
      <c r="E101" s="1906">
        <f t="shared" si="2"/>
        <v>0</v>
      </c>
      <c r="F101" s="1906" t="str">
        <f t="shared" si="3"/>
        <v>0</v>
      </c>
    </row>
    <row r="102" spans="1:6" hidden="1" x14ac:dyDescent="0.25">
      <c r="A102" s="1888"/>
      <c r="B102" s="1909"/>
      <c r="C102" s="1889"/>
      <c r="D102" s="1886"/>
      <c r="E102" s="1906">
        <f t="shared" si="2"/>
        <v>0</v>
      </c>
      <c r="F102" s="1906" t="str">
        <f t="shared" si="3"/>
        <v>0</v>
      </c>
    </row>
    <row r="103" spans="1:6" hidden="1" x14ac:dyDescent="0.25">
      <c r="A103" s="1888"/>
      <c r="B103" s="1909"/>
      <c r="C103" s="1889"/>
      <c r="D103" s="1886"/>
      <c r="E103" s="1906">
        <f t="shared" si="2"/>
        <v>0</v>
      </c>
      <c r="F103" s="1906" t="str">
        <f t="shared" si="3"/>
        <v>0</v>
      </c>
    </row>
    <row r="104" spans="1:6" hidden="1" x14ac:dyDescent="0.25">
      <c r="A104" s="1888"/>
      <c r="B104" s="1909"/>
      <c r="C104" s="1889"/>
      <c r="D104" s="1886"/>
      <c r="E104" s="1906">
        <f t="shared" si="2"/>
        <v>0</v>
      </c>
      <c r="F104" s="1906" t="str">
        <f t="shared" si="3"/>
        <v>0</v>
      </c>
    </row>
    <row r="105" spans="1:6" hidden="1" x14ac:dyDescent="0.25">
      <c r="A105" s="1888"/>
      <c r="B105" s="1909"/>
      <c r="C105" s="1889"/>
      <c r="D105" s="1886"/>
      <c r="E105" s="1906">
        <f t="shared" si="2"/>
        <v>0</v>
      </c>
      <c r="F105" s="1906" t="str">
        <f t="shared" si="3"/>
        <v>0</v>
      </c>
    </row>
    <row r="106" spans="1:6" hidden="1" x14ac:dyDescent="0.25">
      <c r="A106" s="1888"/>
      <c r="B106" s="1909"/>
      <c r="C106" s="1889"/>
      <c r="D106" s="1886"/>
      <c r="E106" s="1906">
        <f t="shared" si="2"/>
        <v>0</v>
      </c>
      <c r="F106" s="1906" t="str">
        <f t="shared" si="3"/>
        <v>0</v>
      </c>
    </row>
    <row r="107" spans="1:6" hidden="1" x14ac:dyDescent="0.25">
      <c r="A107" s="1888"/>
      <c r="B107" s="1909"/>
      <c r="C107" s="1889"/>
      <c r="D107" s="1886"/>
      <c r="E107" s="1906">
        <f t="shared" si="2"/>
        <v>0</v>
      </c>
      <c r="F107" s="1906" t="str">
        <f t="shared" si="3"/>
        <v>0</v>
      </c>
    </row>
    <row r="108" spans="1:6" hidden="1" x14ac:dyDescent="0.25">
      <c r="A108" s="1888"/>
      <c r="B108" s="1909"/>
      <c r="C108" s="1889"/>
      <c r="D108" s="1886"/>
      <c r="E108" s="1906">
        <f t="shared" si="2"/>
        <v>0</v>
      </c>
      <c r="F108" s="1906" t="str">
        <f t="shared" si="3"/>
        <v>0</v>
      </c>
    </row>
    <row r="109" spans="1:6" hidden="1" x14ac:dyDescent="0.25">
      <c r="A109" s="1888"/>
      <c r="B109" s="1909"/>
      <c r="C109" s="1889"/>
      <c r="D109" s="1886"/>
      <c r="E109" s="1906">
        <f t="shared" si="2"/>
        <v>0</v>
      </c>
      <c r="F109" s="1906" t="str">
        <f t="shared" si="3"/>
        <v>0</v>
      </c>
    </row>
    <row r="110" spans="1:6" hidden="1" x14ac:dyDescent="0.25">
      <c r="A110" s="1888"/>
      <c r="B110" s="1909"/>
      <c r="C110" s="1889"/>
      <c r="D110" s="1886"/>
      <c r="E110" s="1906">
        <f t="shared" si="2"/>
        <v>0</v>
      </c>
      <c r="F110" s="1906" t="str">
        <f t="shared" si="3"/>
        <v>0</v>
      </c>
    </row>
    <row r="111" spans="1:6" hidden="1" x14ac:dyDescent="0.25">
      <c r="A111" s="1888"/>
      <c r="B111" s="1909"/>
      <c r="C111" s="1889"/>
      <c r="D111" s="1886"/>
      <c r="E111" s="1906">
        <f t="shared" si="2"/>
        <v>0</v>
      </c>
      <c r="F111" s="1906" t="str">
        <f t="shared" si="3"/>
        <v>0</v>
      </c>
    </row>
    <row r="112" spans="1:6" hidden="1" x14ac:dyDescent="0.25">
      <c r="A112" s="1888"/>
      <c r="B112" s="1909"/>
      <c r="C112" s="1889"/>
      <c r="D112" s="1886"/>
      <c r="E112" s="1906">
        <f t="shared" si="2"/>
        <v>0</v>
      </c>
      <c r="F112" s="1906" t="str">
        <f t="shared" si="3"/>
        <v>0</v>
      </c>
    </row>
    <row r="113" spans="1:6" hidden="1" x14ac:dyDescent="0.25">
      <c r="A113" s="1888"/>
      <c r="B113" s="1909"/>
      <c r="C113" s="1889"/>
      <c r="D113" s="1886"/>
      <c r="E113" s="1906">
        <f t="shared" si="2"/>
        <v>0</v>
      </c>
      <c r="F113" s="1906" t="str">
        <f t="shared" si="3"/>
        <v>0</v>
      </c>
    </row>
    <row r="114" spans="1:6" hidden="1" x14ac:dyDescent="0.25">
      <c r="A114" s="1888"/>
      <c r="B114" s="1909"/>
      <c r="C114" s="1889"/>
      <c r="D114" s="1886"/>
      <c r="E114" s="1906">
        <f t="shared" si="2"/>
        <v>0</v>
      </c>
      <c r="F114" s="1906" t="str">
        <f t="shared" si="3"/>
        <v>0</v>
      </c>
    </row>
    <row r="115" spans="1:6" hidden="1" x14ac:dyDescent="0.25">
      <c r="A115" s="1888"/>
      <c r="B115" s="1909"/>
      <c r="C115" s="1889"/>
      <c r="D115" s="1886"/>
      <c r="E115" s="1906">
        <f t="shared" si="2"/>
        <v>0</v>
      </c>
      <c r="F115" s="1906" t="str">
        <f t="shared" si="3"/>
        <v>0</v>
      </c>
    </row>
    <row r="116" spans="1:6" hidden="1" x14ac:dyDescent="0.25">
      <c r="A116" s="1888"/>
      <c r="B116" s="1909"/>
      <c r="C116" s="1889"/>
      <c r="D116" s="1886"/>
      <c r="E116" s="1906">
        <f t="shared" si="2"/>
        <v>0</v>
      </c>
      <c r="F116" s="1906" t="str">
        <f t="shared" si="3"/>
        <v>0</v>
      </c>
    </row>
    <row r="117" spans="1:6" hidden="1" x14ac:dyDescent="0.25">
      <c r="A117" s="1888"/>
      <c r="B117" s="1909"/>
      <c r="C117" s="1889"/>
      <c r="D117" s="1886"/>
      <c r="E117" s="1906">
        <f t="shared" si="2"/>
        <v>0</v>
      </c>
      <c r="F117" s="1906" t="str">
        <f t="shared" si="3"/>
        <v>0</v>
      </c>
    </row>
    <row r="118" spans="1:6" hidden="1" x14ac:dyDescent="0.25">
      <c r="A118" s="1888"/>
      <c r="B118" s="1909"/>
      <c r="C118" s="1889"/>
      <c r="D118" s="1886"/>
      <c r="E118" s="1906">
        <f t="shared" si="2"/>
        <v>0</v>
      </c>
      <c r="F118" s="1906" t="str">
        <f t="shared" si="3"/>
        <v>0</v>
      </c>
    </row>
    <row r="119" spans="1:6" hidden="1" x14ac:dyDescent="0.25">
      <c r="A119" s="1888"/>
      <c r="B119" s="1909"/>
      <c r="C119" s="1889"/>
      <c r="D119" s="1886"/>
      <c r="E119" s="1906">
        <f t="shared" si="2"/>
        <v>0</v>
      </c>
      <c r="F119" s="1906" t="str">
        <f t="shared" si="3"/>
        <v>0</v>
      </c>
    </row>
    <row r="120" spans="1:6" hidden="1" x14ac:dyDescent="0.25">
      <c r="A120" s="1888"/>
      <c r="B120" s="1909"/>
      <c r="C120" s="1889"/>
      <c r="D120" s="1886"/>
      <c r="E120" s="1906">
        <f t="shared" si="2"/>
        <v>0</v>
      </c>
      <c r="F120" s="1906" t="str">
        <f t="shared" si="3"/>
        <v>0</v>
      </c>
    </row>
    <row r="121" spans="1:6" hidden="1" x14ac:dyDescent="0.25">
      <c r="A121" s="1888"/>
      <c r="B121" s="1909"/>
      <c r="C121" s="1889"/>
      <c r="D121" s="1886"/>
      <c r="E121" s="1906">
        <f t="shared" si="2"/>
        <v>0</v>
      </c>
      <c r="F121" s="1906" t="str">
        <f t="shared" si="3"/>
        <v>0</v>
      </c>
    </row>
    <row r="122" spans="1:6" hidden="1" x14ac:dyDescent="0.25">
      <c r="A122" s="1888"/>
      <c r="B122" s="1909"/>
      <c r="C122" s="1889"/>
      <c r="D122" s="1886"/>
      <c r="E122" s="1906">
        <f t="shared" si="2"/>
        <v>0</v>
      </c>
      <c r="F122" s="1906" t="str">
        <f t="shared" si="3"/>
        <v>0</v>
      </c>
    </row>
    <row r="123" spans="1:6" hidden="1" x14ac:dyDescent="0.25">
      <c r="A123" s="1888"/>
      <c r="B123" s="1909"/>
      <c r="C123" s="1889"/>
      <c r="D123" s="1886"/>
      <c r="E123" s="1906">
        <f t="shared" si="2"/>
        <v>0</v>
      </c>
      <c r="F123" s="1906" t="str">
        <f t="shared" si="3"/>
        <v>0</v>
      </c>
    </row>
    <row r="124" spans="1:6" hidden="1" x14ac:dyDescent="0.25">
      <c r="A124" s="1888"/>
      <c r="B124" s="1909"/>
      <c r="C124" s="1889"/>
      <c r="D124" s="1886"/>
      <c r="E124" s="1906">
        <f t="shared" si="2"/>
        <v>0</v>
      </c>
      <c r="F124" s="1906" t="str">
        <f t="shared" si="3"/>
        <v>0</v>
      </c>
    </row>
    <row r="125" spans="1:6" hidden="1" x14ac:dyDescent="0.25">
      <c r="A125" s="1888"/>
      <c r="B125" s="1909"/>
      <c r="C125" s="1889"/>
      <c r="D125" s="1886"/>
      <c r="E125" s="1906">
        <f t="shared" si="2"/>
        <v>0</v>
      </c>
      <c r="F125" s="1906" t="str">
        <f t="shared" si="3"/>
        <v>0</v>
      </c>
    </row>
    <row r="126" spans="1:6" hidden="1" x14ac:dyDescent="0.25">
      <c r="A126" s="1888"/>
      <c r="B126" s="1909"/>
      <c r="C126" s="1889"/>
      <c r="D126" s="1886"/>
      <c r="E126" s="1906">
        <f t="shared" si="2"/>
        <v>0</v>
      </c>
      <c r="F126" s="1906" t="str">
        <f t="shared" si="3"/>
        <v>0</v>
      </c>
    </row>
    <row r="127" spans="1:6" hidden="1" x14ac:dyDescent="0.25">
      <c r="A127" s="1888"/>
      <c r="B127" s="1909"/>
      <c r="C127" s="1889"/>
      <c r="D127" s="1886"/>
      <c r="E127" s="1906">
        <f t="shared" si="2"/>
        <v>0</v>
      </c>
      <c r="F127" s="1906" t="str">
        <f t="shared" si="3"/>
        <v>0</v>
      </c>
    </row>
    <row r="128" spans="1:6" hidden="1" x14ac:dyDescent="0.25">
      <c r="A128" s="1888"/>
      <c r="B128" s="1909"/>
      <c r="C128" s="1889"/>
      <c r="D128" s="1886"/>
      <c r="E128" s="1906">
        <f t="shared" si="2"/>
        <v>0</v>
      </c>
      <c r="F128" s="1906" t="str">
        <f t="shared" si="3"/>
        <v>0</v>
      </c>
    </row>
    <row r="129" spans="1:6" hidden="1" x14ac:dyDescent="0.25">
      <c r="A129" s="1888"/>
      <c r="B129" s="1909"/>
      <c r="C129" s="1889"/>
      <c r="D129" s="1886"/>
      <c r="E129" s="1906">
        <f t="shared" si="2"/>
        <v>0</v>
      </c>
      <c r="F129" s="1906" t="str">
        <f t="shared" si="3"/>
        <v>0</v>
      </c>
    </row>
    <row r="130" spans="1:6" hidden="1" x14ac:dyDescent="0.25">
      <c r="A130" s="1888"/>
      <c r="B130" s="1909"/>
      <c r="C130" s="1889"/>
      <c r="D130" s="1886"/>
      <c r="E130" s="1906">
        <f t="shared" si="2"/>
        <v>0</v>
      </c>
      <c r="F130" s="1906" t="str">
        <f t="shared" si="3"/>
        <v>0</v>
      </c>
    </row>
    <row r="131" spans="1:6" hidden="1" x14ac:dyDescent="0.25">
      <c r="A131" s="1888"/>
      <c r="B131" s="1909"/>
      <c r="C131" s="1889"/>
      <c r="D131" s="1886"/>
      <c r="E131" s="1906">
        <f t="shared" si="2"/>
        <v>0</v>
      </c>
      <c r="F131" s="1906" t="str">
        <f t="shared" si="3"/>
        <v>0</v>
      </c>
    </row>
    <row r="132" spans="1:6" hidden="1" x14ac:dyDescent="0.25">
      <c r="A132" s="1888"/>
      <c r="B132" s="1909"/>
      <c r="C132" s="1889"/>
      <c r="D132" s="1886"/>
      <c r="E132" s="1906">
        <f t="shared" si="2"/>
        <v>0</v>
      </c>
      <c r="F132" s="1906" t="str">
        <f t="shared" si="3"/>
        <v>0</v>
      </c>
    </row>
    <row r="133" spans="1:6" hidden="1" x14ac:dyDescent="0.25">
      <c r="A133" s="1888"/>
      <c r="B133" s="1909"/>
      <c r="C133" s="1889"/>
      <c r="D133" s="1886"/>
      <c r="E133" s="1906">
        <f t="shared" si="2"/>
        <v>0</v>
      </c>
      <c r="F133" s="1906" t="str">
        <f t="shared" si="3"/>
        <v>0</v>
      </c>
    </row>
    <row r="134" spans="1:6" hidden="1" x14ac:dyDescent="0.25">
      <c r="A134" s="1888"/>
      <c r="B134" s="1909"/>
      <c r="C134" s="1889"/>
      <c r="D134" s="1886"/>
      <c r="E134" s="1906">
        <f t="shared" si="2"/>
        <v>0</v>
      </c>
      <c r="F134" s="1906" t="str">
        <f t="shared" si="3"/>
        <v>0</v>
      </c>
    </row>
    <row r="135" spans="1:6" hidden="1" x14ac:dyDescent="0.25">
      <c r="A135" s="1888"/>
      <c r="B135" s="1909"/>
      <c r="C135" s="1889"/>
      <c r="D135" s="1886"/>
      <c r="E135" s="1906">
        <f t="shared" si="2"/>
        <v>0</v>
      </c>
      <c r="F135" s="1906" t="str">
        <f t="shared" si="3"/>
        <v>0</v>
      </c>
    </row>
    <row r="136" spans="1:6" hidden="1" x14ac:dyDescent="0.25">
      <c r="A136" s="1888"/>
      <c r="B136" s="1909"/>
      <c r="C136" s="1889"/>
      <c r="D136" s="1886"/>
      <c r="E136" s="1906">
        <f t="shared" si="2"/>
        <v>0</v>
      </c>
      <c r="F136" s="1906" t="str">
        <f t="shared" si="3"/>
        <v>0</v>
      </c>
    </row>
    <row r="137" spans="1:6" hidden="1" x14ac:dyDescent="0.25">
      <c r="A137" s="1888"/>
      <c r="B137" s="1909"/>
      <c r="C137" s="1889"/>
      <c r="D137" s="1886"/>
      <c r="E137" s="1906">
        <f t="shared" si="2"/>
        <v>0</v>
      </c>
      <c r="F137" s="1906" t="str">
        <f t="shared" si="3"/>
        <v>0</v>
      </c>
    </row>
    <row r="138" spans="1:6" hidden="1" x14ac:dyDescent="0.25">
      <c r="A138" s="1888"/>
      <c r="B138" s="1909"/>
      <c r="C138" s="1889"/>
      <c r="D138" s="1886"/>
      <c r="E138" s="1906">
        <f t="shared" si="2"/>
        <v>0</v>
      </c>
      <c r="F138" s="1906" t="str">
        <f t="shared" si="3"/>
        <v>0</v>
      </c>
    </row>
    <row r="139" spans="1:6" hidden="1" x14ac:dyDescent="0.25">
      <c r="A139" s="1888"/>
      <c r="B139" s="1909"/>
      <c r="C139" s="1889"/>
      <c r="D139" s="1886"/>
      <c r="E139" s="1906">
        <f t="shared" si="2"/>
        <v>0</v>
      </c>
      <c r="F139" s="1906" t="str">
        <f t="shared" si="3"/>
        <v>0</v>
      </c>
    </row>
    <row r="140" spans="1:6" hidden="1"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33403</v>
      </c>
      <c r="E142" s="1893">
        <f>SUM(E18:E141)</f>
        <v>0</v>
      </c>
      <c r="F142" s="1894">
        <f>SUM(F18:F141)</f>
        <v>8403</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495300</xdr:colOff>
                <xdr:row>9</xdr:row>
                <xdr:rowOff>76200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1504950</xdr:colOff>
                <xdr:row>9</xdr:row>
                <xdr:rowOff>76200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36" t="s">
        <v>1660</v>
      </c>
      <c r="B5" s="2437"/>
      <c r="C5" s="2437"/>
      <c r="D5" s="2437"/>
      <c r="E5" s="2437"/>
      <c r="F5" s="2437"/>
      <c r="G5" s="2438"/>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c r="F10" s="805"/>
      <c r="G10" s="806"/>
      <c r="H10" s="157"/>
      <c r="I10" s="157"/>
    </row>
    <row r="11" spans="1:13" s="542" customFormat="1" ht="22.5" customHeight="1" x14ac:dyDescent="0.2">
      <c r="A11" s="2441"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42"/>
      <c r="C11" s="2442"/>
      <c r="D11" s="2443"/>
      <c r="E11" s="1801">
        <v>6816</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1569653</v>
      </c>
      <c r="F19" s="1802"/>
      <c r="G19" s="1804">
        <f>'Expenditures 15-22'!K33-SUM('Expenditures 15-22'!G33,'Expenditures 15-22'!I33)+'Expenditures 15-22'!D229</f>
        <v>1569653</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83519</v>
      </c>
      <c r="F21" s="1805"/>
      <c r="G21" s="1808">
        <f>'Expenditures 15-22'!K42-SUM('Expenditures 15-22'!G42,'Expenditures 15-22'!I42)+'Expenditures 15-22'!K120-SUM('Expenditures 15-22'!G120,'Expenditures 15-22'!I120)+'Expenditures 15-22'!K180-SUM('Expenditures 15-22'!G180,'Expenditures 15-22'!I180)+'Expenditures 15-22'!D238</f>
        <v>83519</v>
      </c>
      <c r="H21" s="817"/>
      <c r="I21" s="157"/>
    </row>
    <row r="22" spans="1:9" s="542" customFormat="1" ht="12" customHeight="1" x14ac:dyDescent="0.2">
      <c r="A22" s="824" t="s">
        <v>560</v>
      </c>
      <c r="B22" s="825"/>
      <c r="C22" s="823">
        <v>2200</v>
      </c>
      <c r="D22" s="1805"/>
      <c r="E22" s="1807">
        <f>'Expenditures 15-22'!K47-SUM('Expenditures 15-22'!G47,'Expenditures 15-22'!I47)+'Expenditures 15-22'!D243</f>
        <v>32393</v>
      </c>
      <c r="F22" s="1805"/>
      <c r="G22" s="1808">
        <f>'Expenditures 15-22'!K47-SUM('Expenditures 15-22'!G47,'Expenditures 15-22'!I47)+'Expenditures 15-22'!D243</f>
        <v>32393</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389623</v>
      </c>
      <c r="F23" s="1805"/>
      <c r="G23" s="1807">
        <f>'Expenditures 15-22'!K53-SUM('Expenditures 15-22'!G53,'Expenditures 15-22'!I53)+'Expenditures 15-22'!D257+'Expenditures 15-22'!K330-SUM('Expenditures 15-22'!G330,'Expenditures 15-22'!I330)</f>
        <v>389623</v>
      </c>
      <c r="H23" s="817"/>
      <c r="I23" s="157"/>
    </row>
    <row r="24" spans="1:9" s="542" customFormat="1" ht="12" customHeight="1" x14ac:dyDescent="0.2">
      <c r="A24" s="824" t="s">
        <v>562</v>
      </c>
      <c r="B24" s="825"/>
      <c r="C24" s="823">
        <v>2400</v>
      </c>
      <c r="D24" s="1805"/>
      <c r="E24" s="1807">
        <f>'Expenditures 15-22'!K57-SUM('Expenditures 15-22'!G57,'Expenditures 15-22'!I57)+'Expenditures 15-22'!D261</f>
        <v>37782</v>
      </c>
      <c r="F24" s="1805"/>
      <c r="G24" s="1808">
        <f>'Expenditures 15-22'!K57-SUM('Expenditures 15-22'!G57,'Expenditures 15-22'!I57)+'Expenditures 15-22'!D261</f>
        <v>37782</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71256</v>
      </c>
      <c r="E27" s="1807">
        <f>E8</f>
        <v>0</v>
      </c>
      <c r="F27" s="1807">
        <f>'Expenditures 15-22'!K60-SUM('Expenditures 15-22'!G60,'Expenditures 15-22'!I60)+'Expenditures 15-22'!D264-E8</f>
        <v>71256</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164771</v>
      </c>
      <c r="F28" s="1809">
        <f>'Expenditures 15-22'!K61-SUM('Expenditures 15-22'!G61,'Expenditures 15-22'!I61)+'Expenditures 15-22'!K124-SUM('Expenditures 15-22'!G124,'Expenditures 15-22'!I124)+'Expenditures 15-22'!D266-E9</f>
        <v>164771</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221981</v>
      </c>
      <c r="F29" s="1805"/>
      <c r="G29" s="1808">
        <f>'Expenditures 15-22'!K62-SUM('Expenditures 15-22'!G62,'Expenditures 15-22'!I62)+'Expenditures 15-22'!K125-SUM('Expenditures 15-22'!G125,'Expenditures 15-22'!I125)+'Expenditures 15-22'!K182-SUM('Expenditures 15-22'!G182,'Expenditures 15-22'!I182)+'Expenditures 15-22'!D267</f>
        <v>221981</v>
      </c>
      <c r="H29" s="815"/>
    </row>
    <row r="30" spans="1:9" ht="12" customHeight="1" x14ac:dyDescent="0.2">
      <c r="A30" s="824" t="s">
        <v>100</v>
      </c>
      <c r="B30" s="827"/>
      <c r="C30" s="823">
        <v>2560</v>
      </c>
      <c r="D30" s="1805"/>
      <c r="E30" s="1807">
        <f>'Expenditures 15-22'!K63-SUM('Expenditures 15-22'!G63,'Expenditures 15-22'!I63)+'Expenditures 15-22'!D268-E10</f>
        <v>33403</v>
      </c>
      <c r="F30" s="1805"/>
      <c r="G30" s="1807">
        <f>'Expenditures 15-22'!K63-SUM('Expenditures 15-22'!G63,'Expenditures 15-22'!I63)+'Expenditures 15-22'!D268-E10</f>
        <v>33403</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1120</v>
      </c>
      <c r="F39" s="1805"/>
      <c r="G39" s="1807">
        <f>'Expenditures 15-22'!K75-SUM('Expenditures 15-22'!G75,'Expenditures 15-22'!I75)+'Expenditures 15-22'!K130-SUM('Expenditures 15-22'!G130,'Expenditures 15-22'!I130)+'Expenditures 15-22'!K185-SUM('Expenditures 15-22'!G185,'Expenditures 15-22'!I185)+'Expenditures 15-22'!D280</f>
        <v>1120</v>
      </c>
    </row>
    <row r="40" spans="1:7" ht="12" customHeight="1" x14ac:dyDescent="0.2">
      <c r="A40" s="820" t="s">
        <v>1798</v>
      </c>
      <c r="B40" s="821"/>
      <c r="C40" s="823"/>
      <c r="D40" s="1805"/>
      <c r="E40" s="1809">
        <f>-'Contracts Paid in CY 29'!F142</f>
        <v>-8403</v>
      </c>
      <c r="F40" s="1805"/>
      <c r="G40" s="1809">
        <f>-'Contracts Paid in CY 29'!F142</f>
        <v>-8403</v>
      </c>
    </row>
    <row r="41" spans="1:7" ht="12" customHeight="1" x14ac:dyDescent="0.2">
      <c r="A41" s="828" t="s">
        <v>155</v>
      </c>
      <c r="B41" s="829"/>
      <c r="C41" s="830"/>
      <c r="D41" s="1809">
        <f>SUM(D19:D39)</f>
        <v>71256</v>
      </c>
      <c r="E41" s="1809">
        <f>SUM(E19:E40)</f>
        <v>2525842</v>
      </c>
      <c r="F41" s="1809">
        <f>SUM(F19:F39)</f>
        <v>236027</v>
      </c>
      <c r="G41" s="1809">
        <f>SUM(G19:G40)</f>
        <v>2361071</v>
      </c>
    </row>
    <row r="42" spans="1:7" x14ac:dyDescent="0.2">
      <c r="A42" s="817"/>
      <c r="B42" s="157"/>
      <c r="C42" s="831"/>
      <c r="D42" s="2439" t="s">
        <v>519</v>
      </c>
      <c r="E42" s="2440"/>
      <c r="F42" s="832" t="s">
        <v>520</v>
      </c>
      <c r="G42" s="833"/>
    </row>
    <row r="43" spans="1:7" ht="12" customHeight="1" x14ac:dyDescent="0.2">
      <c r="A43" s="817"/>
      <c r="B43" s="157"/>
      <c r="C43" s="831"/>
      <c r="D43" s="1458" t="s">
        <v>470</v>
      </c>
      <c r="E43" s="1810">
        <f>D41</f>
        <v>71256</v>
      </c>
      <c r="F43" s="1458" t="s">
        <v>470</v>
      </c>
      <c r="G43" s="1810">
        <f>F41</f>
        <v>236027</v>
      </c>
    </row>
    <row r="44" spans="1:7" ht="12" customHeight="1" x14ac:dyDescent="0.2">
      <c r="A44" s="817"/>
      <c r="B44" s="157"/>
      <c r="C44" s="831"/>
      <c r="D44" s="1458" t="s">
        <v>471</v>
      </c>
      <c r="E44" s="1810">
        <f>E41</f>
        <v>2525842</v>
      </c>
      <c r="F44" s="1458" t="s">
        <v>471</v>
      </c>
      <c r="G44" s="1810">
        <f>G41</f>
        <v>2361071</v>
      </c>
    </row>
    <row r="45" spans="1:7" ht="12" customHeight="1" x14ac:dyDescent="0.2">
      <c r="A45" s="817"/>
      <c r="B45" s="157"/>
      <c r="C45" s="157"/>
      <c r="D45" s="1459" t="s">
        <v>999</v>
      </c>
      <c r="E45" s="1811">
        <f>(E43/E44)</f>
        <v>2.8210790698705621E-2</v>
      </c>
      <c r="F45" s="1459" t="s">
        <v>999</v>
      </c>
      <c r="G45" s="1811">
        <f>(G43/G44)</f>
        <v>9.9966074717786971E-2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7109375" style="1507" bestFit="1" customWidth="1"/>
    <col min="9" max="9" width="3" style="1507" bestFit="1" customWidth="1"/>
    <col min="10" max="10" width="2.140625" style="1507" bestFit="1" customWidth="1"/>
    <col min="11" max="11" width="9" style="1507" customWidth="1"/>
    <col min="12" max="16384" width="9.140625" style="1477"/>
  </cols>
  <sheetData>
    <row r="1" spans="1:15" x14ac:dyDescent="0.2">
      <c r="A1" s="2458" t="s">
        <v>1363</v>
      </c>
      <c r="B1" s="2458"/>
      <c r="C1" s="2458"/>
      <c r="D1" s="2458"/>
      <c r="E1" s="2458"/>
      <c r="F1" s="2458"/>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59" t="s">
        <v>1529</v>
      </c>
      <c r="B5" s="2460"/>
      <c r="C5" s="2461"/>
      <c r="D5" s="2461"/>
      <c r="E5" s="2461"/>
      <c r="F5" s="2461"/>
      <c r="G5" s="1507"/>
      <c r="L5" s="1507"/>
      <c r="M5" s="1855"/>
      <c r="N5" s="1855"/>
      <c r="O5" s="1855"/>
    </row>
    <row r="6" spans="1:15" ht="12" customHeight="1" x14ac:dyDescent="0.25">
      <c r="A6" s="1480"/>
      <c r="B6" s="1481"/>
      <c r="C6" s="2462" t="str">
        <f>COVER!A17</f>
        <v xml:space="preserve">   Montmorency CCSD 145</v>
      </c>
      <c r="D6" s="2462"/>
      <c r="E6" s="2462"/>
      <c r="F6" s="1482"/>
      <c r="G6" s="1507"/>
      <c r="L6" s="1507"/>
      <c r="M6" s="1855"/>
      <c r="N6" s="1855"/>
      <c r="O6" s="1855"/>
    </row>
    <row r="7" spans="1:15" ht="11.25" customHeight="1" thickBot="1" x14ac:dyDescent="0.3">
      <c r="A7" s="1480"/>
      <c r="B7" s="1481"/>
      <c r="C7" s="2463">
        <f>COVER!A13</f>
        <v>47098145004</v>
      </c>
      <c r="D7" s="2463"/>
      <c r="E7" s="2463"/>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t="s">
        <v>2102</v>
      </c>
      <c r="D17" s="1495" t="s">
        <v>2102</v>
      </c>
      <c r="E17" s="1498"/>
      <c r="F17" s="1497" t="s">
        <v>2101</v>
      </c>
      <c r="G17" s="1507"/>
      <c r="H17" s="1507">
        <f t="shared" si="0"/>
        <v>5</v>
      </c>
      <c r="I17" s="1507">
        <f t="shared" si="1"/>
        <v>5</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t="s">
        <v>2102</v>
      </c>
      <c r="D19" s="1495" t="s">
        <v>2102</v>
      </c>
      <c r="E19" s="1498"/>
      <c r="F19" s="1497" t="s">
        <v>2103</v>
      </c>
      <c r="G19" s="1507"/>
      <c r="H19" s="1507">
        <f t="shared" si="0"/>
        <v>5</v>
      </c>
      <c r="I19" s="1507">
        <f t="shared" si="1"/>
        <v>5</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t="s">
        <v>2102</v>
      </c>
      <c r="D25" s="1495" t="s">
        <v>2102</v>
      </c>
      <c r="E25" s="1498"/>
      <c r="F25" s="1497" t="s">
        <v>2104</v>
      </c>
      <c r="G25" s="1507"/>
      <c r="H25" s="1507">
        <f t="shared" si="0"/>
        <v>5</v>
      </c>
      <c r="I25" s="1507">
        <f t="shared" si="1"/>
        <v>5</v>
      </c>
      <c r="J25" s="1507">
        <f t="shared" si="2"/>
        <v>0</v>
      </c>
      <c r="L25" s="1507"/>
      <c r="M25" s="1855"/>
      <c r="N25" s="1855"/>
      <c r="O25" s="1855"/>
    </row>
    <row r="26" spans="1:15" ht="12" customHeight="1" x14ac:dyDescent="0.2">
      <c r="A26" s="1493" t="s">
        <v>1517</v>
      </c>
      <c r="B26" s="1494"/>
      <c r="C26" s="1495" t="s">
        <v>2102</v>
      </c>
      <c r="D26" s="1495" t="s">
        <v>2102</v>
      </c>
      <c r="E26" s="1498"/>
      <c r="F26" s="1497" t="s">
        <v>2105</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t="s">
        <v>2102</v>
      </c>
      <c r="D30" s="1495" t="s">
        <v>2102</v>
      </c>
      <c r="E30" s="1498"/>
      <c r="F30" s="1497" t="s">
        <v>2106</v>
      </c>
      <c r="G30" s="1507"/>
      <c r="H30" s="1507">
        <f t="shared" si="0"/>
        <v>5</v>
      </c>
      <c r="I30" s="1507">
        <f t="shared" si="1"/>
        <v>5</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t="s">
        <v>2102</v>
      </c>
      <c r="D32" s="1495" t="s">
        <v>2102</v>
      </c>
      <c r="E32" s="1498"/>
      <c r="F32" s="1497" t="s">
        <v>2107</v>
      </c>
      <c r="G32" s="1507"/>
      <c r="H32" s="1507">
        <f t="shared" si="0"/>
        <v>5</v>
      </c>
      <c r="I32" s="1507">
        <f t="shared" si="1"/>
        <v>5</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30</v>
      </c>
      <c r="I34" s="1507">
        <f>SUM(I11:I32)</f>
        <v>30</v>
      </c>
      <c r="J34" s="1507">
        <f>SUM(J11:J32)</f>
        <v>0</v>
      </c>
      <c r="K34" s="1507">
        <f>SUM(H34:J34)</f>
        <v>60</v>
      </c>
      <c r="L34" s="1507"/>
      <c r="M34" s="1855"/>
      <c r="N34" s="1855"/>
      <c r="O34" s="1855"/>
    </row>
    <row r="35" spans="1:15" ht="12" customHeight="1" x14ac:dyDescent="0.2">
      <c r="A35" s="1500" t="s">
        <v>1376</v>
      </c>
      <c r="B35" s="1501"/>
      <c r="C35" s="2464"/>
      <c r="D35" s="2464"/>
      <c r="E35" s="2464"/>
      <c r="F35" s="2465"/>
    </row>
    <row r="36" spans="1:15" ht="12" customHeight="1" x14ac:dyDescent="0.2">
      <c r="A36" s="2447"/>
      <c r="B36" s="2448"/>
      <c r="C36" s="2448"/>
      <c r="D36" s="2448"/>
      <c r="E36" s="2448"/>
      <c r="F36" s="2449"/>
    </row>
    <row r="37" spans="1:15" ht="12" customHeight="1" x14ac:dyDescent="0.2">
      <c r="A37" s="2447"/>
      <c r="B37" s="2448"/>
      <c r="C37" s="2448"/>
      <c r="D37" s="2448"/>
      <c r="E37" s="2448"/>
      <c r="F37" s="2449"/>
    </row>
    <row r="38" spans="1:15" ht="12" customHeight="1" x14ac:dyDescent="0.2">
      <c r="A38" s="2450"/>
      <c r="B38" s="2451"/>
      <c r="C38" s="2451"/>
      <c r="D38" s="2451"/>
      <c r="E38" s="2451"/>
      <c r="F38" s="2452"/>
    </row>
    <row r="39" spans="1:15" ht="4.5" hidden="1" customHeight="1" x14ac:dyDescent="0.2">
      <c r="A39" s="1502"/>
      <c r="B39" s="1502"/>
      <c r="C39" s="1502"/>
      <c r="D39" s="1502"/>
      <c r="E39" s="1502"/>
      <c r="F39" s="1502"/>
    </row>
    <row r="40" spans="1:15" s="1499" customFormat="1" ht="12" customHeight="1" x14ac:dyDescent="0.25">
      <c r="A40" s="1503" t="s">
        <v>1375</v>
      </c>
      <c r="B40" s="1504"/>
      <c r="C40" s="2453"/>
      <c r="D40" s="2453"/>
      <c r="E40" s="2453"/>
      <c r="F40" s="2454"/>
      <c r="H40" s="1508"/>
      <c r="I40" s="1508"/>
      <c r="J40" s="1508"/>
      <c r="K40" s="1508"/>
    </row>
    <row r="41" spans="1:15" s="1499" customFormat="1" ht="12" customHeight="1" x14ac:dyDescent="0.25">
      <c r="A41" s="2455"/>
      <c r="B41" s="2456"/>
      <c r="C41" s="2456"/>
      <c r="D41" s="2456"/>
      <c r="E41" s="2456"/>
      <c r="F41" s="2457"/>
      <c r="H41" s="1508"/>
      <c r="I41" s="1508"/>
      <c r="J41" s="1508"/>
      <c r="K41" s="1508"/>
    </row>
    <row r="42" spans="1:15" s="1499" customFormat="1" ht="12" customHeight="1" x14ac:dyDescent="0.25">
      <c r="A42" s="2455"/>
      <c r="B42" s="2456"/>
      <c r="C42" s="2456"/>
      <c r="D42" s="2456"/>
      <c r="E42" s="2456"/>
      <c r="F42" s="2457"/>
      <c r="H42" s="1508"/>
      <c r="I42" s="1508"/>
      <c r="J42" s="1508"/>
      <c r="K42" s="1508"/>
    </row>
    <row r="43" spans="1:15" s="1499" customFormat="1" ht="15" x14ac:dyDescent="0.25">
      <c r="A43" s="2444"/>
      <c r="B43" s="2445"/>
      <c r="C43" s="2445"/>
      <c r="D43" s="2445"/>
      <c r="E43" s="2445"/>
      <c r="F43" s="2446"/>
      <c r="H43" s="1508"/>
      <c r="I43" s="1508"/>
      <c r="J43" s="1508"/>
      <c r="K43" s="1508"/>
    </row>
    <row r="44" spans="1:15" s="1499" customFormat="1" ht="12" hidden="1" customHeight="1" x14ac:dyDescent="0.25">
      <c r="A44" s="2444"/>
      <c r="B44" s="2445"/>
      <c r="C44" s="2445"/>
      <c r="D44" s="2445"/>
      <c r="E44" s="2445"/>
      <c r="F44" s="2446"/>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83"/>
  <sheetViews>
    <sheetView showGridLines="0" zoomScaleNormal="100" workbookViewId="0"/>
  </sheetViews>
  <sheetFormatPr defaultColWidth="9.140625"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84" t="str">
        <f>COVER!A17</f>
        <v xml:space="preserve">   Montmorency CCSD 145</v>
      </c>
      <c r="K6" s="2484"/>
      <c r="L6" s="2498"/>
      <c r="M6" s="838"/>
      <c r="N6" s="1998"/>
    </row>
    <row r="7" spans="1:14" x14ac:dyDescent="0.2">
      <c r="A7" s="2499" t="s">
        <v>864</v>
      </c>
      <c r="B7" s="2500"/>
      <c r="C7" s="2500"/>
      <c r="D7" s="2500"/>
      <c r="E7" s="2501"/>
      <c r="F7" s="839"/>
      <c r="G7" s="838"/>
      <c r="H7" s="838"/>
      <c r="I7" s="1924" t="s">
        <v>369</v>
      </c>
      <c r="J7" s="2486">
        <f>COVER!A13</f>
        <v>47098145004</v>
      </c>
      <c r="K7" s="2486"/>
      <c r="L7" s="2486"/>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502" t="s">
        <v>478</v>
      </c>
      <c r="B11" s="2503"/>
      <c r="C11" s="2504"/>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136087</v>
      </c>
      <c r="F12" s="1942"/>
      <c r="G12" s="1968">
        <f>G68</f>
        <v>33523</v>
      </c>
      <c r="H12" s="1944">
        <f t="shared" ref="H12:H18" si="0">SUM(E12:G12)</f>
        <v>169610</v>
      </c>
      <c r="I12" s="1943">
        <v>138689</v>
      </c>
      <c r="J12" s="1942"/>
      <c r="K12" s="1943">
        <v>35184</v>
      </c>
      <c r="L12" s="1944">
        <f t="shared" ref="L12:L18" si="1">SUM(I12:K12)</f>
        <v>173873</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505" t="s">
        <v>7</v>
      </c>
      <c r="C18" s="2506"/>
      <c r="D18" s="2507"/>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136087</v>
      </c>
      <c r="F19" s="1950">
        <f t="shared" si="2"/>
        <v>0</v>
      </c>
      <c r="G19" s="1950">
        <f t="shared" ref="G19" si="3">SUM(G12:G17)-G18</f>
        <v>33523</v>
      </c>
      <c r="H19" s="1950">
        <f t="shared" si="2"/>
        <v>169610</v>
      </c>
      <c r="I19" s="1950">
        <f t="shared" si="2"/>
        <v>138689</v>
      </c>
      <c r="J19" s="1950">
        <f t="shared" si="2"/>
        <v>0</v>
      </c>
      <c r="K19" s="1950">
        <f t="shared" si="2"/>
        <v>35184</v>
      </c>
      <c r="L19" s="1950">
        <f t="shared" si="2"/>
        <v>173873</v>
      </c>
      <c r="M19" s="838"/>
      <c r="N19" s="1998"/>
    </row>
    <row r="20" spans="1:14" ht="13.5" thickTop="1" x14ac:dyDescent="0.2">
      <c r="A20" s="2003">
        <v>9</v>
      </c>
      <c r="B20" s="2508" t="s">
        <v>2021</v>
      </c>
      <c r="C20" s="2508"/>
      <c r="D20" s="2509"/>
      <c r="E20" s="1951"/>
      <c r="F20" s="1951"/>
      <c r="G20" s="1951"/>
      <c r="H20" s="1951"/>
      <c r="I20" s="1951"/>
      <c r="J20" s="1951"/>
      <c r="K20" s="1951"/>
      <c r="L20" s="1952">
        <f>IF(AND(H19&gt;0,L19&gt;0),(((L19-H19)/H19)),"Enter Budget Data")</f>
        <v>2.5134131242261659E-2</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510"/>
      <c r="D27" s="2510"/>
      <c r="E27" s="843"/>
      <c r="F27" s="2511"/>
      <c r="G27" s="2511"/>
      <c r="H27" s="2511"/>
      <c r="I27" s="838"/>
      <c r="J27" s="838"/>
      <c r="K27" s="838"/>
      <c r="L27" s="838"/>
      <c r="M27" s="838"/>
      <c r="N27" s="1998"/>
    </row>
    <row r="28" spans="1:14" x14ac:dyDescent="0.2">
      <c r="A28" s="1997"/>
      <c r="B28" s="2007"/>
      <c r="C28" s="1957" t="s">
        <v>1026</v>
      </c>
      <c r="D28" s="844"/>
      <c r="E28" s="1958"/>
      <c r="F28" s="2512" t="s">
        <v>1492</v>
      </c>
      <c r="G28" s="2512"/>
      <c r="H28" s="2512"/>
      <c r="I28" s="838"/>
      <c r="J28" s="838"/>
      <c r="K28" s="838"/>
      <c r="L28" s="838"/>
      <c r="M28" s="838"/>
      <c r="N28" s="1998"/>
    </row>
    <row r="29" spans="1:14" x14ac:dyDescent="0.2">
      <c r="A29" s="1997"/>
      <c r="B29" s="2007"/>
      <c r="C29" s="2513"/>
      <c r="D29" s="2513"/>
      <c r="E29" s="845"/>
      <c r="F29" s="2513"/>
      <c r="G29" s="2513"/>
      <c r="H29" s="2513"/>
      <c r="I29" s="838"/>
      <c r="J29" s="838"/>
      <c r="K29" s="838"/>
      <c r="L29" s="838"/>
      <c r="M29" s="838"/>
      <c r="N29" s="1998"/>
    </row>
    <row r="30" spans="1:14" x14ac:dyDescent="0.2">
      <c r="A30" s="1997"/>
      <c r="B30" s="2007"/>
      <c r="C30" s="1960" t="s">
        <v>1544</v>
      </c>
      <c r="D30" s="838"/>
      <c r="E30" s="1959"/>
      <c r="F30" s="2497" t="s">
        <v>1493</v>
      </c>
      <c r="G30" s="2497"/>
      <c r="H30" s="2497"/>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74" t="s">
        <v>2024</v>
      </c>
      <c r="D34" s="2475"/>
      <c r="E34" s="2475"/>
      <c r="F34" s="2475"/>
      <c r="G34" s="2475"/>
      <c r="H34" s="2475"/>
      <c r="I34" s="2475"/>
      <c r="J34" s="2475"/>
      <c r="K34" s="2016"/>
      <c r="L34" s="838"/>
      <c r="M34" s="838"/>
      <c r="N34" s="1998"/>
    </row>
    <row r="35" spans="1:14" x14ac:dyDescent="0.2">
      <c r="A35" s="1997"/>
      <c r="B35" s="838"/>
      <c r="C35" s="2475"/>
      <c r="D35" s="2475"/>
      <c r="E35" s="2475"/>
      <c r="F35" s="2475"/>
      <c r="G35" s="2475"/>
      <c r="H35" s="2475"/>
      <c r="I35" s="2475"/>
      <c r="J35" s="2475"/>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74" t="s">
        <v>2025</v>
      </c>
      <c r="D37" s="2475"/>
      <c r="E37" s="2475"/>
      <c r="F37" s="2475"/>
      <c r="G37" s="2475"/>
      <c r="H37" s="2475"/>
      <c r="I37" s="2475"/>
      <c r="J37" s="2475"/>
      <c r="K37" s="2016"/>
      <c r="L37" s="2018"/>
      <c r="M37" s="838"/>
      <c r="N37" s="1998"/>
    </row>
    <row r="38" spans="1:14" x14ac:dyDescent="0.2">
      <c r="A38" s="1997"/>
      <c r="B38" s="838"/>
      <c r="C38" s="2475"/>
      <c r="D38" s="2475"/>
      <c r="E38" s="2475"/>
      <c r="F38" s="2475"/>
      <c r="G38" s="2475"/>
      <c r="H38" s="2475"/>
      <c r="I38" s="2475"/>
      <c r="J38" s="2475"/>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76" t="s">
        <v>2026</v>
      </c>
      <c r="D40" s="2477"/>
      <c r="E40" s="2477"/>
      <c r="F40" s="2477"/>
      <c r="G40" s="2477"/>
      <c r="H40" s="2477"/>
      <c r="I40" s="2477"/>
      <c r="J40" s="2477"/>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78" t="s">
        <v>2027</v>
      </c>
      <c r="B43" s="2479"/>
      <c r="C43" s="2479"/>
      <c r="D43" s="2479"/>
      <c r="E43" s="2479"/>
      <c r="F43" s="2479"/>
      <c r="G43" s="2479"/>
      <c r="H43" s="2479"/>
      <c r="I43" s="2479"/>
      <c r="J43" s="2479"/>
      <c r="K43" s="2479"/>
      <c r="L43" s="2479"/>
      <c r="M43" s="2479"/>
      <c r="N43" s="2480"/>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81" t="s">
        <v>2029</v>
      </c>
      <c r="B46" s="2482"/>
      <c r="C46" s="2482"/>
      <c r="D46" s="2482"/>
      <c r="E46" s="2482"/>
      <c r="F46" s="2482"/>
      <c r="G46" s="2482"/>
      <c r="H46" s="2482"/>
      <c r="I46" s="2482"/>
      <c r="J46" s="2482"/>
      <c r="K46" s="2482"/>
      <c r="L46" s="2482"/>
      <c r="M46" s="2482"/>
      <c r="N46" s="2483"/>
    </row>
    <row r="47" spans="1:14" x14ac:dyDescent="0.2">
      <c r="A47" s="2481"/>
      <c r="B47" s="2482"/>
      <c r="C47" s="2482"/>
      <c r="D47" s="2482"/>
      <c r="E47" s="2482"/>
      <c r="F47" s="2482"/>
      <c r="G47" s="2482"/>
      <c r="H47" s="2482"/>
      <c r="I47" s="2482"/>
      <c r="J47" s="2482"/>
      <c r="K47" s="2482"/>
      <c r="L47" s="2482"/>
      <c r="M47" s="2482"/>
      <c r="N47" s="2483"/>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84" t="str">
        <f>J6</f>
        <v xml:space="preserve">   Montmorency CCSD 145</v>
      </c>
      <c r="M52" s="2484"/>
      <c r="N52" s="2485"/>
    </row>
    <row r="53" spans="1:14" x14ac:dyDescent="0.2">
      <c r="A53" s="1982"/>
      <c r="B53" s="1983"/>
      <c r="C53" s="1983"/>
      <c r="D53" s="1983"/>
      <c r="E53" s="1983"/>
      <c r="F53" s="1983"/>
      <c r="G53" s="1983"/>
      <c r="H53" s="1983"/>
      <c r="I53" s="1983"/>
      <c r="J53" s="1983"/>
      <c r="K53" s="1924" t="s">
        <v>369</v>
      </c>
      <c r="L53" s="2486">
        <f>J7</f>
        <v>47098145004</v>
      </c>
      <c r="M53" s="2486"/>
      <c r="N53" s="2487"/>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88"/>
      <c r="B55" s="2489"/>
      <c r="C55" s="2489"/>
      <c r="D55" s="1970"/>
      <c r="E55" s="1970"/>
      <c r="F55" s="1970"/>
      <c r="G55" s="2490" t="s">
        <v>2030</v>
      </c>
      <c r="H55" s="2490"/>
      <c r="I55" s="2490"/>
      <c r="J55" s="2490"/>
      <c r="K55" s="2490"/>
      <c r="L55" s="2490"/>
      <c r="M55" s="2490"/>
      <c r="N55" s="2491"/>
    </row>
    <row r="56" spans="1:14" ht="63.75" x14ac:dyDescent="0.2">
      <c r="A56" s="2492" t="s">
        <v>2031</v>
      </c>
      <c r="B56" s="2493"/>
      <c r="C56" s="2494"/>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95" t="s">
        <v>296</v>
      </c>
      <c r="B57" s="2496"/>
      <c r="C57" s="2496"/>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72" t="s">
        <v>2041</v>
      </c>
      <c r="B58" s="2473"/>
      <c r="C58" s="2473"/>
      <c r="D58" s="1967">
        <v>2362</v>
      </c>
      <c r="E58" s="1977">
        <f>'Expenditures 15-22'!K320</f>
        <v>16705</v>
      </c>
      <c r="F58" s="1972"/>
      <c r="G58" s="2031"/>
      <c r="H58" s="2032"/>
      <c r="I58" s="2032"/>
      <c r="J58" s="2032"/>
      <c r="K58" s="2032"/>
      <c r="L58" s="2032"/>
      <c r="M58" s="2032">
        <v>16705</v>
      </c>
      <c r="N58" s="1975">
        <f>IF((SUM(G58:M58))=E58,SUM(G58:M58),"Column N does not agree with Column E")</f>
        <v>16705</v>
      </c>
    </row>
    <row r="59" spans="1:14" ht="24.75" customHeight="1" x14ac:dyDescent="0.2">
      <c r="A59" s="2466" t="s">
        <v>297</v>
      </c>
      <c r="B59" s="2467"/>
      <c r="C59" s="2467"/>
      <c r="D59" s="1967">
        <v>2363</v>
      </c>
      <c r="E59" s="1977">
        <f>'Expenditures 15-22'!K321</f>
        <v>878</v>
      </c>
      <c r="F59" s="1972"/>
      <c r="G59" s="2031"/>
      <c r="H59" s="2032"/>
      <c r="I59" s="2032"/>
      <c r="J59" s="2032"/>
      <c r="K59" s="2032"/>
      <c r="L59" s="2032"/>
      <c r="M59" s="2032">
        <v>878</v>
      </c>
      <c r="N59" s="1975">
        <f>IF((SUM(G59:M59))=E59,SUM(G59:M59),"Column N does not agree with Column E")</f>
        <v>878</v>
      </c>
    </row>
    <row r="60" spans="1:14" ht="24" customHeight="1" x14ac:dyDescent="0.2">
      <c r="A60" s="2466" t="s">
        <v>236</v>
      </c>
      <c r="B60" s="2467"/>
      <c r="C60" s="2467"/>
      <c r="D60" s="1967">
        <v>2364</v>
      </c>
      <c r="E60" s="1977">
        <f>'Expenditures 15-22'!K322</f>
        <v>0</v>
      </c>
      <c r="F60" s="1972"/>
      <c r="G60" s="2031"/>
      <c r="H60" s="2032"/>
      <c r="I60" s="2032"/>
      <c r="J60" s="2032"/>
      <c r="K60" s="2032"/>
      <c r="L60" s="2032"/>
      <c r="M60" s="2032"/>
      <c r="N60" s="1975">
        <f t="shared" ref="N60:N67" si="4">IF((SUM(G60:M60))=E60,SUM(G60:M60),"Column N does not agree with Column E")</f>
        <v>0</v>
      </c>
    </row>
    <row r="61" spans="1:14" ht="24.75" customHeight="1" x14ac:dyDescent="0.2">
      <c r="A61" s="2466" t="s">
        <v>697</v>
      </c>
      <c r="B61" s="2467"/>
      <c r="C61" s="2467"/>
      <c r="D61" s="1967">
        <v>2365</v>
      </c>
      <c r="E61" s="1977">
        <f>'Expenditures 15-22'!K323</f>
        <v>755</v>
      </c>
      <c r="F61" s="1972"/>
      <c r="G61" s="2031"/>
      <c r="H61" s="2032"/>
      <c r="I61" s="2032"/>
      <c r="J61" s="2032"/>
      <c r="K61" s="2032"/>
      <c r="L61" s="2032"/>
      <c r="M61" s="2032">
        <v>755</v>
      </c>
      <c r="N61" s="1975">
        <f t="shared" si="4"/>
        <v>755</v>
      </c>
    </row>
    <row r="62" spans="1:14" ht="24" customHeight="1" x14ac:dyDescent="0.2">
      <c r="A62" s="2466" t="s">
        <v>237</v>
      </c>
      <c r="B62" s="2467"/>
      <c r="C62" s="2467"/>
      <c r="D62" s="1967">
        <v>2366</v>
      </c>
      <c r="E62" s="1977">
        <f>'Expenditures 15-22'!K324</f>
        <v>0</v>
      </c>
      <c r="F62" s="1972"/>
      <c r="G62" s="2031"/>
      <c r="H62" s="2032"/>
      <c r="I62" s="2032"/>
      <c r="J62" s="2032"/>
      <c r="K62" s="2032"/>
      <c r="L62" s="2032"/>
      <c r="M62" s="2032"/>
      <c r="N62" s="1975">
        <f t="shared" si="4"/>
        <v>0</v>
      </c>
    </row>
    <row r="63" spans="1:14" ht="24" customHeight="1" x14ac:dyDescent="0.2">
      <c r="A63" s="2472" t="s">
        <v>1022</v>
      </c>
      <c r="B63" s="2473"/>
      <c r="C63" s="2473"/>
      <c r="D63" s="1967">
        <v>2367</v>
      </c>
      <c r="E63" s="1977">
        <f>'Expenditures 15-22'!K325</f>
        <v>141741</v>
      </c>
      <c r="F63" s="1972"/>
      <c r="G63" s="2031">
        <f>23641+2489+7384+10-1</f>
        <v>33523</v>
      </c>
      <c r="H63" s="2032"/>
      <c r="I63" s="2032"/>
      <c r="J63" s="2032"/>
      <c r="K63" s="2032"/>
      <c r="L63" s="2032"/>
      <c r="M63" s="2032">
        <f>108861-23641+25982-2489-7384-10+6898+1</f>
        <v>108218</v>
      </c>
      <c r="N63" s="1975">
        <f t="shared" si="4"/>
        <v>141741</v>
      </c>
    </row>
    <row r="64" spans="1:14" ht="24" customHeight="1" x14ac:dyDescent="0.2">
      <c r="A64" s="2466" t="s">
        <v>1023</v>
      </c>
      <c r="B64" s="2467"/>
      <c r="C64" s="2467"/>
      <c r="D64" s="1967">
        <v>2368</v>
      </c>
      <c r="E64" s="1977">
        <f>'Expenditures 15-22'!K326</f>
        <v>0</v>
      </c>
      <c r="F64" s="1972"/>
      <c r="G64" s="2031"/>
      <c r="H64" s="2032"/>
      <c r="I64" s="2032"/>
      <c r="J64" s="2032"/>
      <c r="K64" s="2032"/>
      <c r="L64" s="2032"/>
      <c r="M64" s="2032"/>
      <c r="N64" s="1975">
        <f t="shared" si="4"/>
        <v>0</v>
      </c>
    </row>
    <row r="65" spans="1:14" ht="24" customHeight="1" x14ac:dyDescent="0.2">
      <c r="A65" s="2466" t="s">
        <v>965</v>
      </c>
      <c r="B65" s="2467"/>
      <c r="C65" s="2467"/>
      <c r="D65" s="1967">
        <v>2369</v>
      </c>
      <c r="E65" s="1977">
        <f>'Expenditures 15-22'!K327</f>
        <v>1431</v>
      </c>
      <c r="F65" s="1972"/>
      <c r="G65" s="2031"/>
      <c r="H65" s="2032"/>
      <c r="I65" s="2032"/>
      <c r="J65" s="2032"/>
      <c r="K65" s="2032"/>
      <c r="L65" s="2032"/>
      <c r="M65" s="2032">
        <v>1431</v>
      </c>
      <c r="N65" s="1975">
        <f t="shared" si="4"/>
        <v>1431</v>
      </c>
    </row>
    <row r="66" spans="1:14" ht="24" customHeight="1" x14ac:dyDescent="0.2">
      <c r="A66" s="2466" t="s">
        <v>469</v>
      </c>
      <c r="B66" s="2467"/>
      <c r="C66" s="2467"/>
      <c r="D66" s="1967">
        <v>2371</v>
      </c>
      <c r="E66" s="1977">
        <f>'Expenditures 15-22'!K328</f>
        <v>51520</v>
      </c>
      <c r="F66" s="1972"/>
      <c r="G66" s="2031"/>
      <c r="H66" s="2032"/>
      <c r="I66" s="2032"/>
      <c r="J66" s="2032"/>
      <c r="K66" s="2032"/>
      <c r="L66" s="2032"/>
      <c r="M66" s="2032">
        <f>68225-16705</f>
        <v>51520</v>
      </c>
      <c r="N66" s="1975">
        <f t="shared" si="4"/>
        <v>51520</v>
      </c>
    </row>
    <row r="67" spans="1:14" ht="24.75" customHeight="1" x14ac:dyDescent="0.2">
      <c r="A67" s="2468" t="s">
        <v>2042</v>
      </c>
      <c r="B67" s="2469"/>
      <c r="C67" s="2469"/>
      <c r="D67" s="1969">
        <v>2372</v>
      </c>
      <c r="E67" s="1978">
        <f>'Expenditures 15-22'!K329</f>
        <v>0</v>
      </c>
      <c r="F67" s="1972"/>
      <c r="G67" s="2033"/>
      <c r="H67" s="2034"/>
      <c r="I67" s="2034"/>
      <c r="J67" s="2034"/>
      <c r="K67" s="2034"/>
      <c r="L67" s="2034"/>
      <c r="M67" s="2034"/>
      <c r="N67" s="1975">
        <f t="shared" si="4"/>
        <v>0</v>
      </c>
    </row>
    <row r="68" spans="1:14" x14ac:dyDescent="0.2">
      <c r="A68" s="2470" t="s">
        <v>1151</v>
      </c>
      <c r="B68" s="2471"/>
      <c r="C68" s="2471"/>
      <c r="D68" s="1970"/>
      <c r="E68" s="1974">
        <f>SUM(E57:E67)</f>
        <v>213030</v>
      </c>
      <c r="F68" s="1973"/>
      <c r="G68" s="1974">
        <f t="shared" ref="G68:N68" si="5">SUM(G57:G67)</f>
        <v>33523</v>
      </c>
      <c r="H68" s="1974">
        <f t="shared" si="5"/>
        <v>0</v>
      </c>
      <c r="I68" s="1974">
        <f t="shared" si="5"/>
        <v>0</v>
      </c>
      <c r="J68" s="1974">
        <f t="shared" si="5"/>
        <v>0</v>
      </c>
      <c r="K68" s="1974">
        <f t="shared" si="5"/>
        <v>0</v>
      </c>
      <c r="L68" s="1974">
        <f t="shared" si="5"/>
        <v>0</v>
      </c>
      <c r="M68" s="1974">
        <f t="shared" si="5"/>
        <v>179507</v>
      </c>
      <c r="N68" s="1988">
        <f t="shared" si="5"/>
        <v>213030</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0"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2118</v>
      </c>
    </row>
    <row r="6" spans="1:2" x14ac:dyDescent="0.2">
      <c r="A6" s="847">
        <v>2</v>
      </c>
      <c r="B6" s="307" t="s">
        <v>2113</v>
      </c>
    </row>
    <row r="7" spans="1:2" x14ac:dyDescent="0.2">
      <c r="A7" s="847">
        <v>3</v>
      </c>
      <c r="B7" s="307" t="s">
        <v>2114</v>
      </c>
    </row>
    <row r="8" spans="1:2" x14ac:dyDescent="0.2">
      <c r="A8" s="847">
        <v>4</v>
      </c>
      <c r="B8" s="307" t="s">
        <v>2115</v>
      </c>
    </row>
    <row r="9" spans="1:2" x14ac:dyDescent="0.2">
      <c r="A9" s="847">
        <v>5</v>
      </c>
      <c r="B9" s="307" t="s">
        <v>2116</v>
      </c>
    </row>
    <row r="10" spans="1:2" x14ac:dyDescent="0.2">
      <c r="A10" s="847">
        <v>6</v>
      </c>
      <c r="B10" s="307" t="s">
        <v>2117</v>
      </c>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Montmorency CCSD 145</v>
      </c>
    </row>
    <row r="65" spans="2:2" x14ac:dyDescent="0.2">
      <c r="B65" s="849">
        <f>COVER!A13</f>
        <v>47098145004</v>
      </c>
    </row>
  </sheetData>
  <phoneticPr fontId="16" type="noConversion"/>
  <pageMargins left="0.2" right="0.2" top="1.17" bottom="0.75" header="0.19" footer="0.16"/>
  <pageSetup scale="75"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514" t="s">
        <v>1665</v>
      </c>
      <c r="B18" s="2514"/>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5057"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5057" r:id="rId4"/>
      </mc:Fallback>
    </mc:AlternateContent>
    <mc:AlternateContent xmlns:mc="http://schemas.openxmlformats.org/markup-compatibility/2006">
      <mc:Choice Requires="x14">
        <oleObject progId="Acrobat Document" dvAspect="DVASPECT_ICON" shapeId="45058"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5058"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15" t="s">
        <v>1669</v>
      </c>
      <c r="B1" s="2516"/>
      <c r="C1" s="2516"/>
      <c r="D1" s="2516"/>
      <c r="E1" s="2516"/>
      <c r="F1" s="2517"/>
    </row>
    <row r="2" spans="1:8" ht="45" customHeight="1" x14ac:dyDescent="0.2">
      <c r="A2" s="252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26"/>
      <c r="C2" s="2526"/>
      <c r="D2" s="2526"/>
      <c r="E2" s="2526"/>
      <c r="F2" s="2527"/>
      <c r="G2" s="853"/>
      <c r="H2" s="853"/>
    </row>
    <row r="3" spans="1:8" ht="57" customHeight="1" x14ac:dyDescent="0.2">
      <c r="A3" s="2528" t="s">
        <v>1972</v>
      </c>
      <c r="B3" s="2529"/>
      <c r="C3" s="2529"/>
      <c r="D3" s="2529"/>
      <c r="E3" s="2529"/>
      <c r="F3" s="2530"/>
      <c r="G3" s="853"/>
      <c r="H3" s="853"/>
    </row>
    <row r="4" spans="1:8" ht="14.25" customHeight="1" x14ac:dyDescent="0.2">
      <c r="A4" s="253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35"/>
      <c r="C4" s="2535"/>
      <c r="D4" s="2535"/>
      <c r="E4" s="2535"/>
      <c r="F4" s="2536"/>
      <c r="G4" s="853"/>
      <c r="H4" s="853"/>
    </row>
    <row r="5" spans="1:8" ht="14.25" customHeight="1" x14ac:dyDescent="0.2">
      <c r="A5" s="253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38"/>
      <c r="C5" s="2538"/>
      <c r="D5" s="2538"/>
      <c r="E5" s="2538"/>
      <c r="F5" s="2539"/>
      <c r="G5" s="853"/>
      <c r="H5" s="853"/>
    </row>
    <row r="6" spans="1:8" s="854" customFormat="1" ht="41.25" customHeight="1" x14ac:dyDescent="0.2">
      <c r="A6" s="2531" t="s">
        <v>1670</v>
      </c>
      <c r="B6" s="2532"/>
      <c r="C6" s="2532"/>
      <c r="D6" s="2532"/>
      <c r="E6" s="2532"/>
      <c r="F6" s="2533"/>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2230342</v>
      </c>
      <c r="C8" s="1813">
        <f>'Acct Summary 7-8'!D8</f>
        <v>132969</v>
      </c>
      <c r="D8" s="1813">
        <f>'Acct Summary 7-8'!F8</f>
        <v>195172</v>
      </c>
      <c r="E8" s="1813">
        <f>'Acct Summary 7-8'!I8</f>
        <v>29447</v>
      </c>
      <c r="F8" s="1813">
        <f>SUM(B8:E8)</f>
        <v>2587930</v>
      </c>
    </row>
    <row r="9" spans="1:8" s="858" customFormat="1" ht="14.25" customHeight="1" thickBot="1" x14ac:dyDescent="0.25">
      <c r="A9" s="857" t="s">
        <v>1353</v>
      </c>
      <c r="B9" s="1814">
        <f>'Acct Summary 7-8'!C17</f>
        <v>2170123</v>
      </c>
      <c r="C9" s="1814">
        <f>'Acct Summary 7-8'!D17</f>
        <v>101636</v>
      </c>
      <c r="D9" s="1814">
        <f>'Acct Summary 7-8'!F17</f>
        <v>221981</v>
      </c>
      <c r="E9" s="1813"/>
      <c r="F9" s="1813">
        <f>SUM(B9:E9)</f>
        <v>2493740</v>
      </c>
    </row>
    <row r="10" spans="1:8" s="858" customFormat="1" ht="14.25" thickTop="1" thickBot="1" x14ac:dyDescent="0.25">
      <c r="A10" s="859" t="s">
        <v>1354</v>
      </c>
      <c r="B10" s="1815">
        <f>(B8-B9)</f>
        <v>60219</v>
      </c>
      <c r="C10" s="1815">
        <f>(C8-C9)</f>
        <v>31333</v>
      </c>
      <c r="D10" s="1815">
        <f>(D8-D9)</f>
        <v>-26809</v>
      </c>
      <c r="E10" s="1814">
        <f>(E8-E9)</f>
        <v>29447</v>
      </c>
      <c r="F10" s="1816">
        <f>SUM(F8-F9)</f>
        <v>94190</v>
      </c>
    </row>
    <row r="11" spans="1:8" s="858" customFormat="1" ht="14.25" thickTop="1" thickBot="1" x14ac:dyDescent="0.25">
      <c r="A11" s="860" t="s">
        <v>1903</v>
      </c>
      <c r="B11" s="1817">
        <f>'Acct Summary 7-8'!C81</f>
        <v>1235493</v>
      </c>
      <c r="C11" s="1817">
        <f>'Acct Summary 7-8'!D81</f>
        <v>316468</v>
      </c>
      <c r="D11" s="1817">
        <f>'Acct Summary 7-8'!F81</f>
        <v>273914</v>
      </c>
      <c r="E11" s="1817">
        <f>'Acct Summary 7-8'!I81</f>
        <v>593846</v>
      </c>
      <c r="F11" s="1818">
        <f>SUM(B11:E11)</f>
        <v>2419721</v>
      </c>
    </row>
    <row r="12" spans="1:8" ht="16.5" customHeight="1" thickTop="1" x14ac:dyDescent="0.2">
      <c r="A12" s="861"/>
      <c r="B12" s="862"/>
      <c r="C12" s="2519" t="str">
        <f>IF(AND(F10&lt;0,F11&gt;=0,ABS(F10*3)&gt;ABS(F11)),A16,IF(AND(F10&lt;0,F11&gt;0,ABS(F10*3)&lt;=ABS(F11)),A17,IF(AND(F10&lt;0,F11&lt;0),A16,IF(F11=0,A19,A18))))</f>
        <v>Balanced - no deficit reduction plan is required.</v>
      </c>
      <c r="D12" s="2520"/>
      <c r="E12" s="2520"/>
      <c r="F12" s="2521"/>
    </row>
    <row r="13" spans="1:8" ht="19.5" customHeight="1" x14ac:dyDescent="0.2">
      <c r="A13" s="863"/>
      <c r="B13" s="864"/>
      <c r="C13" s="2519"/>
      <c r="D13" s="2520"/>
      <c r="E13" s="2520"/>
      <c r="F13" s="2521"/>
      <c r="H13" s="853"/>
    </row>
    <row r="14" spans="1:8" ht="19.5" customHeight="1" x14ac:dyDescent="0.2">
      <c r="A14" s="863"/>
      <c r="B14" s="864"/>
      <c r="C14" s="2519"/>
      <c r="D14" s="2520"/>
      <c r="E14" s="2520"/>
      <c r="F14" s="2521"/>
      <c r="H14" s="853"/>
    </row>
    <row r="15" spans="1:8" ht="17.25" customHeight="1" x14ac:dyDescent="0.2">
      <c r="A15" s="863"/>
      <c r="B15" s="864"/>
      <c r="C15" s="2522"/>
      <c r="D15" s="2523"/>
      <c r="E15" s="2523"/>
      <c r="F15" s="2524"/>
      <c r="H15" s="853"/>
    </row>
    <row r="16" spans="1:8" s="288" customFormat="1" ht="51.75" hidden="1" customHeight="1" x14ac:dyDescent="0.2">
      <c r="A16" s="2518" t="s">
        <v>1666</v>
      </c>
      <c r="B16" s="2518"/>
      <c r="C16" s="2518"/>
      <c r="D16" s="2518"/>
      <c r="E16" s="2518"/>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40" t="s">
        <v>660</v>
      </c>
      <c r="B3" s="2541"/>
      <c r="C3" s="2541"/>
      <c r="D3" s="2542"/>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51" t="s">
        <v>1487</v>
      </c>
      <c r="D7" s="2552"/>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43" t="s">
        <v>1001</v>
      </c>
      <c r="B15" s="2544"/>
      <c r="C15" s="2544"/>
      <c r="D15" s="2545"/>
    </row>
    <row r="16" spans="1:4" s="542" customFormat="1" ht="24" customHeight="1" x14ac:dyDescent="0.2">
      <c r="A16" s="2546" t="s">
        <v>658</v>
      </c>
      <c r="B16" s="2547"/>
      <c r="C16" s="2547"/>
      <c r="D16" s="2548"/>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55" t="s">
        <v>311</v>
      </c>
      <c r="D21" s="2556"/>
    </row>
    <row r="22" spans="1:10" ht="12.75" x14ac:dyDescent="0.2">
      <c r="A22" s="918"/>
      <c r="B22" s="919">
        <v>2</v>
      </c>
      <c r="C22" s="2553" t="s">
        <v>1507</v>
      </c>
      <c r="D22" s="2554"/>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57" t="s">
        <v>533</v>
      </c>
      <c r="D43" s="2558"/>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49" t="s">
        <v>779</v>
      </c>
      <c r="D56" s="2550"/>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49" t="s">
        <v>1674</v>
      </c>
      <c r="D70" s="2550"/>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47098145004</v>
      </c>
      <c r="E2" s="1542">
        <v>2020</v>
      </c>
      <c r="F2" s="1542">
        <v>1</v>
      </c>
      <c r="G2" s="1899">
        <v>101000300</v>
      </c>
    </row>
    <row r="3" spans="1:7" ht="15" x14ac:dyDescent="0.25">
      <c r="A3" t="s">
        <v>950</v>
      </c>
      <c r="B3" s="135" t="str">
        <f>COVER!A15</f>
        <v>Whiteside</v>
      </c>
      <c r="E3" s="1830" t="s">
        <v>1971</v>
      </c>
      <c r="F3" s="1830" t="s">
        <v>1970</v>
      </c>
      <c r="G3" s="1899">
        <v>101000400</v>
      </c>
    </row>
    <row r="4" spans="1:7" ht="15" x14ac:dyDescent="0.25">
      <c r="A4" t="s">
        <v>1000</v>
      </c>
      <c r="B4" s="135" t="str">
        <f>COVER!A17</f>
        <v xml:space="preserve">   Montmorency CCSD 145</v>
      </c>
      <c r="E4" s="1828">
        <v>44119</v>
      </c>
      <c r="F4" s="1829">
        <v>44151</v>
      </c>
      <c r="G4" s="1899">
        <v>101000600</v>
      </c>
    </row>
    <row r="5" spans="1:7" ht="15" x14ac:dyDescent="0.25">
      <c r="A5" t="s">
        <v>699</v>
      </c>
      <c r="B5" s="135" t="str">
        <f>COVER!A38</f>
        <v>Alex Moore</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Yes</v>
      </c>
      <c r="G14" s="1899">
        <v>402100300</v>
      </c>
    </row>
    <row r="15" spans="1:7" ht="15" x14ac:dyDescent="0.25">
      <c r="A15" t="s">
        <v>573</v>
      </c>
      <c r="B15" s="135" t="str">
        <f>COVER!T23</f>
        <v>066-005027</v>
      </c>
      <c r="G15" s="1899">
        <v>402100400</v>
      </c>
    </row>
    <row r="16" spans="1:7" ht="15" x14ac:dyDescent="0.25">
      <c r="A16" t="s">
        <v>419</v>
      </c>
      <c r="B16" s="135" t="str">
        <f>COVER!T13</f>
        <v>Gorenz and Associates, Ltd.</v>
      </c>
      <c r="G16" s="1899">
        <v>402100600</v>
      </c>
    </row>
    <row r="17" spans="1:7" ht="15" x14ac:dyDescent="0.25">
      <c r="A17" t="s">
        <v>878</v>
      </c>
      <c r="B17" s="135" t="str">
        <f>COVER!T15</f>
        <v>Jason A. Hohulin, CPA</v>
      </c>
      <c r="G17" s="1899">
        <v>402100800</v>
      </c>
    </row>
    <row r="18" spans="1:7" ht="15" x14ac:dyDescent="0.25">
      <c r="A18" t="s">
        <v>1140</v>
      </c>
      <c r="B18" s="135" t="str">
        <f>COVER!T17</f>
        <v>4200 N Knoxville Ave.</v>
      </c>
      <c r="G18" s="1899">
        <v>102200300</v>
      </c>
    </row>
    <row r="19" spans="1:7" ht="15" x14ac:dyDescent="0.25">
      <c r="A19" t="s">
        <v>880</v>
      </c>
      <c r="B19" s="135" t="str">
        <f>COVER!T25</f>
        <v>jhohulin@gorenzcpa.com</v>
      </c>
      <c r="G19" s="1899">
        <v>102200400</v>
      </c>
    </row>
    <row r="20" spans="1:7" ht="15" x14ac:dyDescent="0.25">
      <c r="A20" t="s">
        <v>881</v>
      </c>
      <c r="B20" s="135" t="str">
        <f>COVER!T19</f>
        <v>Peoria</v>
      </c>
      <c r="G20" s="1899">
        <v>102200600</v>
      </c>
    </row>
    <row r="21" spans="1:7" ht="15" x14ac:dyDescent="0.25">
      <c r="A21" t="s">
        <v>476</v>
      </c>
      <c r="B21" s="135" t="str">
        <f>COVER!X19</f>
        <v>IL</v>
      </c>
      <c r="G21" s="1899">
        <v>102200800</v>
      </c>
    </row>
    <row r="22" spans="1:7" ht="15" x14ac:dyDescent="0.25">
      <c r="A22" t="s">
        <v>882</v>
      </c>
      <c r="B22" s="135">
        <f>COVER!Z19</f>
        <v>61614</v>
      </c>
      <c r="G22" s="1899">
        <v>102300300</v>
      </c>
    </row>
    <row r="23" spans="1:7" ht="15" x14ac:dyDescent="0.25">
      <c r="A23" t="s">
        <v>1142</v>
      </c>
      <c r="B23" s="135" t="str">
        <f>COVER!T21</f>
        <v>309-685-7621</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277800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1235493</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1199112</v>
      </c>
      <c r="D92" s="2" t="str">
        <f t="shared" si="0"/>
        <v>Error?</v>
      </c>
      <c r="G92" s="1899">
        <v>102640600</v>
      </c>
    </row>
    <row r="93" spans="1:7" ht="15" x14ac:dyDescent="0.25">
      <c r="A93" s="5">
        <v>32</v>
      </c>
      <c r="B93" s="1832">
        <f>'Assets-Liab 5-6'!C41</f>
        <v>1235493</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316468</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316468</v>
      </c>
      <c r="D123" s="2" t="str">
        <f t="shared" si="0"/>
        <v>Error?</v>
      </c>
      <c r="G123" s="1899">
        <v>203000400</v>
      </c>
    </row>
    <row r="124" spans="1:7" ht="15" x14ac:dyDescent="0.25">
      <c r="A124" s="5">
        <v>63</v>
      </c>
      <c r="B124" s="1832">
        <f>'Assets-Liab 5-6'!D41</f>
        <v>316468</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139698</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139698</v>
      </c>
      <c r="D140" s="2" t="str">
        <f t="shared" si="1"/>
        <v>Error?</v>
      </c>
    </row>
    <row r="141" spans="1:7" x14ac:dyDescent="0.2">
      <c r="A141" s="5">
        <v>80</v>
      </c>
      <c r="B141" s="1832">
        <f>'Assets-Liab 5-6'!E41</f>
        <v>139698</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273914</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273914</v>
      </c>
      <c r="D170" s="2" t="str">
        <f t="shared" si="1"/>
        <v>Error?</v>
      </c>
    </row>
    <row r="171" spans="1:4" x14ac:dyDescent="0.2">
      <c r="A171" s="5">
        <v>110</v>
      </c>
      <c r="B171" s="1832">
        <f>'Assets-Liab 5-6'!F41</f>
        <v>273914</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98786</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41131</v>
      </c>
      <c r="D189" s="2" t="str">
        <f t="shared" si="1"/>
        <v>Error?</v>
      </c>
    </row>
    <row r="190" spans="1:4" x14ac:dyDescent="0.2">
      <c r="A190" s="5">
        <v>129</v>
      </c>
      <c r="B190" s="1832">
        <f>'Assets-Liab 5-6'!G41</f>
        <v>98786</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286542</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286542</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8150</v>
      </c>
      <c r="D273" s="2" t="str">
        <f t="shared" si="3"/>
        <v>Error?</v>
      </c>
    </row>
    <row r="274" spans="1:4" x14ac:dyDescent="0.2">
      <c r="A274" s="5">
        <v>213</v>
      </c>
      <c r="B274" s="1832">
        <f>'Assets-Liab 5-6'!M17</f>
        <v>4437574</v>
      </c>
      <c r="D274" s="2" t="str">
        <f t="shared" si="3"/>
        <v>Error?</v>
      </c>
    </row>
    <row r="275" spans="1:4" x14ac:dyDescent="0.2">
      <c r="A275" s="5">
        <v>214</v>
      </c>
      <c r="B275" s="1832">
        <f>'Assets-Liab 5-6'!M18</f>
        <v>45261</v>
      </c>
      <c r="D275" s="2" t="str">
        <f t="shared" si="3"/>
        <v>Error?</v>
      </c>
    </row>
    <row r="276" spans="1:4" x14ac:dyDescent="0.2">
      <c r="A276" s="5">
        <v>215</v>
      </c>
      <c r="B276" s="1832">
        <f>'Assets-Liab 5-6'!M19</f>
        <v>234473</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4725458</v>
      </c>
      <c r="C279" s="2" t="s">
        <v>569</v>
      </c>
      <c r="D279" s="2" t="str">
        <f t="shared" si="3"/>
        <v>Error?</v>
      </c>
    </row>
    <row r="280" spans="1:4" x14ac:dyDescent="0.2">
      <c r="A280" s="5">
        <v>219</v>
      </c>
      <c r="B280" s="1832">
        <f>'Assets-Liab 5-6'!M40</f>
        <v>4725458</v>
      </c>
      <c r="D280" s="2" t="str">
        <f t="shared" si="3"/>
        <v>Error?</v>
      </c>
    </row>
    <row r="281" spans="1:4" x14ac:dyDescent="0.2">
      <c r="A281" s="5">
        <v>220</v>
      </c>
      <c r="B281" s="1832">
        <f>'Assets-Liab 5-6'!M41</f>
        <v>4725458</v>
      </c>
      <c r="C281" s="2" t="s">
        <v>569</v>
      </c>
      <c r="D281" s="2" t="str">
        <f t="shared" si="3"/>
        <v>Error?</v>
      </c>
    </row>
    <row r="282" spans="1:4" x14ac:dyDescent="0.2">
      <c r="A282" s="5">
        <v>221</v>
      </c>
      <c r="B282" s="1832">
        <f>'Assets-Liab 5-6'!N21</f>
        <v>139698</v>
      </c>
      <c r="D282" s="2" t="str">
        <f t="shared" si="3"/>
        <v>Error?</v>
      </c>
    </row>
    <row r="283" spans="1:4" x14ac:dyDescent="0.2">
      <c r="A283" s="5">
        <v>222</v>
      </c>
      <c r="B283" s="1832">
        <f>'Assets-Liab 5-6'!N22</f>
        <v>1263102</v>
      </c>
      <c r="D283" s="2" t="str">
        <f t="shared" si="3"/>
        <v>Error?</v>
      </c>
    </row>
    <row r="284" spans="1:4" x14ac:dyDescent="0.2">
      <c r="A284" s="5">
        <v>223</v>
      </c>
      <c r="B284" s="1832">
        <f>'Assets-Liab 5-6'!N23</f>
        <v>1402800</v>
      </c>
      <c r="C284" s="2" t="s">
        <v>569</v>
      </c>
      <c r="D284" s="2" t="str">
        <f t="shared" si="3"/>
        <v>Error?</v>
      </c>
    </row>
    <row r="285" spans="1:4" x14ac:dyDescent="0.2">
      <c r="A285" s="5">
        <v>224</v>
      </c>
      <c r="B285" s="1832">
        <f>'Assets-Liab 5-6'!N36</f>
        <v>1402800</v>
      </c>
      <c r="D285" s="2" t="str">
        <f t="shared" si="3"/>
        <v>Error?</v>
      </c>
    </row>
    <row r="286" spans="1:4" x14ac:dyDescent="0.2">
      <c r="A286" s="10">
        <v>225</v>
      </c>
      <c r="B286" s="1832"/>
      <c r="D286" s="2" t="str">
        <f t="shared" si="3"/>
        <v>OK</v>
      </c>
    </row>
    <row r="287" spans="1:4" x14ac:dyDescent="0.2">
      <c r="A287" s="5">
        <v>226</v>
      </c>
      <c r="B287" s="1832">
        <f>'Assets-Liab 5-6'!N37</f>
        <v>1402800</v>
      </c>
      <c r="C287" s="2" t="s">
        <v>569</v>
      </c>
      <c r="D287" s="2" t="str">
        <f t="shared" si="3"/>
        <v>Error?</v>
      </c>
    </row>
    <row r="288" spans="1:4" x14ac:dyDescent="0.2">
      <c r="A288" s="5">
        <v>227</v>
      </c>
      <c r="B288" s="1832">
        <f>'Assets-Liab 5-6'!N41</f>
        <v>1402800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268332</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875153</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11000</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1012996</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59030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59030</v>
      </c>
      <c r="C727" s="2" t="s">
        <v>569</v>
      </c>
      <c r="D727" s="2" t="str">
        <f t="shared" si="10"/>
        <v>Error?</v>
      </c>
    </row>
    <row r="728" spans="1:4" x14ac:dyDescent="0.2">
      <c r="A728" s="5">
        <v>667</v>
      </c>
      <c r="B728" s="1832">
        <f>'Expenditures 15-22'!C44</f>
        <v>3870</v>
      </c>
      <c r="D728" s="2" t="str">
        <f t="shared" si="10"/>
        <v>Error?</v>
      </c>
    </row>
    <row r="729" spans="1:4" x14ac:dyDescent="0.2">
      <c r="A729" s="5">
        <v>668</v>
      </c>
      <c r="B729" s="1832">
        <f>'Expenditures 15-22'!C45</f>
        <v>4966</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8836</v>
      </c>
      <c r="C731" s="2" t="s">
        <v>569</v>
      </c>
      <c r="D731" s="2" t="str">
        <f t="shared" si="10"/>
        <v>Error?</v>
      </c>
    </row>
    <row r="732" spans="1:4" x14ac:dyDescent="0.2">
      <c r="A732" s="5">
        <v>671</v>
      </c>
      <c r="B732" s="1832">
        <f>'Expenditures 15-22'!C49</f>
        <v>1000</v>
      </c>
      <c r="D732" s="2" t="str">
        <f t="shared" si="10"/>
        <v>Error?</v>
      </c>
    </row>
    <row r="733" spans="1:4" x14ac:dyDescent="0.2">
      <c r="A733" s="5">
        <v>672</v>
      </c>
      <c r="B733" s="1832">
        <f>'Expenditures 15-22'!C50</f>
        <v>95957</v>
      </c>
      <c r="D733" s="2" t="str">
        <f t="shared" si="10"/>
        <v>Error?</v>
      </c>
    </row>
    <row r="734" spans="1:4" x14ac:dyDescent="0.2">
      <c r="A734" s="5">
        <v>673</v>
      </c>
      <c r="B734" s="1832">
        <f>'Expenditures 15-22'!C53</f>
        <v>96957</v>
      </c>
      <c r="C734" s="2" t="s">
        <v>569</v>
      </c>
      <c r="D734" s="2" t="str">
        <f t="shared" si="10"/>
        <v>Error?</v>
      </c>
    </row>
    <row r="735" spans="1:4" x14ac:dyDescent="0.2">
      <c r="A735" s="5">
        <v>674</v>
      </c>
      <c r="B735" s="1832">
        <f>'Expenditures 15-22'!C55</f>
        <v>24088</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24088</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43647</v>
      </c>
      <c r="D739" s="2" t="str">
        <f t="shared" si="10"/>
        <v>Error?</v>
      </c>
    </row>
    <row r="740" spans="1:4" x14ac:dyDescent="0.2">
      <c r="A740" s="5">
        <v>679</v>
      </c>
      <c r="B740" s="1832">
        <f>'Expenditures 15-22'!C61</f>
        <v>59439</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0</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103086</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291997</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1304993</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213354</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820</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238597</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14434</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14434</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1406</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1406</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37526</v>
      </c>
      <c r="D791" s="2" t="str">
        <f t="shared" si="11"/>
        <v>Error?</v>
      </c>
    </row>
    <row r="792" spans="1:4" x14ac:dyDescent="0.2">
      <c r="A792" s="5">
        <v>731</v>
      </c>
      <c r="B792" s="1832">
        <f>'Expenditures 15-22'!D53</f>
        <v>37526</v>
      </c>
      <c r="C792" s="2" t="s">
        <v>569</v>
      </c>
      <c r="D792" s="2" t="str">
        <f t="shared" si="11"/>
        <v>Error?</v>
      </c>
    </row>
    <row r="793" spans="1:4" x14ac:dyDescent="0.2">
      <c r="A793" s="5">
        <v>732</v>
      </c>
      <c r="B793" s="1832">
        <f>'Expenditures 15-22'!D55</f>
        <v>6167</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6167</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7680</v>
      </c>
      <c r="D797" s="2" t="str">
        <f t="shared" si="11"/>
        <v>Error?</v>
      </c>
    </row>
    <row r="798" spans="1:4" x14ac:dyDescent="0.2">
      <c r="A798" s="5">
        <v>737</v>
      </c>
      <c r="B798" s="1832">
        <f>'Expenditures 15-22'!D61</f>
        <v>15282</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22962</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82495</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321092</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45049</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51514</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7000</v>
      </c>
      <c r="D838" s="2" t="str">
        <f t="shared" si="12"/>
        <v>Error?</v>
      </c>
    </row>
    <row r="839" spans="1:4" x14ac:dyDescent="0.2">
      <c r="A839" s="5">
        <v>778</v>
      </c>
      <c r="B839" s="1832">
        <f>'Expenditures 15-22'!E38</f>
        <v>199</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1836</v>
      </c>
      <c r="D842" s="2" t="str">
        <f t="shared" si="12"/>
        <v>Error?</v>
      </c>
    </row>
    <row r="843" spans="1:4" x14ac:dyDescent="0.2">
      <c r="A843" s="5">
        <v>782</v>
      </c>
      <c r="B843" s="1832">
        <f>'Expenditures 15-22'!E42</f>
        <v>9035</v>
      </c>
      <c r="C843" s="2" t="s">
        <v>569</v>
      </c>
      <c r="D843" s="2" t="str">
        <f t="shared" si="12"/>
        <v>Error?</v>
      </c>
    </row>
    <row r="844" spans="1:4" x14ac:dyDescent="0.2">
      <c r="A844" s="5">
        <v>783</v>
      </c>
      <c r="B844" s="1832">
        <f>'Expenditures 15-22'!E44</f>
        <v>12105</v>
      </c>
      <c r="D844" s="2" t="str">
        <f t="shared" si="12"/>
        <v>Error?</v>
      </c>
    </row>
    <row r="845" spans="1:4" x14ac:dyDescent="0.2">
      <c r="A845" s="5">
        <v>784</v>
      </c>
      <c r="B845" s="1832">
        <f>'Expenditures 15-22'!E45</f>
        <v>9170</v>
      </c>
      <c r="D845" s="2" t="str">
        <f t="shared" si="12"/>
        <v>Error?</v>
      </c>
    </row>
    <row r="846" spans="1:4" x14ac:dyDescent="0.2">
      <c r="A846" s="5">
        <v>785</v>
      </c>
      <c r="B846" s="1832">
        <f>'Expenditures 15-22'!E46</f>
        <v>324</v>
      </c>
      <c r="D846" s="2" t="str">
        <f t="shared" si="12"/>
        <v>Error?</v>
      </c>
    </row>
    <row r="847" spans="1:4" x14ac:dyDescent="0.2">
      <c r="A847" s="5">
        <v>786</v>
      </c>
      <c r="B847" s="1832">
        <f>'Expenditures 15-22'!E47</f>
        <v>21599</v>
      </c>
      <c r="C847" s="2" t="s">
        <v>569</v>
      </c>
      <c r="D847" s="2" t="str">
        <f t="shared" si="12"/>
        <v>Error?</v>
      </c>
    </row>
    <row r="848" spans="1:4" x14ac:dyDescent="0.2">
      <c r="A848" s="5">
        <v>787</v>
      </c>
      <c r="B848" s="1832">
        <f>'Expenditures 15-22'!E49</f>
        <v>12310</v>
      </c>
      <c r="D848" s="2" t="str">
        <f t="shared" si="12"/>
        <v>Error?</v>
      </c>
    </row>
    <row r="849" spans="1:4" x14ac:dyDescent="0.2">
      <c r="A849" s="5">
        <v>788</v>
      </c>
      <c r="B849" s="1832">
        <f>'Expenditures 15-22'!E50</f>
        <v>2604</v>
      </c>
      <c r="D849" s="2" t="str">
        <f t="shared" si="12"/>
        <v>Error?</v>
      </c>
    </row>
    <row r="850" spans="1:4" x14ac:dyDescent="0.2">
      <c r="A850" s="5">
        <v>789</v>
      </c>
      <c r="B850" s="1832">
        <f>'Expenditures 15-22'!E53</f>
        <v>14914</v>
      </c>
      <c r="C850" s="2" t="s">
        <v>569</v>
      </c>
      <c r="D850" s="2" t="str">
        <f t="shared" si="12"/>
        <v>Error?</v>
      </c>
    </row>
    <row r="851" spans="1:4" x14ac:dyDescent="0.2">
      <c r="A851" s="5">
        <v>790</v>
      </c>
      <c r="B851" s="1832">
        <f>'Expenditures 15-22'!E55</f>
        <v>3926</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3926</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11590</v>
      </c>
      <c r="D855" s="2" t="str">
        <f t="shared" si="12"/>
        <v>Error?</v>
      </c>
    </row>
    <row r="856" spans="1:4" x14ac:dyDescent="0.2">
      <c r="A856" s="5">
        <v>795</v>
      </c>
      <c r="B856" s="1832">
        <f>'Expenditures 15-22'!E61</f>
        <v>480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33403</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45473</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94947</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148138</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85732</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119</v>
      </c>
      <c r="D891" s="2" t="str">
        <f t="shared" si="12"/>
        <v>Error?</v>
      </c>
    </row>
    <row r="892" spans="1:4" x14ac:dyDescent="0.2">
      <c r="A892" s="5">
        <v>831</v>
      </c>
      <c r="B892" s="1832">
        <f>'Expenditures 15-22'!F14</f>
        <v>0</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117324</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190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190</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483</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483</v>
      </c>
      <c r="C905" s="2" t="s">
        <v>569</v>
      </c>
      <c r="D905" s="2" t="str">
        <f t="shared" si="13"/>
        <v>Error?</v>
      </c>
    </row>
    <row r="906" spans="1:4" x14ac:dyDescent="0.2">
      <c r="A906" s="5">
        <v>845</v>
      </c>
      <c r="B906" s="1832">
        <f>'Expenditures 15-22'!F49</f>
        <v>800</v>
      </c>
      <c r="D906" s="2" t="str">
        <f t="shared" si="13"/>
        <v>Error?</v>
      </c>
    </row>
    <row r="907" spans="1:4" x14ac:dyDescent="0.2">
      <c r="A907" s="5">
        <v>846</v>
      </c>
      <c r="B907" s="1832">
        <f>'Expenditures 15-22'!F50</f>
        <v>0</v>
      </c>
      <c r="D907" s="2" t="str">
        <f t="shared" si="13"/>
        <v>Error?</v>
      </c>
    </row>
    <row r="908" spans="1:4" x14ac:dyDescent="0.2">
      <c r="A908" s="5">
        <v>847</v>
      </c>
      <c r="B908" s="1832">
        <f>'Expenditures 15-22'!F53</f>
        <v>800</v>
      </c>
      <c r="C908" s="2" t="s">
        <v>569</v>
      </c>
      <c r="D908" s="2" t="str">
        <f t="shared" si="13"/>
        <v>Error?</v>
      </c>
    </row>
    <row r="909" spans="1:4" x14ac:dyDescent="0.2">
      <c r="A909" s="5">
        <v>848</v>
      </c>
      <c r="B909" s="1832">
        <f>'Expenditures 15-22'!F55</f>
        <v>2485</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2485</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106</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0</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106</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4064</v>
      </c>
      <c r="C929" s="2" t="s">
        <v>569</v>
      </c>
      <c r="D929" s="2" t="str">
        <f t="shared" si="13"/>
        <v>Error?</v>
      </c>
    </row>
    <row r="930" spans="1:4" x14ac:dyDescent="0.2">
      <c r="A930" s="5">
        <v>869</v>
      </c>
      <c r="B930" s="1832">
        <f>'Expenditures 15-22'!F75</f>
        <v>1120</v>
      </c>
      <c r="D930" s="2" t="str">
        <f t="shared" si="13"/>
        <v>Error?</v>
      </c>
    </row>
    <row r="931" spans="1:4" x14ac:dyDescent="0.2">
      <c r="A931" s="5">
        <v>870</v>
      </c>
      <c r="B931" s="1832">
        <f>'Expenditures 15-22'!F114</f>
        <v>122508</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3519</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3519</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3519</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3519</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5475</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129723</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8719</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8719</v>
      </c>
      <c r="C1024" s="2" t="s">
        <v>569</v>
      </c>
      <c r="D1024" s="2" t="str">
        <f t="shared" si="15"/>
        <v>Error?</v>
      </c>
    </row>
    <row r="1025" spans="1:4" x14ac:dyDescent="0.2">
      <c r="A1025" s="5">
        <v>964</v>
      </c>
      <c r="B1025" s="1832">
        <f>'Expenditures 15-22'!H55</f>
        <v>804</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804</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9523</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130627</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269873</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1219288</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119</v>
      </c>
      <c r="C1105" s="2" t="s">
        <v>569</v>
      </c>
      <c r="D1105" s="2" t="str">
        <f t="shared" si="16"/>
        <v>Error?</v>
      </c>
    </row>
    <row r="1106" spans="1:4" x14ac:dyDescent="0.2">
      <c r="A1106" s="5">
        <v>1045</v>
      </c>
      <c r="B1106" s="1832">
        <f>'Expenditures 15-22'!K14</f>
        <v>17295</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1550154</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7000</v>
      </c>
      <c r="C1110" s="2" t="s">
        <v>569</v>
      </c>
      <c r="D1110" s="2" t="str">
        <f t="shared" si="16"/>
        <v>Error?</v>
      </c>
    </row>
    <row r="1111" spans="1:4" x14ac:dyDescent="0.2">
      <c r="A1111" s="5">
        <v>1050</v>
      </c>
      <c r="B1111" s="1832">
        <f>'Expenditures 15-22'!K38</f>
        <v>389</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73464</v>
      </c>
      <c r="C1113" s="2" t="s">
        <v>569</v>
      </c>
      <c r="D1113" s="2" t="str">
        <f t="shared" si="16"/>
        <v>Error?</v>
      </c>
    </row>
    <row r="1114" spans="1:4" x14ac:dyDescent="0.2">
      <c r="A1114" s="5">
        <v>1053</v>
      </c>
      <c r="B1114" s="1832">
        <f>'Expenditures 15-22'!K41</f>
        <v>1836</v>
      </c>
      <c r="C1114" s="2" t="s">
        <v>569</v>
      </c>
      <c r="D1114" s="2" t="str">
        <f t="shared" si="16"/>
        <v>Error?</v>
      </c>
    </row>
    <row r="1115" spans="1:4" x14ac:dyDescent="0.2">
      <c r="A1115" s="5">
        <v>1054</v>
      </c>
      <c r="B1115" s="1832">
        <f>'Expenditures 15-22'!K42</f>
        <v>82689</v>
      </c>
      <c r="C1115" s="2" t="s">
        <v>569</v>
      </c>
      <c r="D1115" s="2" t="str">
        <f t="shared" si="16"/>
        <v>Error?</v>
      </c>
    </row>
    <row r="1116" spans="1:4" x14ac:dyDescent="0.2">
      <c r="A1116" s="5">
        <v>1055</v>
      </c>
      <c r="B1116" s="1832">
        <f>'Expenditures 15-22'!K44</f>
        <v>15975</v>
      </c>
      <c r="C1116" s="2" t="s">
        <v>569</v>
      </c>
      <c r="D1116" s="2" t="str">
        <f t="shared" si="16"/>
        <v>Error?</v>
      </c>
    </row>
    <row r="1117" spans="1:4" x14ac:dyDescent="0.2">
      <c r="A1117" s="5">
        <v>1056</v>
      </c>
      <c r="B1117" s="1832">
        <f>'Expenditures 15-22'!K45</f>
        <v>19544</v>
      </c>
      <c r="C1117" s="2" t="s">
        <v>569</v>
      </c>
      <c r="D1117" s="2" t="str">
        <f t="shared" si="16"/>
        <v>Error?</v>
      </c>
    </row>
    <row r="1118" spans="1:4" x14ac:dyDescent="0.2">
      <c r="A1118" s="5">
        <v>1057</v>
      </c>
      <c r="B1118" s="1832">
        <f>'Expenditures 15-22'!K46</f>
        <v>324</v>
      </c>
      <c r="C1118" s="2" t="s">
        <v>569</v>
      </c>
      <c r="D1118" s="2" t="str">
        <f t="shared" si="16"/>
        <v>Error?</v>
      </c>
    </row>
    <row r="1119" spans="1:4" x14ac:dyDescent="0.2">
      <c r="A1119" s="5">
        <v>1058</v>
      </c>
      <c r="B1119" s="1832">
        <f>'Expenditures 15-22'!K47</f>
        <v>35843</v>
      </c>
      <c r="C1119" s="2" t="s">
        <v>569</v>
      </c>
      <c r="D1119" s="2" t="str">
        <f t="shared" si="16"/>
        <v>Error?</v>
      </c>
    </row>
    <row r="1120" spans="1:4" x14ac:dyDescent="0.2">
      <c r="A1120" s="5">
        <v>1059</v>
      </c>
      <c r="B1120" s="1832">
        <f>'Expenditures 15-22'!K49</f>
        <v>22829</v>
      </c>
      <c r="C1120" s="2" t="s">
        <v>569</v>
      </c>
      <c r="D1120" s="2" t="str">
        <f t="shared" si="16"/>
        <v>Error?</v>
      </c>
    </row>
    <row r="1121" spans="1:4" x14ac:dyDescent="0.2">
      <c r="A1121" s="5">
        <v>1060</v>
      </c>
      <c r="B1121" s="1832">
        <f>'Expenditures 15-22'!K50</f>
        <v>136087</v>
      </c>
      <c r="C1121" s="2" t="s">
        <v>569</v>
      </c>
      <c r="D1121" s="2" t="str">
        <f t="shared" si="16"/>
        <v>Error?</v>
      </c>
    </row>
    <row r="1122" spans="1:4" x14ac:dyDescent="0.2">
      <c r="A1122" s="5">
        <v>1061</v>
      </c>
      <c r="B1122" s="1832">
        <f>'Expenditures 15-22'!K53</f>
        <v>158916</v>
      </c>
      <c r="C1122" s="2" t="s">
        <v>569</v>
      </c>
      <c r="D1122" s="2" t="str">
        <f t="shared" si="16"/>
        <v>Error?</v>
      </c>
    </row>
    <row r="1123" spans="1:4" x14ac:dyDescent="0.2">
      <c r="A1123" s="5">
        <v>1062</v>
      </c>
      <c r="B1123" s="1832">
        <f>'Expenditures 15-22'!K55</f>
        <v>37470</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37470</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63023</v>
      </c>
      <c r="C1127" s="2" t="s">
        <v>569</v>
      </c>
      <c r="D1127" s="2" t="str">
        <f t="shared" si="16"/>
        <v>Error?</v>
      </c>
    </row>
    <row r="1128" spans="1:4" x14ac:dyDescent="0.2">
      <c r="A1128" s="5">
        <v>1067</v>
      </c>
      <c r="B1128" s="1832">
        <f>'Expenditures 15-22'!K61</f>
        <v>75201</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33403</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171627</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486545</v>
      </c>
      <c r="C1143" s="2" t="s">
        <v>569</v>
      </c>
      <c r="D1143" s="2" t="str">
        <f t="shared" si="16"/>
        <v>Error?</v>
      </c>
    </row>
    <row r="1144" spans="1:4" x14ac:dyDescent="0.2">
      <c r="A1144" s="5">
        <v>1083</v>
      </c>
      <c r="B1144" s="1832">
        <f>'Expenditures 15-22'!K75</f>
        <v>1120</v>
      </c>
      <c r="C1144" s="2" t="s">
        <v>569</v>
      </c>
      <c r="D1144" s="2" t="str">
        <f t="shared" si="16"/>
        <v>Error?</v>
      </c>
    </row>
    <row r="1145" spans="1:4" x14ac:dyDescent="0.2">
      <c r="A1145" s="5">
        <v>1084</v>
      </c>
      <c r="B1145" s="1832">
        <f>'Expenditures 15-22'!K102</f>
        <v>132304</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2170123</v>
      </c>
      <c r="C1152" s="2" t="s">
        <v>569</v>
      </c>
      <c r="D1152" s="2" t="str">
        <f t="shared" si="17"/>
        <v>Error?</v>
      </c>
    </row>
    <row r="1153" spans="1:4" x14ac:dyDescent="0.2">
      <c r="A1153" s="5">
        <v>1092</v>
      </c>
      <c r="B1153" s="1832">
        <f>'Expenditures 15-22'!K115</f>
        <v>60219</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0</v>
      </c>
      <c r="D1221" s="2" t="str">
        <f t="shared" si="18"/>
        <v>Error?</v>
      </c>
    </row>
    <row r="1222" spans="1:4" x14ac:dyDescent="0.2">
      <c r="A1222" s="10">
        <v>1161</v>
      </c>
      <c r="B1222" s="1832"/>
      <c r="D1222" s="2" t="str">
        <f t="shared" si="18"/>
        <v>OK</v>
      </c>
    </row>
    <row r="1223" spans="1:4" x14ac:dyDescent="0.2">
      <c r="A1223" s="5">
        <v>1162</v>
      </c>
      <c r="B1223" s="1832">
        <f>'Expenditures 15-22'!C127</f>
        <v>0</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0</v>
      </c>
      <c r="C1225" s="2" t="s">
        <v>569</v>
      </c>
      <c r="D1225" s="2" t="str">
        <f t="shared" si="18"/>
        <v>Error?</v>
      </c>
    </row>
    <row r="1226" spans="1:4" x14ac:dyDescent="0.2">
      <c r="A1226" s="5">
        <v>1165</v>
      </c>
      <c r="B1226" s="1832">
        <f>'Expenditures 15-22'!C151</f>
        <v>0</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569</v>
      </c>
      <c r="D1233" s="2" t="str">
        <f t="shared" si="18"/>
        <v>Error?</v>
      </c>
    </row>
    <row r="1234" spans="1:4" x14ac:dyDescent="0.2">
      <c r="A1234" s="5">
        <v>1173</v>
      </c>
      <c r="B1234" s="1832">
        <f>'Expenditures 15-22'!D151</f>
        <v>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44189</v>
      </c>
      <c r="D1237" s="2" t="str">
        <f t="shared" si="18"/>
        <v>Error?</v>
      </c>
    </row>
    <row r="1238" spans="1:4" x14ac:dyDescent="0.2">
      <c r="A1238" s="10">
        <v>1177</v>
      </c>
      <c r="B1238" s="1832"/>
      <c r="D1238" s="2" t="str">
        <f t="shared" si="18"/>
        <v>OK</v>
      </c>
    </row>
    <row r="1239" spans="1:4" x14ac:dyDescent="0.2">
      <c r="A1239" s="5">
        <v>1178</v>
      </c>
      <c r="B1239" s="1832">
        <f>'Expenditures 15-22'!E127</f>
        <v>44189</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44189</v>
      </c>
      <c r="C1241" s="2" t="s">
        <v>569</v>
      </c>
      <c r="D1241" s="2" t="str">
        <f t="shared" si="18"/>
        <v>Error?</v>
      </c>
    </row>
    <row r="1242" spans="1:4" x14ac:dyDescent="0.2">
      <c r="A1242" s="5">
        <v>1181</v>
      </c>
      <c r="B1242" s="1832">
        <f>'Expenditures 15-22'!E151</f>
        <v>44189</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34389</v>
      </c>
      <c r="D1245" s="2" t="str">
        <f t="shared" si="18"/>
        <v>Error?</v>
      </c>
    </row>
    <row r="1246" spans="1:4" x14ac:dyDescent="0.2">
      <c r="A1246" s="10">
        <v>1185</v>
      </c>
      <c r="B1246" s="1832"/>
      <c r="D1246" s="2" t="str">
        <f t="shared" si="18"/>
        <v>OK</v>
      </c>
    </row>
    <row r="1247" spans="1:4" x14ac:dyDescent="0.2">
      <c r="A1247" s="5">
        <v>1186</v>
      </c>
      <c r="B1247" s="1832">
        <f>'Expenditures 15-22'!F127</f>
        <v>34389</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34389</v>
      </c>
      <c r="C1249" s="2" t="s">
        <v>569</v>
      </c>
      <c r="D1249" s="2" t="str">
        <f t="shared" si="18"/>
        <v>Error?</v>
      </c>
    </row>
    <row r="1250" spans="1:4" x14ac:dyDescent="0.2">
      <c r="A1250" s="5">
        <v>1189</v>
      </c>
      <c r="B1250" s="1832">
        <f>'Expenditures 15-22'!F151</f>
        <v>34389</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23058</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23058</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23058</v>
      </c>
      <c r="C1258" s="2" t="s">
        <v>569</v>
      </c>
      <c r="D1258" s="2" t="str">
        <f t="shared" si="18"/>
        <v>Error?</v>
      </c>
    </row>
    <row r="1259" spans="1:4" x14ac:dyDescent="0.2">
      <c r="A1259" s="5">
        <v>1198</v>
      </c>
      <c r="B1259" s="1832">
        <f>'Expenditures 15-22'!G151</f>
        <v>23058</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101636</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101636</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101636</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101636</v>
      </c>
      <c r="C1288" s="2" t="s">
        <v>569</v>
      </c>
      <c r="D1288" s="2" t="str">
        <f t="shared" si="19"/>
        <v>Error?</v>
      </c>
    </row>
    <row r="1289" spans="1:4" x14ac:dyDescent="0.2">
      <c r="A1289" s="5">
        <v>1228</v>
      </c>
      <c r="B1289" s="1832">
        <f>'Expenditures 15-22'!K152</f>
        <v>31333</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48095</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160000</v>
      </c>
      <c r="D1315" s="2" t="str">
        <f t="shared" si="19"/>
        <v>Error?</v>
      </c>
    </row>
    <row r="1316" spans="1:4" x14ac:dyDescent="0.2">
      <c r="A1316" s="5">
        <v>1255</v>
      </c>
      <c r="B1316" s="1832">
        <f>'Expenditures 15-22'!H171</f>
        <v>9468</v>
      </c>
      <c r="D1316" s="2" t="str">
        <f t="shared" si="19"/>
        <v>Error?</v>
      </c>
    </row>
    <row r="1317" spans="1:4" x14ac:dyDescent="0.2">
      <c r="A1317" s="5">
        <v>1256</v>
      </c>
      <c r="B1317" s="1832">
        <f>'Expenditures 15-22'!H172</f>
        <v>217563</v>
      </c>
      <c r="C1317" s="2" t="s">
        <v>569</v>
      </c>
      <c r="D1317" s="2" t="str">
        <f t="shared" si="19"/>
        <v>Error?</v>
      </c>
    </row>
    <row r="1318" spans="1:4" x14ac:dyDescent="0.2">
      <c r="A1318" s="5">
        <v>1257</v>
      </c>
      <c r="B1318" s="1832">
        <f>'Expenditures 15-22'!H174</f>
        <v>217563</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48095</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160000</v>
      </c>
      <c r="C1329" s="2" t="s">
        <v>569</v>
      </c>
      <c r="D1329" s="2" t="str">
        <f t="shared" si="19"/>
        <v>Error?</v>
      </c>
    </row>
    <row r="1330" spans="1:4" x14ac:dyDescent="0.2">
      <c r="A1330" s="5">
        <v>1269</v>
      </c>
      <c r="B1330" s="1832">
        <f>'Expenditures 15-22'!K171</f>
        <v>9468</v>
      </c>
      <c r="C1330" s="2" t="s">
        <v>569</v>
      </c>
      <c r="D1330" s="2" t="str">
        <f t="shared" si="19"/>
        <v>Error?</v>
      </c>
    </row>
    <row r="1331" spans="1:4" x14ac:dyDescent="0.2">
      <c r="A1331" s="5">
        <v>1270</v>
      </c>
      <c r="B1331" s="1832">
        <f>'Expenditures 15-22'!K172</f>
        <v>217563</v>
      </c>
      <c r="C1331" s="2" t="s">
        <v>569</v>
      </c>
      <c r="D1331" s="2" t="str">
        <f t="shared" si="19"/>
        <v>Error?</v>
      </c>
    </row>
    <row r="1332" spans="1:4" x14ac:dyDescent="0.2">
      <c r="A1332" s="5">
        <v>1271</v>
      </c>
      <c r="B1332" s="1832">
        <f>'Expenditures 15-22'!K174</f>
        <v>217563</v>
      </c>
      <c r="C1332" s="2" t="s">
        <v>569</v>
      </c>
      <c r="D1332" s="2" t="str">
        <f t="shared" si="19"/>
        <v>Error?</v>
      </c>
    </row>
    <row r="1333" spans="1:4" x14ac:dyDescent="0.2">
      <c r="A1333" s="5">
        <v>1272</v>
      </c>
      <c r="B1333" s="1832">
        <f>'Expenditures 15-22'!K175</f>
        <v>-5534</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0</v>
      </c>
      <c r="C1339" s="2" t="s">
        <v>569</v>
      </c>
      <c r="D1339" s="2" t="str">
        <f t="shared" si="19"/>
        <v>Error?</v>
      </c>
    </row>
    <row r="1340" spans="1:4" x14ac:dyDescent="0.2">
      <c r="A1340" s="5">
        <v>1279</v>
      </c>
      <c r="B1340" s="1832">
        <f>'Expenditures 15-22'!C210</f>
        <v>0</v>
      </c>
      <c r="C1340" s="2" t="s">
        <v>569</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569</v>
      </c>
      <c r="D1345" s="2" t="str">
        <f t="shared" si="20"/>
        <v>Error?</v>
      </c>
    </row>
    <row r="1346" spans="1:4" x14ac:dyDescent="0.2">
      <c r="A1346" s="5">
        <v>1285</v>
      </c>
      <c r="B1346" s="1832">
        <f>'Expenditures 15-22'!D210</f>
        <v>0</v>
      </c>
      <c r="C1346" s="2" t="s">
        <v>569</v>
      </c>
      <c r="D1346" s="2" t="str">
        <f t="shared" si="20"/>
        <v>Error?</v>
      </c>
    </row>
    <row r="1347" spans="1:4" x14ac:dyDescent="0.2">
      <c r="A1347" s="5">
        <v>1286</v>
      </c>
      <c r="B1347" s="1832">
        <f>'Expenditures 15-22'!E182</f>
        <v>212396</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212396</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212396</v>
      </c>
      <c r="C1353" s="2" t="s">
        <v>569</v>
      </c>
      <c r="D1353" s="2" t="str">
        <f t="shared" si="20"/>
        <v>Error?</v>
      </c>
    </row>
    <row r="1354" spans="1:4" x14ac:dyDescent="0.2">
      <c r="A1354" s="5">
        <v>1293</v>
      </c>
      <c r="B1354" s="1832">
        <f>'Expenditures 15-22'!F182</f>
        <v>9585</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9585</v>
      </c>
      <c r="C1358" s="2" t="s">
        <v>569</v>
      </c>
      <c r="D1358" s="2" t="str">
        <f t="shared" si="20"/>
        <v>Error?</v>
      </c>
    </row>
    <row r="1359" spans="1:4" x14ac:dyDescent="0.2">
      <c r="A1359" s="5">
        <v>1298</v>
      </c>
      <c r="B1359" s="1832">
        <f>'Expenditures 15-22'!F210</f>
        <v>9585</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221981</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221981</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221981</v>
      </c>
      <c r="C1388" s="2" t="s">
        <v>569</v>
      </c>
      <c r="D1388" s="2" t="str">
        <f t="shared" si="20"/>
        <v>Error?</v>
      </c>
    </row>
    <row r="1389" spans="1:4" x14ac:dyDescent="0.2">
      <c r="A1389" s="5">
        <v>1328</v>
      </c>
      <c r="B1389" s="1832">
        <f>'Expenditures 15-22'!K211</f>
        <v>-26809</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1119</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19499</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830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830</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69</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69</v>
      </c>
      <c r="C1421" s="2" t="s">
        <v>569</v>
      </c>
      <c r="D1421" s="2" t="str">
        <f t="shared" si="21"/>
        <v>Error?</v>
      </c>
    </row>
    <row r="1422" spans="1:4" x14ac:dyDescent="0.2">
      <c r="A1422" s="5">
        <v>1361</v>
      </c>
      <c r="B1422" s="1832">
        <f>'Expenditures 15-22'!D245</f>
        <v>76</v>
      </c>
      <c r="D1422" s="2" t="str">
        <f t="shared" si="21"/>
        <v>Error?</v>
      </c>
    </row>
    <row r="1423" spans="1:4" x14ac:dyDescent="0.2">
      <c r="A1423" s="5">
        <v>1362</v>
      </c>
      <c r="B1423" s="1832">
        <f>'Expenditures 15-22'!D246</f>
        <v>5752</v>
      </c>
      <c r="D1423" s="2" t="str">
        <f t="shared" si="21"/>
        <v>Error?</v>
      </c>
    </row>
    <row r="1424" spans="1:4" x14ac:dyDescent="0.2">
      <c r="A1424" s="5">
        <v>1363</v>
      </c>
      <c r="B1424" s="1832">
        <f>'Expenditures 15-22'!D257</f>
        <v>17677</v>
      </c>
      <c r="C1424" s="2" t="s">
        <v>569</v>
      </c>
      <c r="D1424" s="2" t="str">
        <f t="shared" si="21"/>
        <v>Error?</v>
      </c>
    </row>
    <row r="1425" spans="1:4" x14ac:dyDescent="0.2">
      <c r="A1425" s="5">
        <v>1364</v>
      </c>
      <c r="B1425" s="1832">
        <f>'Expenditures 15-22'!D259</f>
        <v>312</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312</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8233</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10992</v>
      </c>
      <c r="D1431" s="2" t="str">
        <f t="shared" si="21"/>
        <v>Error?</v>
      </c>
    </row>
    <row r="1432" spans="1:4" x14ac:dyDescent="0.2">
      <c r="A1432" s="5">
        <v>1371</v>
      </c>
      <c r="B1432" s="1832">
        <f>'Expenditures 15-22'!D267</f>
        <v>0</v>
      </c>
      <c r="D1432" s="2" t="str">
        <f t="shared" si="21"/>
        <v>Error?</v>
      </c>
    </row>
    <row r="1433" spans="1:4" x14ac:dyDescent="0.2">
      <c r="A1433" s="5">
        <v>1372</v>
      </c>
      <c r="B1433" s="1832">
        <f>'Expenditures 15-22'!D268</f>
        <v>0</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19225</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38113</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57612</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1119</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19499</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830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830</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69</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69</v>
      </c>
      <c r="C1485" s="2" t="s">
        <v>569</v>
      </c>
      <c r="D1485" s="2" t="str">
        <f t="shared" si="22"/>
        <v>Error?</v>
      </c>
    </row>
    <row r="1486" spans="1:4" x14ac:dyDescent="0.2">
      <c r="A1486" s="5">
        <v>1425</v>
      </c>
      <c r="B1486" s="1832">
        <f>'Expenditures 15-22'!K245</f>
        <v>76</v>
      </c>
      <c r="C1486" s="2" t="s">
        <v>569</v>
      </c>
      <c r="D1486" s="2" t="str">
        <f t="shared" si="22"/>
        <v>Error?</v>
      </c>
    </row>
    <row r="1487" spans="1:4" x14ac:dyDescent="0.2">
      <c r="A1487" s="5">
        <v>1426</v>
      </c>
      <c r="B1487" s="1832">
        <f>'Expenditures 15-22'!K246</f>
        <v>5752</v>
      </c>
      <c r="C1487" s="2" t="s">
        <v>569</v>
      </c>
      <c r="D1487" s="2" t="str">
        <f t="shared" si="22"/>
        <v>Error?</v>
      </c>
    </row>
    <row r="1488" spans="1:4" x14ac:dyDescent="0.2">
      <c r="A1488" s="5">
        <v>1427</v>
      </c>
      <c r="B1488" s="1832">
        <f>'Expenditures 15-22'!K257</f>
        <v>17677</v>
      </c>
      <c r="C1488" s="2" t="s">
        <v>569</v>
      </c>
      <c r="D1488" s="2" t="str">
        <f t="shared" si="22"/>
        <v>Error?</v>
      </c>
    </row>
    <row r="1489" spans="1:4" x14ac:dyDescent="0.2">
      <c r="A1489" s="5">
        <v>1428</v>
      </c>
      <c r="B1489" s="1832">
        <f>'Expenditures 15-22'!K259</f>
        <v>312</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312</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8233</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10992</v>
      </c>
      <c r="C1495" s="2" t="s">
        <v>569</v>
      </c>
      <c r="D1495" s="2" t="str">
        <f t="shared" si="22"/>
        <v>Error?</v>
      </c>
    </row>
    <row r="1496" spans="1:4" x14ac:dyDescent="0.2">
      <c r="A1496" s="5">
        <v>1435</v>
      </c>
      <c r="B1496" s="1832">
        <f>'Expenditures 15-22'!K267</f>
        <v>0</v>
      </c>
      <c r="C1496" s="2" t="s">
        <v>569</v>
      </c>
      <c r="D1496" s="2" t="str">
        <f t="shared" si="22"/>
        <v>Error?</v>
      </c>
    </row>
    <row r="1497" spans="1:4" x14ac:dyDescent="0.2">
      <c r="A1497" s="5">
        <v>1436</v>
      </c>
      <c r="B1497" s="1832">
        <f>'Expenditures 15-22'!K268</f>
        <v>0</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19225</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38113</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57612</v>
      </c>
      <c r="C1517" s="2" t="s">
        <v>569</v>
      </c>
      <c r="D1517" s="2" t="str">
        <f t="shared" si="22"/>
        <v>Error?</v>
      </c>
    </row>
    <row r="1518" spans="1:4" x14ac:dyDescent="0.2">
      <c r="A1518" s="5">
        <v>1457</v>
      </c>
      <c r="B1518" s="1832">
        <f>'Expenditures 15-22'!K296</f>
        <v>-29081</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16283</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16283</v>
      </c>
      <c r="C1535" s="2" t="s">
        <v>569</v>
      </c>
      <c r="D1535" s="2" t="str">
        <f t="shared" ref="D1535:D1598" si="23">IF(ISBLANK(B1535),"OK",IF(A1535-B1535=0,"OK","Error?"))</f>
        <v>Error?</v>
      </c>
    </row>
    <row r="1536" spans="1:4" x14ac:dyDescent="0.2">
      <c r="A1536" s="5">
        <v>1475</v>
      </c>
      <c r="B1536" s="1832">
        <f>'Expenditures 15-22'!E312</f>
        <v>16283</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162763</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162763</v>
      </c>
      <c r="C1547" s="2" t="s">
        <v>569</v>
      </c>
      <c r="D1547" s="2" t="str">
        <f t="shared" si="23"/>
        <v>Error?</v>
      </c>
    </row>
    <row r="1548" spans="1:4" x14ac:dyDescent="0.2">
      <c r="A1548" s="5">
        <v>1487</v>
      </c>
      <c r="B1548" s="1832">
        <f>'Expenditures 15-22'!G312</f>
        <v>162763</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179046</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179046</v>
      </c>
      <c r="C1559" s="2" t="s">
        <v>569</v>
      </c>
      <c r="D1559" s="2" t="str">
        <f t="shared" si="23"/>
        <v>Error?</v>
      </c>
    </row>
    <row r="1560" spans="1:4" x14ac:dyDescent="0.2">
      <c r="A1560" s="5">
        <v>1499</v>
      </c>
      <c r="B1560" s="1832">
        <f>'Expenditures 15-22'!K312</f>
        <v>179046</v>
      </c>
      <c r="C1560" s="2" t="s">
        <v>569</v>
      </c>
      <c r="D1560" s="2" t="str">
        <f t="shared" si="23"/>
        <v>Error?</v>
      </c>
    </row>
    <row r="1561" spans="1:4" x14ac:dyDescent="0.2">
      <c r="A1561" s="5">
        <v>1500</v>
      </c>
      <c r="B1561" s="1832">
        <f>'Expenditures 15-22'!K313</f>
        <v>-10019</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1025274</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1235493</v>
      </c>
      <c r="C1630" s="2" t="s">
        <v>569</v>
      </c>
      <c r="D1630" s="2" t="str">
        <f t="shared" si="24"/>
        <v>Error?</v>
      </c>
    </row>
    <row r="1631" spans="1:4" x14ac:dyDescent="0.2">
      <c r="A1631" s="5">
        <v>1570</v>
      </c>
      <c r="B1631" s="1832">
        <f>'Acct Summary 7-8'!D79</f>
        <v>285135</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316468</v>
      </c>
      <c r="C1644" s="2" t="s">
        <v>569</v>
      </c>
      <c r="D1644" s="2" t="str">
        <f t="shared" si="24"/>
        <v>Error?</v>
      </c>
    </row>
    <row r="1645" spans="1:4" x14ac:dyDescent="0.2">
      <c r="A1645" s="5">
        <v>1584</v>
      </c>
      <c r="B1645" s="1832">
        <f>'Acct Summary 7-8'!E79</f>
        <v>135764</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139698</v>
      </c>
      <c r="C1658" s="2" t="s">
        <v>569</v>
      </c>
      <c r="D1658" s="2" t="str">
        <f t="shared" si="24"/>
        <v>Error?</v>
      </c>
    </row>
    <row r="1659" spans="1:4" x14ac:dyDescent="0.2">
      <c r="A1659" s="5">
        <v>1598</v>
      </c>
      <c r="B1659" s="1832">
        <f>'Acct Summary 7-8'!F79</f>
        <v>150723</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273914</v>
      </c>
      <c r="C1672" s="2" t="s">
        <v>569</v>
      </c>
      <c r="D1672" s="2" t="str">
        <f t="shared" si="25"/>
        <v>Error?</v>
      </c>
    </row>
    <row r="1673" spans="1:4" x14ac:dyDescent="0.2">
      <c r="A1673" s="5">
        <v>1612</v>
      </c>
      <c r="B1673" s="1832">
        <f>'Acct Summary 7-8'!G79</f>
        <v>127867</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98786</v>
      </c>
      <c r="C1686" s="2" t="s">
        <v>569</v>
      </c>
      <c r="D1686" s="2" t="str">
        <f t="shared" si="25"/>
        <v>Error?</v>
      </c>
    </row>
    <row r="1687" spans="1:4" x14ac:dyDescent="0.2">
      <c r="A1687" s="5">
        <v>1626</v>
      </c>
      <c r="B1687" s="1832">
        <f>'Acct Summary 7-8'!H79</f>
        <v>296561</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286542</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898506</v>
      </c>
      <c r="C1744" s="2" t="s">
        <v>569</v>
      </c>
      <c r="D1744" s="2" t="str">
        <f t="shared" si="26"/>
        <v>Error?</v>
      </c>
    </row>
    <row r="1745" spans="1:5" x14ac:dyDescent="0.2">
      <c r="A1745" s="5">
        <v>1684</v>
      </c>
      <c r="B1745" s="1832">
        <f>'Tax Sched 23'!B5</f>
        <v>123390</v>
      </c>
      <c r="C1745" s="2" t="s">
        <v>569</v>
      </c>
      <c r="D1745" s="2" t="str">
        <f t="shared" si="26"/>
        <v>Error?</v>
      </c>
    </row>
    <row r="1746" spans="1:5" x14ac:dyDescent="0.2">
      <c r="A1746" s="5">
        <v>1685</v>
      </c>
      <c r="B1746" s="1832">
        <f>'Tax Sched 23'!B6</f>
        <v>210807</v>
      </c>
      <c r="C1746" s="2" t="s">
        <v>569</v>
      </c>
      <c r="D1746" s="2" t="str">
        <f t="shared" si="26"/>
        <v>Error?</v>
      </c>
    </row>
    <row r="1747" spans="1:5" x14ac:dyDescent="0.2">
      <c r="A1747" s="5">
        <v>1686</v>
      </c>
      <c r="B1747" s="1832">
        <f>'Tax Sched 23'!B7</f>
        <v>59242</v>
      </c>
      <c r="C1747" s="2" t="s">
        <v>569</v>
      </c>
      <c r="D1747" s="2" t="str">
        <f t="shared" si="26"/>
        <v>Error?</v>
      </c>
    </row>
    <row r="1748" spans="1:5" x14ac:dyDescent="0.2">
      <c r="A1748" s="5">
        <v>1687</v>
      </c>
      <c r="B1748" s="1832">
        <f>'Tax Sched 23'!B8</f>
        <v>12244</v>
      </c>
      <c r="C1748" s="2" t="s">
        <v>569</v>
      </c>
      <c r="D1748" s="2" t="str">
        <f t="shared" si="26"/>
        <v>Error?</v>
      </c>
    </row>
    <row r="1749" spans="1:5" x14ac:dyDescent="0.2">
      <c r="A1749" s="5">
        <v>1688</v>
      </c>
      <c r="B1749" s="1832">
        <f>'Tax Sched 23'!B10</f>
        <v>24686</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192658</v>
      </c>
      <c r="C1752" s="2" t="s">
        <v>569</v>
      </c>
      <c r="D1752" s="2" t="str">
        <f t="shared" si="26"/>
        <v>Error?</v>
      </c>
    </row>
    <row r="1753" spans="1:5" x14ac:dyDescent="0.2">
      <c r="A1753" s="5">
        <v>1692</v>
      </c>
      <c r="B1753" s="1832">
        <f>'Tax Sched 23'!B12</f>
        <v>13638</v>
      </c>
      <c r="C1753" s="2" t="s">
        <v>569</v>
      </c>
      <c r="D1753" s="2" t="str">
        <f t="shared" si="26"/>
        <v>Error?</v>
      </c>
    </row>
    <row r="1754" spans="1:5" x14ac:dyDescent="0.2">
      <c r="A1754" s="5">
        <v>1693</v>
      </c>
      <c r="B1754" s="1832">
        <f>'Tax Sched 23'!B14</f>
        <v>9891</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1560621</v>
      </c>
      <c r="C1759" s="2" t="s">
        <v>569</v>
      </c>
      <c r="D1759" s="2" t="str">
        <f t="shared" si="26"/>
        <v>Error?</v>
      </c>
    </row>
    <row r="1760" spans="1:5" x14ac:dyDescent="0.2">
      <c r="A1760" s="5">
        <v>1699</v>
      </c>
      <c r="B1760" s="1832">
        <f>'Tax Sched 23'!D4</f>
        <v>394559</v>
      </c>
      <c r="C1760" s="2" t="s">
        <v>569</v>
      </c>
      <c r="D1760" s="2" t="str">
        <f t="shared" si="26"/>
        <v>Error?</v>
      </c>
    </row>
    <row r="1761" spans="1:7" x14ac:dyDescent="0.2">
      <c r="A1761" s="5">
        <v>1700</v>
      </c>
      <c r="B1761" s="1832">
        <f>'Tax Sched 23'!D5</f>
        <v>54305</v>
      </c>
      <c r="C1761" s="2" t="s">
        <v>569</v>
      </c>
      <c r="D1761" s="2" t="str">
        <f t="shared" si="26"/>
        <v>Error?</v>
      </c>
    </row>
    <row r="1762" spans="1:7" s="8" customFormat="1" x14ac:dyDescent="0.2">
      <c r="A1762" s="5">
        <v>1701</v>
      </c>
      <c r="B1762" s="1832">
        <f>'Tax Sched 23'!D6</f>
        <v>95370</v>
      </c>
      <c r="C1762" s="2" t="s">
        <v>569</v>
      </c>
      <c r="D1762" s="2" t="str">
        <f t="shared" si="26"/>
        <v>Error?</v>
      </c>
      <c r="E1762" s="9"/>
      <c r="G1762"/>
    </row>
    <row r="1763" spans="1:7" x14ac:dyDescent="0.2">
      <c r="A1763" s="5">
        <v>1702</v>
      </c>
      <c r="B1763" s="1832">
        <f>'Tax Sched 23'!D7</f>
        <v>26070</v>
      </c>
      <c r="C1763" s="2" t="s">
        <v>569</v>
      </c>
      <c r="D1763" s="2" t="str">
        <f t="shared" si="26"/>
        <v>Error?</v>
      </c>
    </row>
    <row r="1764" spans="1:7" x14ac:dyDescent="0.2">
      <c r="A1764" s="5">
        <v>1703</v>
      </c>
      <c r="B1764" s="1832">
        <f>'Tax Sched 23'!D8</f>
        <v>3411</v>
      </c>
      <c r="C1764" s="2" t="s">
        <v>569</v>
      </c>
      <c r="D1764" s="2" t="str">
        <f t="shared" si="26"/>
        <v>Error?</v>
      </c>
    </row>
    <row r="1765" spans="1:7" x14ac:dyDescent="0.2">
      <c r="A1765" s="5">
        <v>1704</v>
      </c>
      <c r="B1765" s="1832">
        <f>'Tax Sched 23'!D10</f>
        <v>10869</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86635</v>
      </c>
      <c r="C1768" s="2" t="s">
        <v>569</v>
      </c>
      <c r="D1768" s="2" t="str">
        <f t="shared" si="26"/>
        <v>Error?</v>
      </c>
    </row>
    <row r="1769" spans="1:7" x14ac:dyDescent="0.2">
      <c r="A1769" s="5">
        <v>1708</v>
      </c>
      <c r="B1769" s="1832">
        <f>'Tax Sched 23'!D12</f>
        <v>10869</v>
      </c>
      <c r="C1769" s="2" t="s">
        <v>569</v>
      </c>
      <c r="D1769" s="2" t="str">
        <f t="shared" si="26"/>
        <v>Error?</v>
      </c>
    </row>
    <row r="1770" spans="1:7" x14ac:dyDescent="0.2">
      <c r="A1770" s="5">
        <v>1709</v>
      </c>
      <c r="B1770" s="1832">
        <f>'Tax Sched 23'!D14</f>
        <v>4353</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690398</v>
      </c>
      <c r="C1775" s="2" t="s">
        <v>569</v>
      </c>
      <c r="D1775" s="2" t="str">
        <f t="shared" si="26"/>
        <v>Error?</v>
      </c>
    </row>
    <row r="1776" spans="1:7" x14ac:dyDescent="0.2">
      <c r="A1776" s="5">
        <v>1715</v>
      </c>
      <c r="B1776" s="1832">
        <f>'Tax Sched 23'!C4</f>
        <v>503947</v>
      </c>
      <c r="D1776" s="2" t="str">
        <f t="shared" si="26"/>
        <v>Error?</v>
      </c>
    </row>
    <row r="1777" spans="1:4" x14ac:dyDescent="0.2">
      <c r="A1777" s="5">
        <v>1716</v>
      </c>
      <c r="B1777" s="1832">
        <f>'Tax Sched 23'!C5</f>
        <v>69085</v>
      </c>
      <c r="D1777" s="2" t="str">
        <f t="shared" si="26"/>
        <v>Error?</v>
      </c>
    </row>
    <row r="1778" spans="1:4" x14ac:dyDescent="0.2">
      <c r="A1778" s="5">
        <v>1717</v>
      </c>
      <c r="B1778" s="1832">
        <f>'Tax Sched 23'!C6</f>
        <v>115437</v>
      </c>
      <c r="D1778" s="2" t="str">
        <f t="shared" si="26"/>
        <v>Error?</v>
      </c>
    </row>
    <row r="1779" spans="1:4" x14ac:dyDescent="0.2">
      <c r="A1779" s="5">
        <v>1718</v>
      </c>
      <c r="B1779" s="1832">
        <f>'Tax Sched 23'!C7</f>
        <v>33172</v>
      </c>
      <c r="D1779" s="2" t="str">
        <f t="shared" si="26"/>
        <v>Error?</v>
      </c>
    </row>
    <row r="1780" spans="1:4" x14ac:dyDescent="0.2">
      <c r="A1780" s="5">
        <v>1719</v>
      </c>
      <c r="B1780" s="1832">
        <f>'Tax Sched 23'!C8</f>
        <v>8833</v>
      </c>
      <c r="D1780" s="2" t="str">
        <f t="shared" si="26"/>
        <v>Error?</v>
      </c>
    </row>
    <row r="1781" spans="1:4" x14ac:dyDescent="0.2">
      <c r="A1781" s="5">
        <v>1720</v>
      </c>
      <c r="B1781" s="1832">
        <f>'Tax Sched 23'!C10</f>
        <v>13817</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106023</v>
      </c>
      <c r="D1784" s="2" t="str">
        <f t="shared" si="26"/>
        <v>Error?</v>
      </c>
    </row>
    <row r="1785" spans="1:4" x14ac:dyDescent="0.2">
      <c r="A1785" s="5">
        <v>1724</v>
      </c>
      <c r="B1785" s="1832">
        <f>'Tax Sched 23'!C12</f>
        <v>2769</v>
      </c>
      <c r="D1785" s="2" t="str">
        <f t="shared" si="26"/>
        <v>Error?</v>
      </c>
    </row>
    <row r="1786" spans="1:4" x14ac:dyDescent="0.2">
      <c r="A1786" s="5">
        <v>1725</v>
      </c>
      <c r="B1786" s="1832">
        <f>'Tax Sched 23'!C14</f>
        <v>5538</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870223</v>
      </c>
      <c r="C1791" s="2" t="s">
        <v>569</v>
      </c>
      <c r="D1791" s="2" t="str">
        <f t="shared" ref="D1791:D1854" si="27">IF(ISBLANK(B1791),"OK",IF(A1791-B1791=0,"OK","Error?"))</f>
        <v>Error?</v>
      </c>
    </row>
    <row r="1792" spans="1:4" x14ac:dyDescent="0.2">
      <c r="A1792" s="5">
        <v>1731</v>
      </c>
      <c r="B1792" s="1832">
        <f>'Tax Sched 23'!F4</f>
        <v>408708</v>
      </c>
      <c r="C1792" s="2" t="s">
        <v>569</v>
      </c>
      <c r="D1792" s="2" t="str">
        <f t="shared" si="27"/>
        <v>Error?</v>
      </c>
    </row>
    <row r="1793" spans="1:4" x14ac:dyDescent="0.2">
      <c r="A1793" s="5">
        <v>1732</v>
      </c>
      <c r="B1793" s="1832">
        <f>'Tax Sched 23'!F5</f>
        <v>56029</v>
      </c>
      <c r="C1793" s="2" t="s">
        <v>569</v>
      </c>
      <c r="D1793" s="2" t="str">
        <f t="shared" si="27"/>
        <v>Error?</v>
      </c>
    </row>
    <row r="1794" spans="1:4" x14ac:dyDescent="0.2">
      <c r="A1794" s="5">
        <v>1733</v>
      </c>
      <c r="B1794" s="1832">
        <f>'Tax Sched 23'!F6</f>
        <v>93621</v>
      </c>
      <c r="C1794" s="2" t="s">
        <v>569</v>
      </c>
      <c r="D1794" s="2" t="str">
        <f t="shared" si="27"/>
        <v>Error?</v>
      </c>
    </row>
    <row r="1795" spans="1:4" x14ac:dyDescent="0.2">
      <c r="A1795" s="5">
        <v>1734</v>
      </c>
      <c r="B1795" s="1832">
        <f>'Tax Sched 23'!F7</f>
        <v>26903</v>
      </c>
      <c r="C1795" s="2" t="s">
        <v>569</v>
      </c>
      <c r="D1795" s="2" t="str">
        <f t="shared" si="27"/>
        <v>Error?</v>
      </c>
    </row>
    <row r="1796" spans="1:4" x14ac:dyDescent="0.2">
      <c r="A1796" s="5">
        <v>1735</v>
      </c>
      <c r="B1796" s="1832">
        <f>'Tax Sched 23'!F8</f>
        <v>7164</v>
      </c>
      <c r="C1796" s="2" t="s">
        <v>569</v>
      </c>
      <c r="D1796" s="2" t="str">
        <f t="shared" si="27"/>
        <v>Error?</v>
      </c>
    </row>
    <row r="1797" spans="1:4" x14ac:dyDescent="0.2">
      <c r="A1797" s="5">
        <v>1736</v>
      </c>
      <c r="B1797" s="1832">
        <f>'Tax Sched 23'!F10</f>
        <v>11206</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85985</v>
      </c>
      <c r="C1800" s="2" t="s">
        <v>569</v>
      </c>
      <c r="D1800" s="2" t="str">
        <f t="shared" si="27"/>
        <v>Error?</v>
      </c>
    </row>
    <row r="1801" spans="1:4" x14ac:dyDescent="0.2">
      <c r="A1801" s="5">
        <v>1740</v>
      </c>
      <c r="B1801" s="1832">
        <f>'Tax Sched 23'!F12</f>
        <v>2246</v>
      </c>
      <c r="C1801" s="2" t="s">
        <v>569</v>
      </c>
      <c r="D1801" s="2" t="str">
        <f t="shared" si="27"/>
        <v>Error?</v>
      </c>
    </row>
    <row r="1802" spans="1:4" x14ac:dyDescent="0.2">
      <c r="A1802" s="5">
        <v>1741</v>
      </c>
      <c r="B1802" s="1832">
        <f>'Tax Sched 23'!F14</f>
        <v>4491</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705763</v>
      </c>
      <c r="C1807" s="2" t="s">
        <v>569</v>
      </c>
      <c r="D1807" s="2" t="str">
        <f t="shared" si="27"/>
        <v>Error?</v>
      </c>
    </row>
    <row r="1808" spans="1:4" x14ac:dyDescent="0.2">
      <c r="A1808" s="5">
        <v>1747</v>
      </c>
      <c r="B1808" s="1832">
        <f>'Tax Sched 23'!E4</f>
        <v>912655</v>
      </c>
      <c r="D1808" s="2" t="str">
        <f t="shared" si="27"/>
        <v>Error?</v>
      </c>
    </row>
    <row r="1809" spans="1:4" x14ac:dyDescent="0.2">
      <c r="A1809" s="5">
        <v>1748</v>
      </c>
      <c r="B1809" s="1832">
        <f>'Tax Sched 23'!E5</f>
        <v>125114</v>
      </c>
      <c r="D1809" s="2" t="str">
        <f t="shared" si="27"/>
        <v>Error?</v>
      </c>
    </row>
    <row r="1810" spans="1:4" x14ac:dyDescent="0.2">
      <c r="A1810" s="5">
        <v>1749</v>
      </c>
      <c r="B1810" s="1832">
        <f>'Tax Sched 23'!E6</f>
        <v>209058</v>
      </c>
      <c r="D1810" s="2" t="str">
        <f t="shared" si="27"/>
        <v>Error?</v>
      </c>
    </row>
    <row r="1811" spans="1:4" x14ac:dyDescent="0.2">
      <c r="A1811" s="5">
        <v>1750</v>
      </c>
      <c r="B1811" s="1832">
        <f>'Tax Sched 23'!E7</f>
        <v>60075</v>
      </c>
      <c r="D1811" s="2" t="str">
        <f t="shared" si="27"/>
        <v>Error?</v>
      </c>
    </row>
    <row r="1812" spans="1:4" x14ac:dyDescent="0.2">
      <c r="A1812" s="5">
        <v>1751</v>
      </c>
      <c r="B1812" s="1832">
        <f>'Tax Sched 23'!E8</f>
        <v>15997</v>
      </c>
      <c r="D1812" s="2" t="str">
        <f t="shared" si="27"/>
        <v>Error?</v>
      </c>
    </row>
    <row r="1813" spans="1:4" x14ac:dyDescent="0.2">
      <c r="A1813" s="5">
        <v>1752</v>
      </c>
      <c r="B1813" s="1832">
        <f>'Tax Sched 23'!E10</f>
        <v>25023</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192008</v>
      </c>
      <c r="D1816" s="2" t="str">
        <f t="shared" si="27"/>
        <v>Error?</v>
      </c>
    </row>
    <row r="1817" spans="1:4" x14ac:dyDescent="0.2">
      <c r="A1817" s="5">
        <v>1756</v>
      </c>
      <c r="B1817" s="1832">
        <f>'Tax Sched 23'!E12</f>
        <v>5015</v>
      </c>
      <c r="D1817" s="2" t="str">
        <f t="shared" si="27"/>
        <v>Error?</v>
      </c>
    </row>
    <row r="1818" spans="1:4" x14ac:dyDescent="0.2">
      <c r="A1818" s="5">
        <v>1757</v>
      </c>
      <c r="B1818" s="1832">
        <f>'Tax Sched 23'!E14</f>
        <v>10029</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1575986</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1285000</v>
      </c>
      <c r="C1939" s="2" t="s">
        <v>569</v>
      </c>
      <c r="D1939" s="2" t="str">
        <f t="shared" si="29"/>
        <v>Error?</v>
      </c>
    </row>
    <row r="1940" spans="1:5" x14ac:dyDescent="0.2">
      <c r="A1940" s="5">
        <v>1879</v>
      </c>
      <c r="B1940" s="1832">
        <f>'Short-Term Long-Term Debt 24'!F49</f>
        <v>277800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9891</v>
      </c>
      <c r="D1972" s="2" t="str">
        <f t="shared" si="29"/>
        <v>Error?</v>
      </c>
    </row>
    <row r="1973" spans="1:5" x14ac:dyDescent="0.2">
      <c r="A1973" s="5">
        <v>1912</v>
      </c>
      <c r="B1973" s="1832">
        <f>'Rest Tax Levies-Tort Im 25'!H6</f>
        <v>5</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9896</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9896</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8150</v>
      </c>
      <c r="D2008" s="2" t="str">
        <f t="shared" si="30"/>
        <v>Error?</v>
      </c>
    </row>
    <row r="2009" spans="1:4" x14ac:dyDescent="0.2">
      <c r="A2009" s="5">
        <v>1948</v>
      </c>
      <c r="B2009" s="1832">
        <f>'Cap Outlay Deprec 26'!C8</f>
        <v>4268281</v>
      </c>
      <c r="D2009" s="2" t="str">
        <f t="shared" si="30"/>
        <v>Error?</v>
      </c>
    </row>
    <row r="2010" spans="1:4" x14ac:dyDescent="0.2">
      <c r="A2010" s="5">
        <v>1949</v>
      </c>
      <c r="B2010" s="1832">
        <f>'Cap Outlay Deprec 26'!C10</f>
        <v>45261</v>
      </c>
      <c r="D2010" s="2" t="str">
        <f t="shared" si="30"/>
        <v>Error?</v>
      </c>
    </row>
    <row r="2011" spans="1:4" x14ac:dyDescent="0.2">
      <c r="A2011" s="5">
        <v>1950</v>
      </c>
      <c r="B2011" s="1832">
        <f>'Cap Outlay Deprec 26'!C12</f>
        <v>214724</v>
      </c>
      <c r="D2011" s="2" t="str">
        <f t="shared" si="30"/>
        <v>Error?</v>
      </c>
    </row>
    <row r="2012" spans="1:4" x14ac:dyDescent="0.2">
      <c r="A2012" s="5">
        <v>1951</v>
      </c>
      <c r="B2012" s="1832">
        <f>'Cap Outlay Deprec 26'!C13</f>
        <v>0</v>
      </c>
      <c r="D2012" s="2" t="str">
        <f t="shared" si="30"/>
        <v>Error?</v>
      </c>
    </row>
    <row r="2013" spans="1:4" x14ac:dyDescent="0.2">
      <c r="A2013" s="5">
        <v>1952</v>
      </c>
      <c r="B2013" s="1832">
        <f>'Cap Outlay Deprec 26'!C16</f>
        <v>4536416</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169293</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26577</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195870</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6828</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6828</v>
      </c>
      <c r="C2025" s="2" t="s">
        <v>569</v>
      </c>
      <c r="D2025" s="2" t="str">
        <f t="shared" si="30"/>
        <v>Error?</v>
      </c>
    </row>
    <row r="2026" spans="1:4" x14ac:dyDescent="0.2">
      <c r="A2026" s="5">
        <v>1965</v>
      </c>
      <c r="B2026" s="1832">
        <f>'Cap Outlay Deprec 26'!F5</f>
        <v>8150</v>
      </c>
      <c r="C2026" s="2" t="s">
        <v>569</v>
      </c>
      <c r="D2026" s="2" t="str">
        <f t="shared" si="30"/>
        <v>Error?</v>
      </c>
    </row>
    <row r="2027" spans="1:4" x14ac:dyDescent="0.2">
      <c r="A2027" s="5">
        <v>1966</v>
      </c>
      <c r="B2027" s="1832">
        <f>'Cap Outlay Deprec 26'!F8</f>
        <v>4437574</v>
      </c>
      <c r="C2027" s="2" t="s">
        <v>569</v>
      </c>
      <c r="D2027" s="2" t="str">
        <f t="shared" si="30"/>
        <v>Error?</v>
      </c>
    </row>
    <row r="2028" spans="1:4" x14ac:dyDescent="0.2">
      <c r="A2028" s="5">
        <v>1967</v>
      </c>
      <c r="B2028" s="1832">
        <f>'Cap Outlay Deprec 26'!F10</f>
        <v>45261</v>
      </c>
      <c r="C2028" s="2" t="s">
        <v>569</v>
      </c>
      <c r="D2028" s="2" t="str">
        <f t="shared" si="30"/>
        <v>Error?</v>
      </c>
    </row>
    <row r="2029" spans="1:4" x14ac:dyDescent="0.2">
      <c r="A2029" s="5">
        <v>1968</v>
      </c>
      <c r="B2029" s="1832">
        <f>'Cap Outlay Deprec 26'!F12</f>
        <v>234473</v>
      </c>
      <c r="C2029" s="2" t="s">
        <v>569</v>
      </c>
      <c r="D2029" s="2" t="str">
        <f t="shared" si="30"/>
        <v>Error?</v>
      </c>
    </row>
    <row r="2030" spans="1:4" x14ac:dyDescent="0.2">
      <c r="A2030" s="5">
        <v>1969</v>
      </c>
      <c r="B2030" s="1832">
        <f>'Cap Outlay Deprec 26'!F13</f>
        <v>0</v>
      </c>
      <c r="C2030" s="2" t="s">
        <v>569</v>
      </c>
      <c r="D2030" s="2" t="str">
        <f t="shared" si="30"/>
        <v>Error?</v>
      </c>
    </row>
    <row r="2031" spans="1:4" x14ac:dyDescent="0.2">
      <c r="A2031" s="5">
        <v>1970</v>
      </c>
      <c r="B2031" s="1832">
        <f>'Cap Outlay Deprec 26'!F16</f>
        <v>4725458</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1767634</v>
      </c>
      <c r="D2033" s="2" t="str">
        <f t="shared" si="30"/>
        <v>Error?</v>
      </c>
    </row>
    <row r="2034" spans="1:4" x14ac:dyDescent="0.2">
      <c r="A2034" s="5">
        <v>1973</v>
      </c>
      <c r="B2034" s="1832">
        <f>'Cap Outlay Deprec 26'!H10</f>
        <v>7252</v>
      </c>
      <c r="D2034" s="2" t="str">
        <f t="shared" si="30"/>
        <v>Error?</v>
      </c>
    </row>
    <row r="2035" spans="1:4" x14ac:dyDescent="0.2">
      <c r="A2035" s="5">
        <v>1974</v>
      </c>
      <c r="B2035" s="1832">
        <f>'Cap Outlay Deprec 26'!H12</f>
        <v>78972</v>
      </c>
      <c r="D2035" s="2" t="str">
        <f t="shared" si="30"/>
        <v>Error?</v>
      </c>
    </row>
    <row r="2036" spans="1:4" x14ac:dyDescent="0.2">
      <c r="A2036" s="5">
        <v>1975</v>
      </c>
      <c r="B2036" s="1832">
        <f>'Cap Outlay Deprec 26'!H13</f>
        <v>0</v>
      </c>
      <c r="D2036" s="2" t="str">
        <f t="shared" si="30"/>
        <v>Error?</v>
      </c>
    </row>
    <row r="2037" spans="1:4" x14ac:dyDescent="0.2">
      <c r="A2037" s="5">
        <v>1976</v>
      </c>
      <c r="B2037" s="1832">
        <f>'Cap Outlay Deprec 26'!H16</f>
        <v>1853858</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78151</v>
      </c>
      <c r="D2039" s="2" t="str">
        <f t="shared" si="30"/>
        <v>Error?</v>
      </c>
    </row>
    <row r="2040" spans="1:4" x14ac:dyDescent="0.2">
      <c r="A2040" s="5">
        <v>1979</v>
      </c>
      <c r="B2040" s="1832">
        <f>'Cap Outlay Deprec 26'!I10</f>
        <v>2264</v>
      </c>
      <c r="D2040" s="2" t="str">
        <f t="shared" si="30"/>
        <v>Error?</v>
      </c>
    </row>
    <row r="2041" spans="1:4" x14ac:dyDescent="0.2">
      <c r="A2041" s="5">
        <v>1980</v>
      </c>
      <c r="B2041" s="1832">
        <f>'Cap Outlay Deprec 26'!I12</f>
        <v>23449</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103864</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6828</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6828</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1845785</v>
      </c>
      <c r="C2051" s="2" t="s">
        <v>569</v>
      </c>
      <c r="D2051" s="2" t="str">
        <f t="shared" si="31"/>
        <v>Error?</v>
      </c>
    </row>
    <row r="2052" spans="1:4" x14ac:dyDescent="0.2">
      <c r="A2052" s="5">
        <v>1991</v>
      </c>
      <c r="B2052" s="1832">
        <f>'Cap Outlay Deprec 26'!K10</f>
        <v>9516</v>
      </c>
      <c r="C2052" s="2" t="s">
        <v>569</v>
      </c>
      <c r="D2052" s="2" t="str">
        <f t="shared" si="31"/>
        <v>Error?</v>
      </c>
    </row>
    <row r="2053" spans="1:4" x14ac:dyDescent="0.2">
      <c r="A2053" s="5">
        <v>1992</v>
      </c>
      <c r="B2053" s="1832">
        <f>'Cap Outlay Deprec 26'!K12</f>
        <v>95593</v>
      </c>
      <c r="C2053" s="2" t="s">
        <v>569</v>
      </c>
      <c r="D2053" s="2" t="str">
        <f t="shared" si="31"/>
        <v>Error?</v>
      </c>
    </row>
    <row r="2054" spans="1:4" x14ac:dyDescent="0.2">
      <c r="A2054" s="5">
        <v>1993</v>
      </c>
      <c r="B2054" s="1832">
        <f>'Cap Outlay Deprec 26'!K13</f>
        <v>0</v>
      </c>
      <c r="C2054" s="2" t="s">
        <v>569</v>
      </c>
      <c r="D2054" s="2" t="str">
        <f t="shared" si="31"/>
        <v>Error?</v>
      </c>
    </row>
    <row r="2055" spans="1:4" x14ac:dyDescent="0.2">
      <c r="A2055" s="5">
        <v>1994</v>
      </c>
      <c r="B2055" s="1832">
        <f>'Cap Outlay Deprec 26'!K16</f>
        <v>1950894</v>
      </c>
      <c r="C2055" s="2" t="s">
        <v>569</v>
      </c>
      <c r="D2055" s="2" t="str">
        <f t="shared" si="31"/>
        <v>Error?</v>
      </c>
    </row>
    <row r="2056" spans="1:4" x14ac:dyDescent="0.2">
      <c r="A2056" s="5">
        <v>1995</v>
      </c>
      <c r="B2056" s="1832">
        <f>'Cap Outlay Deprec 26'!L5</f>
        <v>8150</v>
      </c>
      <c r="C2056" s="2" t="s">
        <v>569</v>
      </c>
      <c r="D2056" s="2" t="str">
        <f t="shared" si="31"/>
        <v>Error?</v>
      </c>
    </row>
    <row r="2057" spans="1:4" x14ac:dyDescent="0.2">
      <c r="A2057" s="5">
        <v>1996</v>
      </c>
      <c r="B2057" s="1832">
        <f>'Cap Outlay Deprec 26'!L8</f>
        <v>2591789</v>
      </c>
      <c r="C2057" s="2" t="s">
        <v>569</v>
      </c>
      <c r="D2057" s="2" t="str">
        <f t="shared" si="31"/>
        <v>Error?</v>
      </c>
    </row>
    <row r="2058" spans="1:4" x14ac:dyDescent="0.2">
      <c r="A2058" s="5">
        <v>1997</v>
      </c>
      <c r="B2058" s="1832">
        <f>'Cap Outlay Deprec 26'!L10</f>
        <v>35745</v>
      </c>
      <c r="C2058" s="2" t="s">
        <v>569</v>
      </c>
      <c r="D2058" s="2" t="str">
        <f t="shared" si="31"/>
        <v>Error?</v>
      </c>
    </row>
    <row r="2059" spans="1:4" x14ac:dyDescent="0.2">
      <c r="A2059" s="5">
        <v>1998</v>
      </c>
      <c r="B2059" s="1832">
        <f>'Cap Outlay Deprec 26'!L12</f>
        <v>138880</v>
      </c>
      <c r="C2059" s="2" t="s">
        <v>569</v>
      </c>
      <c r="D2059" s="2" t="str">
        <f t="shared" si="31"/>
        <v>Error?</v>
      </c>
    </row>
    <row r="2060" spans="1:4" x14ac:dyDescent="0.2">
      <c r="A2060" s="5">
        <v>1999</v>
      </c>
      <c r="B2060" s="1832">
        <f>'Cap Outlay Deprec 26'!L13</f>
        <v>0</v>
      </c>
      <c r="C2060" s="2" t="s">
        <v>569</v>
      </c>
      <c r="D2060" s="2" t="str">
        <f t="shared" si="31"/>
        <v>Error?</v>
      </c>
    </row>
    <row r="2061" spans="1:4" x14ac:dyDescent="0.2">
      <c r="A2061" s="5">
        <v>2000</v>
      </c>
      <c r="B2061" s="1832">
        <f>'Cap Outlay Deprec 26'!L16</f>
        <v>2774564</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130627</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132304</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300000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36381</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57655</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286542</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1024435</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976126</v>
      </c>
      <c r="C2553" s="2" t="s">
        <v>569</v>
      </c>
      <c r="D2553" s="2" t="str">
        <f t="shared" si="38"/>
        <v>Error?</v>
      </c>
    </row>
    <row r="2554" spans="1:4" x14ac:dyDescent="0.2">
      <c r="A2554" s="5">
        <v>2493</v>
      </c>
      <c r="B2554" s="1832">
        <f>'Acct Summary 7-8'!C7</f>
        <v>229781</v>
      </c>
      <c r="C2554" s="2" t="s">
        <v>569</v>
      </c>
      <c r="D2554" s="2" t="str">
        <f t="shared" si="38"/>
        <v>Error?</v>
      </c>
    </row>
    <row r="2555" spans="1:4" x14ac:dyDescent="0.2">
      <c r="A2555" s="5">
        <v>2494</v>
      </c>
      <c r="B2555" s="1832">
        <f>'Acct Summary 7-8'!C8</f>
        <v>2230342</v>
      </c>
      <c r="C2555" s="2" t="s">
        <v>569</v>
      </c>
      <c r="D2555" s="2" t="str">
        <f t="shared" si="38"/>
        <v>Error?</v>
      </c>
    </row>
    <row r="2556" spans="1:4" x14ac:dyDescent="0.2">
      <c r="A2556" s="5">
        <v>2495</v>
      </c>
      <c r="B2556" s="1832">
        <f>'Acct Summary 7-8'!C12</f>
        <v>1550154</v>
      </c>
      <c r="C2556" s="2" t="s">
        <v>569</v>
      </c>
      <c r="D2556" s="2" t="str">
        <f t="shared" si="38"/>
        <v>Error?</v>
      </c>
    </row>
    <row r="2557" spans="1:4" x14ac:dyDescent="0.2">
      <c r="A2557" s="5">
        <v>2496</v>
      </c>
      <c r="B2557" s="1832">
        <f>'Acct Summary 7-8'!C13</f>
        <v>486545</v>
      </c>
      <c r="C2557" s="2" t="s">
        <v>569</v>
      </c>
      <c r="D2557" s="2" t="str">
        <f t="shared" si="38"/>
        <v>Error?</v>
      </c>
    </row>
    <row r="2558" spans="1:4" x14ac:dyDescent="0.2">
      <c r="A2558" s="5">
        <v>2497</v>
      </c>
      <c r="B2558" s="1832">
        <f>'Acct Summary 7-8'!C14</f>
        <v>1120</v>
      </c>
      <c r="C2558" s="2" t="s">
        <v>569</v>
      </c>
      <c r="D2558" s="2" t="str">
        <f t="shared" si="38"/>
        <v>Error?</v>
      </c>
    </row>
    <row r="2559" spans="1:4" x14ac:dyDescent="0.2">
      <c r="A2559" s="5">
        <v>2498</v>
      </c>
      <c r="B2559" s="1832">
        <f>'Acct Summary 7-8'!C15</f>
        <v>132304</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2170123</v>
      </c>
      <c r="C2561" s="2" t="s">
        <v>569</v>
      </c>
      <c r="D2561" s="2" t="str">
        <f t="shared" si="39"/>
        <v>Error?</v>
      </c>
    </row>
    <row r="2562" spans="1:4" x14ac:dyDescent="0.2">
      <c r="A2562" s="5">
        <v>2501</v>
      </c>
      <c r="B2562" s="1832">
        <f>'Acct Summary 7-8'!C20</f>
        <v>60219</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132969</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132969</v>
      </c>
      <c r="C2568" s="2" t="s">
        <v>569</v>
      </c>
      <c r="D2568" s="2" t="str">
        <f t="shared" si="39"/>
        <v>Error?</v>
      </c>
    </row>
    <row r="2569" spans="1:4" x14ac:dyDescent="0.2">
      <c r="A2569" s="5">
        <v>2508</v>
      </c>
      <c r="B2569" s="1832">
        <f>'Acct Summary 7-8'!D13</f>
        <v>101636</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101636</v>
      </c>
      <c r="C2573" s="2" t="s">
        <v>569</v>
      </c>
      <c r="D2573" s="2" t="str">
        <f t="shared" si="39"/>
        <v>Error?</v>
      </c>
    </row>
    <row r="2574" spans="1:4" x14ac:dyDescent="0.2">
      <c r="A2574" s="5">
        <v>2513</v>
      </c>
      <c r="B2574" s="1832">
        <f>'Acct Summary 7-8'!D20</f>
        <v>31333</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60496</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134676</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195172</v>
      </c>
      <c r="C2595" s="2" t="s">
        <v>569</v>
      </c>
      <c r="D2595" s="2" t="str">
        <f t="shared" si="39"/>
        <v>Error?</v>
      </c>
    </row>
    <row r="2596" spans="1:4" x14ac:dyDescent="0.2">
      <c r="A2596" s="5">
        <v>2535</v>
      </c>
      <c r="B2596" s="1832">
        <f>'Acct Summary 7-8'!F13</f>
        <v>221981</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221981</v>
      </c>
      <c r="C2600" s="2" t="s">
        <v>569</v>
      </c>
      <c r="D2600" s="2" t="str">
        <f t="shared" si="39"/>
        <v>Error?</v>
      </c>
    </row>
    <row r="2601" spans="1:4" x14ac:dyDescent="0.2">
      <c r="A2601" s="5">
        <v>2540</v>
      </c>
      <c r="B2601" s="1832">
        <f>'Acct Summary 7-8'!F20</f>
        <v>-26809</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28531</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28531</v>
      </c>
      <c r="C2606" s="2" t="s">
        <v>569</v>
      </c>
      <c r="D2606" s="2" t="str">
        <f t="shared" si="39"/>
        <v>Error?</v>
      </c>
    </row>
    <row r="2607" spans="1:4" x14ac:dyDescent="0.2">
      <c r="A2607" s="5">
        <v>2546</v>
      </c>
      <c r="B2607" s="1832">
        <f>'Acct Summary 7-8'!G12</f>
        <v>19499</v>
      </c>
      <c r="C2607" s="2" t="s">
        <v>569</v>
      </c>
      <c r="D2607" s="2" t="str">
        <f t="shared" si="39"/>
        <v>Error?</v>
      </c>
    </row>
    <row r="2608" spans="1:4" x14ac:dyDescent="0.2">
      <c r="A2608" s="5">
        <v>2547</v>
      </c>
      <c r="B2608" s="1832">
        <f>'Acct Summary 7-8'!G13</f>
        <v>38113</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57612</v>
      </c>
      <c r="C2612" s="2" t="s">
        <v>569</v>
      </c>
      <c r="D2612" s="2" t="str">
        <f t="shared" si="39"/>
        <v>Error?</v>
      </c>
    </row>
    <row r="2613" spans="1:4" x14ac:dyDescent="0.2">
      <c r="A2613" s="5">
        <v>2552</v>
      </c>
      <c r="B2613" s="1832">
        <f>'Acct Summary 7-8'!G20</f>
        <v>-29081</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212029</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212029</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217563</v>
      </c>
      <c r="C2634" s="2" t="s">
        <v>569</v>
      </c>
      <c r="D2634" s="2" t="str">
        <f t="shared" si="40"/>
        <v>Error?</v>
      </c>
    </row>
    <row r="2635" spans="1:4" x14ac:dyDescent="0.2">
      <c r="A2635" s="5">
        <v>2574</v>
      </c>
      <c r="B2635" s="1832">
        <f>'Acct Summary 7-8'!E17</f>
        <v>217563</v>
      </c>
      <c r="C2635" s="2" t="s">
        <v>569</v>
      </c>
      <c r="D2635" s="2" t="str">
        <f t="shared" si="40"/>
        <v>Error?</v>
      </c>
    </row>
    <row r="2636" spans="1:4" x14ac:dyDescent="0.2">
      <c r="A2636" s="5">
        <v>2575</v>
      </c>
      <c r="B2636" s="1832">
        <f>'Acct Summary 7-8'!E20</f>
        <v>-5534</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119027</v>
      </c>
      <c r="C2655" s="2" t="s">
        <v>569</v>
      </c>
      <c r="D2655" s="2" t="str">
        <f t="shared" si="40"/>
        <v>Error?</v>
      </c>
    </row>
    <row r="2656" spans="1:4" x14ac:dyDescent="0.2">
      <c r="A2656" s="5">
        <v>2595</v>
      </c>
      <c r="B2656" s="1832">
        <f>'Acct Summary 7-8'!H6</f>
        <v>50000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169027</v>
      </c>
      <c r="C2658" s="2" t="s">
        <v>569</v>
      </c>
      <c r="D2658" s="2" t="str">
        <f t="shared" si="40"/>
        <v>Error?</v>
      </c>
    </row>
    <row r="2659" spans="1:4" x14ac:dyDescent="0.2">
      <c r="A2659" s="5">
        <v>2598</v>
      </c>
      <c r="B2659" s="1832">
        <f>'Acct Summary 7-8'!H13</f>
        <v>179046</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179046</v>
      </c>
      <c r="C2661" s="2" t="s">
        <v>569</v>
      </c>
      <c r="D2661" s="2" t="str">
        <f t="shared" si="40"/>
        <v>Error?</v>
      </c>
    </row>
    <row r="2662" spans="1:4" x14ac:dyDescent="0.2">
      <c r="A2662" s="5">
        <v>2601</v>
      </c>
      <c r="B2662" s="1832">
        <f>'Acct Summary 7-8'!H20</f>
        <v>-10019</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1677</v>
      </c>
      <c r="C2789" s="2" t="s">
        <v>569</v>
      </c>
      <c r="D2789" s="2" t="str">
        <f t="shared" si="42"/>
        <v>Error?</v>
      </c>
    </row>
    <row r="2790" spans="1:4" x14ac:dyDescent="0.2">
      <c r="A2790" s="5">
        <v>2729</v>
      </c>
      <c r="B2790" s="1832">
        <f>'Expenditures 15-22'!E102</f>
        <v>1677</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593846</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22482</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593846</v>
      </c>
      <c r="D2912" s="2" t="str">
        <f t="shared" si="44"/>
        <v>Error?</v>
      </c>
    </row>
    <row r="2913" spans="1:4" x14ac:dyDescent="0.2">
      <c r="A2913" s="5">
        <v>2852</v>
      </c>
      <c r="B2913" s="1832">
        <f>'Assets-Liab 5-6'!I41</f>
        <v>593846</v>
      </c>
      <c r="C2913" s="2" t="s">
        <v>569</v>
      </c>
      <c r="D2913" s="2" t="str">
        <f t="shared" si="44"/>
        <v>Error?</v>
      </c>
    </row>
    <row r="2914" spans="1:4" x14ac:dyDescent="0.2">
      <c r="A2914" s="5">
        <v>2853</v>
      </c>
      <c r="B2914" s="1832">
        <f>'Assets-Liab 5-6'!L33</f>
        <v>22482</v>
      </c>
      <c r="D2914" s="2" t="str">
        <f t="shared" si="44"/>
        <v>Error?</v>
      </c>
    </row>
    <row r="2915" spans="1:4" x14ac:dyDescent="0.2">
      <c r="A2915" s="10">
        <v>2854</v>
      </c>
      <c r="B2915" s="1832"/>
      <c r="D2915" s="2" t="str">
        <f t="shared" si="44"/>
        <v>OK</v>
      </c>
    </row>
    <row r="2916" spans="1:4" x14ac:dyDescent="0.2">
      <c r="A2916" s="5">
        <v>2855</v>
      </c>
      <c r="B2916" s="1832">
        <f>'Assets-Liab 5-6'!L34</f>
        <v>22482</v>
      </c>
      <c r="C2916" s="2" t="s">
        <v>569</v>
      </c>
      <c r="D2916" s="2" t="str">
        <f t="shared" si="44"/>
        <v>Error?</v>
      </c>
    </row>
    <row r="2917" spans="1:4" x14ac:dyDescent="0.2">
      <c r="A2917" s="5">
        <v>2856</v>
      </c>
      <c r="B2917" s="1832">
        <f>'Assets-Liab 5-6'!L41</f>
        <v>22482</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1677</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130627</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130627</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1677</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40000</v>
      </c>
      <c r="D3055" s="2" t="str">
        <f t="shared" si="46"/>
        <v>Error?</v>
      </c>
    </row>
    <row r="3056" spans="1:4" x14ac:dyDescent="0.2">
      <c r="A3056" s="5">
        <v>2995</v>
      </c>
      <c r="B3056" s="1832">
        <f>'Expenditures 15-22'!D10</f>
        <v>13691</v>
      </c>
      <c r="D3056" s="2" t="str">
        <f t="shared" si="46"/>
        <v>Error?</v>
      </c>
    </row>
    <row r="3057" spans="1:4" x14ac:dyDescent="0.2">
      <c r="A3057" s="5">
        <v>2996</v>
      </c>
      <c r="B3057" s="1832">
        <f>'Expenditures 15-22'!E10</f>
        <v>6465</v>
      </c>
      <c r="D3057" s="2" t="str">
        <f t="shared" si="46"/>
        <v>Error?</v>
      </c>
    </row>
    <row r="3058" spans="1:4" x14ac:dyDescent="0.2">
      <c r="A3058" s="5">
        <v>2997</v>
      </c>
      <c r="B3058" s="1832">
        <f>'Expenditures 15-22'!F10</f>
        <v>31473</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91629</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563</v>
      </c>
      <c r="D3064" s="2" t="str">
        <f t="shared" si="46"/>
        <v>Error?</v>
      </c>
    </row>
    <row r="3065" spans="1:4" x14ac:dyDescent="0.2">
      <c r="A3065" s="5">
        <v>3004</v>
      </c>
      <c r="B3065" s="1832">
        <f>'Expenditures 15-22'!K219</f>
        <v>563</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9468</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29447</v>
      </c>
      <c r="C3225" s="2" t="s">
        <v>569</v>
      </c>
      <c r="D3225" s="2" t="str">
        <f t="shared" si="49"/>
        <v>Error?</v>
      </c>
    </row>
    <row r="3226" spans="1:4" x14ac:dyDescent="0.2">
      <c r="A3226" s="5">
        <v>3165</v>
      </c>
      <c r="B3226" s="1832">
        <f>'Acct Summary 7-8'!I8</f>
        <v>29447</v>
      </c>
      <c r="C3226" s="2" t="s">
        <v>569</v>
      </c>
      <c r="D3226" s="2" t="str">
        <f t="shared" si="49"/>
        <v>Error?</v>
      </c>
    </row>
    <row r="3227" spans="1:4" x14ac:dyDescent="0.2">
      <c r="A3227" s="5">
        <v>3166</v>
      </c>
      <c r="B3227" s="1832">
        <f>'Acct Summary 7-8'!I20</f>
        <v>29447</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150000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150000</v>
      </c>
      <c r="C3232" s="2" t="s">
        <v>569</v>
      </c>
      <c r="D3232" s="2" t="str">
        <f t="shared" si="49"/>
        <v>Error?</v>
      </c>
    </row>
    <row r="3233" spans="1:4" x14ac:dyDescent="0.2">
      <c r="A3233" s="5">
        <v>3172</v>
      </c>
      <c r="B3233" s="1832">
        <f>'Acct Summary 7-8'!C78</f>
        <v>210219</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31333</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150000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150000</v>
      </c>
      <c r="C3255" s="2" t="s">
        <v>569</v>
      </c>
      <c r="D3255" s="2" t="str">
        <f t="shared" si="49"/>
        <v>Error?</v>
      </c>
    </row>
    <row r="3256" spans="1:4" x14ac:dyDescent="0.2">
      <c r="A3256" s="5">
        <v>3195</v>
      </c>
      <c r="B3256" s="1832">
        <f>'Acct Summary 7-8'!F78</f>
        <v>123191</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-29081</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9468</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9468</v>
      </c>
      <c r="C3277" s="2" t="s">
        <v>569</v>
      </c>
      <c r="D3277" s="2" t="str">
        <f t="shared" si="50"/>
        <v>Error?</v>
      </c>
    </row>
    <row r="3278" spans="1:4" x14ac:dyDescent="0.2">
      <c r="A3278" s="5">
        <v>3217</v>
      </c>
      <c r="B3278" s="1832">
        <f>'Acct Summary 7-8'!E78</f>
        <v>3934</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-10019</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268332</v>
      </c>
      <c r="C3317" s="2" t="s">
        <v>569</v>
      </c>
      <c r="D3317" s="2" t="str">
        <f t="shared" si="50"/>
        <v>Error?</v>
      </c>
    </row>
    <row r="3318" spans="1:4" x14ac:dyDescent="0.2">
      <c r="A3318" s="5">
        <v>3257</v>
      </c>
      <c r="B3318" s="1832">
        <f>'Acct Summary 7-8'!I76</f>
        <v>300000</v>
      </c>
      <c r="C3318" s="2" t="s">
        <v>569</v>
      </c>
      <c r="D3318" s="2" t="str">
        <f t="shared" si="50"/>
        <v>Error?</v>
      </c>
    </row>
    <row r="3319" spans="1:4" x14ac:dyDescent="0.2">
      <c r="A3319" s="5">
        <v>3258</v>
      </c>
      <c r="B3319" s="1832">
        <f>'Acct Summary 7-8'!I77</f>
        <v>-31668</v>
      </c>
      <c r="C3319" s="2" t="s">
        <v>569</v>
      </c>
      <c r="D3319" s="2" t="str">
        <f t="shared" si="50"/>
        <v>Error?</v>
      </c>
    </row>
    <row r="3320" spans="1:4" x14ac:dyDescent="0.2">
      <c r="A3320" s="5">
        <v>3259</v>
      </c>
      <c r="B3320" s="1832">
        <f>'Acct Summary 7-8'!I78</f>
        <v>-2221</v>
      </c>
      <c r="C3320" s="2" t="s">
        <v>569</v>
      </c>
      <c r="D3320" s="2" t="str">
        <f t="shared" si="50"/>
        <v>Error?</v>
      </c>
    </row>
    <row r="3321" spans="1:4" x14ac:dyDescent="0.2">
      <c r="A3321" s="5">
        <v>3260</v>
      </c>
      <c r="B3321" s="1832">
        <f>'Acct Summary 7-8'!I79</f>
        <v>596067</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593846</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86843</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10732</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1303</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98878</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12281</v>
      </c>
      <c r="D3387" s="2" t="str">
        <f t="shared" si="51"/>
        <v>Error?</v>
      </c>
    </row>
    <row r="3388" spans="1:4" x14ac:dyDescent="0.2">
      <c r="A3388" s="5">
        <v>3327</v>
      </c>
      <c r="B3388" s="1832">
        <f>'Expenditures 15-22'!D217</f>
        <v>5536</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12281</v>
      </c>
      <c r="C3390" s="2" t="s">
        <v>569</v>
      </c>
      <c r="D3390" s="2" t="str">
        <f t="shared" si="51"/>
        <v>Error?</v>
      </c>
    </row>
    <row r="3391" spans="1:4" x14ac:dyDescent="0.2">
      <c r="A3391" s="5">
        <v>3330</v>
      </c>
      <c r="B3391" s="1832">
        <f>'Expenditures 15-22'!K217</f>
        <v>5536</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942319</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316468</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139698</v>
      </c>
      <c r="D3417" s="2" t="str">
        <f t="shared" si="52"/>
        <v>Error?</v>
      </c>
    </row>
    <row r="3418" spans="1:4" x14ac:dyDescent="0.2">
      <c r="A3418" s="10">
        <v>3357</v>
      </c>
      <c r="B3418" s="1832"/>
      <c r="D3418" s="2" t="str">
        <f t="shared" si="52"/>
        <v>OK</v>
      </c>
    </row>
    <row r="3419" spans="1:4" x14ac:dyDescent="0.2">
      <c r="A3419" s="5">
        <v>3358</v>
      </c>
      <c r="B3419" s="1832">
        <f>'Assets-Liab 5-6'!F4</f>
        <v>273914</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98786</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286542</v>
      </c>
      <c r="D3425" s="2" t="str">
        <f t="shared" si="52"/>
        <v>Error?</v>
      </c>
    </row>
    <row r="3426" spans="1:4" x14ac:dyDescent="0.2">
      <c r="A3426" s="10">
        <v>3365</v>
      </c>
      <c r="B3426" s="1832"/>
      <c r="D3426" s="2" t="str">
        <f t="shared" si="52"/>
        <v>OK</v>
      </c>
    </row>
    <row r="3427" spans="1:4" x14ac:dyDescent="0.2">
      <c r="A3427" s="5">
        <v>3366</v>
      </c>
      <c r="B3427" s="1832">
        <f>'Assets-Liab 5-6'!I4</f>
        <v>593846</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22482</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12244</v>
      </c>
      <c r="C3446" s="2" t="s">
        <v>569</v>
      </c>
      <c r="D3446" s="2" t="str">
        <f t="shared" si="52"/>
        <v>Error?</v>
      </c>
    </row>
    <row r="3447" spans="1:4" x14ac:dyDescent="0.2">
      <c r="A3447" s="5">
        <v>3386</v>
      </c>
      <c r="B3447" s="1832">
        <f>'Tax Sched 23'!D16</f>
        <v>3411</v>
      </c>
      <c r="C3447" s="2" t="s">
        <v>569</v>
      </c>
      <c r="D3447" s="2" t="str">
        <f t="shared" si="52"/>
        <v>Error?</v>
      </c>
    </row>
    <row r="3448" spans="1:4" x14ac:dyDescent="0.2">
      <c r="A3448" s="5">
        <v>3387</v>
      </c>
      <c r="B3448" s="1832">
        <f>'Tax Sched 23'!C16</f>
        <v>8833</v>
      </c>
      <c r="D3448" s="2" t="str">
        <f t="shared" si="52"/>
        <v>Error?</v>
      </c>
    </row>
    <row r="3449" spans="1:4" x14ac:dyDescent="0.2">
      <c r="A3449" s="5">
        <v>3388</v>
      </c>
      <c r="B3449" s="1832">
        <f>'Tax Sched 23'!F16</f>
        <v>7164</v>
      </c>
      <c r="C3449" s="2" t="s">
        <v>569</v>
      </c>
      <c r="D3449" s="2" t="str">
        <f t="shared" si="52"/>
        <v>Error?</v>
      </c>
    </row>
    <row r="3450" spans="1:4" x14ac:dyDescent="0.2">
      <c r="A3450" s="5">
        <v>3389</v>
      </c>
      <c r="B3450" s="1832">
        <f>'Tax Sched 23'!E16</f>
        <v>15997</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147408</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147408</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147408</v>
      </c>
      <c r="D3567" s="2" t="str">
        <f t="shared" si="54"/>
        <v>Error?</v>
      </c>
    </row>
    <row r="3568" spans="1:4" x14ac:dyDescent="0.2">
      <c r="A3568" s="5">
        <v>3507</v>
      </c>
      <c r="B3568" s="1832">
        <f>'Assets-Liab 5-6'!K41</f>
        <v>147408</v>
      </c>
      <c r="C3568" s="2" t="s">
        <v>569</v>
      </c>
      <c r="D3568" s="2" t="str">
        <f t="shared" si="54"/>
        <v>Error?</v>
      </c>
    </row>
    <row r="3569" spans="1:4" x14ac:dyDescent="0.2">
      <c r="A3569" s="5">
        <v>3508</v>
      </c>
      <c r="B3569" s="1832">
        <f>'Acct Summary 7-8'!K4</f>
        <v>14731</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14731</v>
      </c>
      <c r="C3571" s="2" t="s">
        <v>569</v>
      </c>
      <c r="D3571" s="2" t="str">
        <f t="shared" si="54"/>
        <v>Error?</v>
      </c>
    </row>
    <row r="3572" spans="1:4" x14ac:dyDescent="0.2">
      <c r="A3572" s="5">
        <v>3511</v>
      </c>
      <c r="B3572" s="1832">
        <f>'Acct Summary 7-8'!K13</f>
        <v>19830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19830</v>
      </c>
      <c r="C3575" s="2" t="s">
        <v>569</v>
      </c>
      <c r="D3575" s="2" t="str">
        <f t="shared" si="54"/>
        <v>Error?</v>
      </c>
    </row>
    <row r="3576" spans="1:4" x14ac:dyDescent="0.2">
      <c r="A3576" s="5">
        <v>3515</v>
      </c>
      <c r="B3576" s="1832">
        <f>'Acct Summary 7-8'!K20</f>
        <v>-5099</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-5099</v>
      </c>
      <c r="C3588" s="2" t="s">
        <v>569</v>
      </c>
      <c r="D3588" s="2" t="str">
        <f t="shared" si="55"/>
        <v>Error?</v>
      </c>
    </row>
    <row r="3589" spans="1:4" x14ac:dyDescent="0.2">
      <c r="A3589" s="5">
        <v>3528</v>
      </c>
      <c r="B3589" s="1832">
        <f>'Acct Summary 7-8'!K79</f>
        <v>152507</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147408</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13300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13300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13300</v>
      </c>
      <c r="C3635" s="2" t="s">
        <v>569</v>
      </c>
      <c r="D3635" s="2" t="str">
        <f t="shared" si="55"/>
        <v>Error?</v>
      </c>
    </row>
    <row r="3636" spans="1:4" x14ac:dyDescent="0.2">
      <c r="A3636" s="5">
        <v>3575</v>
      </c>
      <c r="B3636" s="1832">
        <f>'Expenditures 15-22'!E367</f>
        <v>13300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6530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6530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6530</v>
      </c>
      <c r="C3649" s="2" t="s">
        <v>569</v>
      </c>
      <c r="D3649" s="2" t="str">
        <f t="shared" si="56"/>
        <v>Error?</v>
      </c>
    </row>
    <row r="3650" spans="1:4" x14ac:dyDescent="0.2">
      <c r="A3650" s="5">
        <v>3589</v>
      </c>
      <c r="B3650" s="1832">
        <f>'Expenditures 15-22'!G367</f>
        <v>6530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19830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19830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19830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19830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-5099</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3315</v>
      </c>
      <c r="C3725" s="2" t="s">
        <v>569</v>
      </c>
      <c r="D3725" s="2" t="str">
        <f t="shared" si="57"/>
        <v>Error?</v>
      </c>
    </row>
    <row r="3726" spans="1:4" x14ac:dyDescent="0.2">
      <c r="A3726" s="5">
        <v>3665</v>
      </c>
      <c r="B3726" s="1832">
        <f>'Tax Sched 23'!D13</f>
        <v>546</v>
      </c>
      <c r="C3726" s="2" t="s">
        <v>569</v>
      </c>
      <c r="D3726" s="2" t="str">
        <f t="shared" si="57"/>
        <v>Error?</v>
      </c>
    </row>
    <row r="3727" spans="1:4" x14ac:dyDescent="0.2">
      <c r="A3727" s="5">
        <v>3666</v>
      </c>
      <c r="B3727" s="1832">
        <f>'Tax Sched 23'!C13</f>
        <v>2769</v>
      </c>
      <c r="D3727" s="2" t="str">
        <f t="shared" si="57"/>
        <v>Error?</v>
      </c>
    </row>
    <row r="3728" spans="1:4" x14ac:dyDescent="0.2">
      <c r="A3728" s="5">
        <v>3667</v>
      </c>
      <c r="B3728" s="1832">
        <f>'Tax Sched 23'!F13</f>
        <v>2246</v>
      </c>
      <c r="C3728" s="2" t="s">
        <v>569</v>
      </c>
      <c r="D3728" s="2" t="str">
        <f t="shared" si="57"/>
        <v>Error?</v>
      </c>
    </row>
    <row r="3729" spans="1:4" x14ac:dyDescent="0.2">
      <c r="A3729" s="5">
        <v>3668</v>
      </c>
      <c r="B3729" s="1832">
        <f>'Tax Sched 23'!E13</f>
        <v>5015</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1061086</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3291428</v>
      </c>
      <c r="C4122" s="2" t="s">
        <v>569</v>
      </c>
      <c r="D4122" s="2" t="str">
        <f t="shared" si="63"/>
        <v>Error?</v>
      </c>
    </row>
    <row r="4123" spans="1:4" x14ac:dyDescent="0.2">
      <c r="A4123" s="5">
        <v>4062</v>
      </c>
      <c r="B4123" s="1832">
        <f>'Acct Summary 7-8'!D10</f>
        <v>132969</v>
      </c>
      <c r="C4123" s="2" t="s">
        <v>569</v>
      </c>
      <c r="D4123" s="2" t="str">
        <f t="shared" si="63"/>
        <v>Error?</v>
      </c>
    </row>
    <row r="4124" spans="1:4" x14ac:dyDescent="0.2">
      <c r="A4124" s="5">
        <v>4063</v>
      </c>
      <c r="B4124" s="1832">
        <f>'Acct Summary 7-8'!E10</f>
        <v>212029</v>
      </c>
      <c r="C4124" s="2" t="s">
        <v>569</v>
      </c>
      <c r="D4124" s="2" t="str">
        <f t="shared" si="63"/>
        <v>Error?</v>
      </c>
    </row>
    <row r="4125" spans="1:4" x14ac:dyDescent="0.2">
      <c r="A4125" s="5">
        <v>4064</v>
      </c>
      <c r="B4125" s="1832">
        <f>'Acct Summary 7-8'!F10</f>
        <v>195172</v>
      </c>
      <c r="C4125" s="2" t="s">
        <v>569</v>
      </c>
      <c r="D4125" s="2" t="str">
        <f t="shared" si="63"/>
        <v>Error?</v>
      </c>
    </row>
    <row r="4126" spans="1:4" x14ac:dyDescent="0.2">
      <c r="A4126" s="5">
        <v>4065</v>
      </c>
      <c r="B4126" s="1832">
        <f>'Acct Summary 7-8'!G10</f>
        <v>28531</v>
      </c>
      <c r="C4126" s="2" t="s">
        <v>569</v>
      </c>
      <c r="D4126" s="2" t="str">
        <f t="shared" si="63"/>
        <v>Error?</v>
      </c>
    </row>
    <row r="4127" spans="1:4" x14ac:dyDescent="0.2">
      <c r="A4127" s="5">
        <v>4066</v>
      </c>
      <c r="B4127" s="1832">
        <f>'Acct Summary 7-8'!H10</f>
        <v>169027</v>
      </c>
      <c r="C4127" s="2" t="s">
        <v>569</v>
      </c>
      <c r="D4127" s="2" t="str">
        <f t="shared" si="63"/>
        <v>Error?</v>
      </c>
    </row>
    <row r="4128" spans="1:4" x14ac:dyDescent="0.2">
      <c r="A4128" s="5">
        <v>4067</v>
      </c>
      <c r="B4128" s="1832">
        <f>'Acct Summary 7-8'!I10</f>
        <v>29447</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14731</v>
      </c>
      <c r="C4130" s="2" t="s">
        <v>569</v>
      </c>
      <c r="D4130" s="2" t="str">
        <f t="shared" si="63"/>
        <v>Error?</v>
      </c>
    </row>
    <row r="4131" spans="1:4" x14ac:dyDescent="0.2">
      <c r="A4131" s="5">
        <v>4070</v>
      </c>
      <c r="B4131" s="1832">
        <f>'Acct Summary 7-8'!C18</f>
        <v>1061086</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3231209</v>
      </c>
      <c r="C4136" s="2" t="s">
        <v>569</v>
      </c>
      <c r="D4136" s="2" t="str">
        <f t="shared" si="63"/>
        <v>Error?</v>
      </c>
    </row>
    <row r="4137" spans="1:4" x14ac:dyDescent="0.2">
      <c r="A4137" s="5">
        <v>4076</v>
      </c>
      <c r="B4137" s="1832">
        <f>'Acct Summary 7-8'!D19</f>
        <v>101636</v>
      </c>
      <c r="C4137" s="2" t="s">
        <v>569</v>
      </c>
      <c r="D4137" s="2" t="str">
        <f t="shared" si="63"/>
        <v>Error?</v>
      </c>
    </row>
    <row r="4138" spans="1:4" x14ac:dyDescent="0.2">
      <c r="A4138" s="5">
        <v>4077</v>
      </c>
      <c r="B4138" s="1832">
        <f>'Acct Summary 7-8'!E19</f>
        <v>217563</v>
      </c>
      <c r="C4138" s="2" t="s">
        <v>569</v>
      </c>
      <c r="D4138" s="2" t="str">
        <f t="shared" si="63"/>
        <v>Error?</v>
      </c>
    </row>
    <row r="4139" spans="1:4" x14ac:dyDescent="0.2">
      <c r="A4139" s="5">
        <v>4078</v>
      </c>
      <c r="B4139" s="1832">
        <f>'Acct Summary 7-8'!F19</f>
        <v>221981</v>
      </c>
      <c r="C4139" s="2" t="s">
        <v>569</v>
      </c>
      <c r="D4139" s="2" t="str">
        <f t="shared" si="63"/>
        <v>Error?</v>
      </c>
    </row>
    <row r="4140" spans="1:4" x14ac:dyDescent="0.2">
      <c r="A4140" s="5">
        <v>4079</v>
      </c>
      <c r="B4140" s="1832">
        <f>'Acct Summary 7-8'!G19</f>
        <v>57612</v>
      </c>
      <c r="C4140" s="2" t="s">
        <v>569</v>
      </c>
      <c r="D4140" s="2" t="str">
        <f t="shared" si="63"/>
        <v>Error?</v>
      </c>
    </row>
    <row r="4141" spans="1:4" x14ac:dyDescent="0.2">
      <c r="A4141" s="5">
        <v>4080</v>
      </c>
      <c r="B4141" s="1832">
        <f>'Acct Summary 7-8'!H19</f>
        <v>179046</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19830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1402800</v>
      </c>
      <c r="C4171" s="2" t="s">
        <v>569</v>
      </c>
      <c r="D4171" s="2" t="str">
        <f t="shared" si="64"/>
        <v>Error?</v>
      </c>
    </row>
    <row r="4172" spans="1:4" x14ac:dyDescent="0.2">
      <c r="A4172" s="5">
        <v>4111</v>
      </c>
      <c r="B4172" s="1832">
        <f>'Short-Term Long-Term Debt 24'!J49</f>
        <v>1263102</v>
      </c>
      <c r="C4172" s="2" t="s">
        <v>569</v>
      </c>
      <c r="D4172" s="2" t="str">
        <f t="shared" si="64"/>
        <v>Error?</v>
      </c>
    </row>
    <row r="4173" spans="1:4" x14ac:dyDescent="0.2">
      <c r="A4173" s="5">
        <v>4112</v>
      </c>
      <c r="B4173" s="1832">
        <f>'Short-Term Long-Term Debt 24'!H49</f>
        <v>160000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1820</v>
      </c>
      <c r="C4265" s="2" t="s">
        <v>569</v>
      </c>
      <c r="D4265" s="2" t="str">
        <f t="shared" si="65"/>
        <v>Error?</v>
      </c>
      <c r="E4265" s="125"/>
    </row>
    <row r="4266" spans="1:5" x14ac:dyDescent="0.2">
      <c r="A4266" s="12">
        <v>4205</v>
      </c>
      <c r="B4266" s="1832">
        <f>('FP Info 3'!F10)*100000</f>
        <v>249.49999999999997</v>
      </c>
      <c r="C4266" s="2" t="s">
        <v>569</v>
      </c>
      <c r="D4266" s="2" t="str">
        <f t="shared" si="65"/>
        <v>Error?</v>
      </c>
      <c r="E4266" s="125"/>
    </row>
    <row r="4267" spans="1:5" x14ac:dyDescent="0.2">
      <c r="A4267" s="12">
        <v>4206</v>
      </c>
      <c r="B4267" s="1832">
        <f>('FP Info 3'!H10)*100000</f>
        <v>119.80000000000001</v>
      </c>
      <c r="C4267" s="2" t="s">
        <v>569</v>
      </c>
      <c r="D4267" s="2" t="str">
        <f t="shared" si="65"/>
        <v>Error?</v>
      </c>
      <c r="E4267" s="125"/>
    </row>
    <row r="4268" spans="1:5" x14ac:dyDescent="0.2">
      <c r="A4268" s="12">
        <v>4207</v>
      </c>
      <c r="B4268" s="1832">
        <f>('FP Info 3'!J10)*100000</f>
        <v>2189</v>
      </c>
      <c r="C4268" s="2" t="s">
        <v>569</v>
      </c>
      <c r="D4268" s="2" t="str">
        <f t="shared" si="65"/>
        <v>Error?</v>
      </c>
    </row>
    <row r="4269" spans="1:5" x14ac:dyDescent="0.2">
      <c r="A4269" s="12">
        <v>4208</v>
      </c>
      <c r="B4269" s="1832">
        <f>'FP Info 3'!J16</f>
        <v>2419721</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4083</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17401</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10231</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12969</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49.9</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13172</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50145854</v>
      </c>
      <c r="D4995" s="2" t="str">
        <f t="shared" si="77"/>
        <v>Error?</v>
      </c>
    </row>
    <row r="4996" spans="1:4" x14ac:dyDescent="0.2">
      <c r="A4996" s="12">
        <v>4935</v>
      </c>
      <c r="B4996" s="1832">
        <f>'FP Info 3'!H31</f>
        <v>3460063.9260000004</v>
      </c>
      <c r="D4996" s="2" t="str">
        <f t="shared" si="77"/>
        <v>Error?</v>
      </c>
    </row>
    <row r="4997" spans="1:4" x14ac:dyDescent="0.2">
      <c r="A4997" s="12">
        <v>4936</v>
      </c>
      <c r="B4997" s="1832">
        <f>'FP Info 3'!H37</f>
        <v>1402800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3315</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898506</v>
      </c>
      <c r="D5061" s="2" t="str">
        <f t="shared" si="78"/>
        <v>Error?</v>
      </c>
    </row>
    <row r="5062" spans="1:4" x14ac:dyDescent="0.2">
      <c r="A5062" s="10">
        <v>5001</v>
      </c>
      <c r="B5062" s="1832"/>
      <c r="D5062" s="2" t="str">
        <f t="shared" si="78"/>
        <v>OK</v>
      </c>
    </row>
    <row r="5063" spans="1:4" x14ac:dyDescent="0.2">
      <c r="A5063" s="5">
        <v>5002</v>
      </c>
      <c r="B5063" s="1832">
        <f>'Revenues 9-14'!C7</f>
        <v>9891</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911712</v>
      </c>
      <c r="C5066" s="2" t="s">
        <v>569</v>
      </c>
      <c r="D5066" s="2" t="str">
        <f t="shared" si="78"/>
        <v>Error?</v>
      </c>
    </row>
    <row r="5067" spans="1:4" x14ac:dyDescent="0.2">
      <c r="A5067" s="5">
        <v>5006</v>
      </c>
      <c r="B5067" s="1832">
        <f>'Revenues 9-14'!C14</f>
        <v>265</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79044</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79309</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7609</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7609</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0</v>
      </c>
      <c r="C5096" s="2" t="s">
        <v>569</v>
      </c>
      <c r="D5096" s="2" t="str">
        <f t="shared" si="78"/>
        <v>Error?</v>
      </c>
    </row>
    <row r="5097" spans="1:4" x14ac:dyDescent="0.2">
      <c r="A5097" s="5">
        <v>5036</v>
      </c>
      <c r="B5097" s="1832">
        <f>'Revenues 9-14'!C77</f>
        <v>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4550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611</v>
      </c>
      <c r="D5101" s="2" t="str">
        <f t="shared" si="78"/>
        <v>Error?</v>
      </c>
    </row>
    <row r="5102" spans="1:4" x14ac:dyDescent="0.2">
      <c r="A5102" s="5">
        <v>5041</v>
      </c>
      <c r="B5102" s="1832">
        <f>'Revenues 9-14'!C82</f>
        <v>5161</v>
      </c>
      <c r="C5102" s="2" t="s">
        <v>569</v>
      </c>
      <c r="D5102" s="2" t="str">
        <f t="shared" si="78"/>
        <v>Error?</v>
      </c>
    </row>
    <row r="5103" spans="1:4" x14ac:dyDescent="0.2">
      <c r="A5103" s="5">
        <v>5042</v>
      </c>
      <c r="B5103" s="1832">
        <f>'Revenues 9-14'!C84</f>
        <v>9484</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9484</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4930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6230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0</v>
      </c>
      <c r="D5119" s="2" t="str">
        <f t="shared" ref="D5119:D5182" si="79">IF(ISBLANK(B5119),"OK",IF(A5119-B5119=0,"OK","Error?"))</f>
        <v>Error?</v>
      </c>
    </row>
    <row r="5120" spans="1:4" x14ac:dyDescent="0.2">
      <c r="A5120" s="5">
        <v>5059</v>
      </c>
      <c r="B5120" s="1832">
        <f>'Revenues 9-14'!C108</f>
        <v>11160</v>
      </c>
      <c r="C5120" s="2" t="s">
        <v>569</v>
      </c>
      <c r="D5120" s="2" t="str">
        <f t="shared" si="79"/>
        <v>Error?</v>
      </c>
    </row>
    <row r="5121" spans="1:4" x14ac:dyDescent="0.2">
      <c r="A5121" s="5">
        <v>5060</v>
      </c>
      <c r="B5121" s="1832">
        <f>'Revenues 9-14'!C109</f>
        <v>1024435</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958258</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958258</v>
      </c>
      <c r="C5132" s="2" t="s">
        <v>569</v>
      </c>
      <c r="D5132" s="2" t="str">
        <f t="shared" si="79"/>
        <v>Error?</v>
      </c>
    </row>
    <row r="5133" spans="1:4" x14ac:dyDescent="0.2">
      <c r="A5133" s="5">
        <v>5072</v>
      </c>
      <c r="B5133" s="1832">
        <f>'Revenues 9-14'!C125</f>
        <v>17273</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17273</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230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365</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17868</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976126</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13172</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25913</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25913</v>
      </c>
      <c r="C5246" s="2" t="s">
        <v>569</v>
      </c>
      <c r="D5246" s="2" t="str">
        <f t="shared" si="80"/>
        <v>Error?</v>
      </c>
    </row>
    <row r="5247" spans="1:4" x14ac:dyDescent="0.2">
      <c r="A5247" s="5">
        <v>5186</v>
      </c>
      <c r="B5247" s="1832">
        <f>'Revenues 9-14'!C200</f>
        <v>146012</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10231</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146012</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0</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0</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216609</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229781</v>
      </c>
      <c r="C5326" s="2" t="s">
        <v>569</v>
      </c>
      <c r="D5326" s="2" t="str">
        <f t="shared" si="82"/>
        <v>Error?</v>
      </c>
    </row>
    <row r="5327" spans="1:5" x14ac:dyDescent="0.2">
      <c r="A5327" s="5">
        <v>5266</v>
      </c>
      <c r="B5327" s="1832">
        <f>'Revenues 9-14'!C268</f>
        <v>2230342</v>
      </c>
      <c r="C5327" s="2" t="s">
        <v>569</v>
      </c>
      <c r="D5327" s="2" t="str">
        <f t="shared" si="82"/>
        <v>Error?</v>
      </c>
    </row>
    <row r="5328" spans="1:5" x14ac:dyDescent="0.2">
      <c r="A5328" s="5">
        <v>5267</v>
      </c>
      <c r="B5328" s="1832">
        <f>'Revenues 9-14'!D5</f>
        <v>123390</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123390</v>
      </c>
      <c r="C5334" s="2" t="s">
        <v>569</v>
      </c>
      <c r="D5334" s="2" t="str">
        <f t="shared" si="82"/>
        <v>Error?</v>
      </c>
    </row>
    <row r="5335" spans="1:4" x14ac:dyDescent="0.2">
      <c r="A5335" s="5">
        <v>5274</v>
      </c>
      <c r="B5335" s="1832">
        <f>'Revenues 9-14'!D14</f>
        <v>36</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36</v>
      </c>
      <c r="C5339" s="2" t="s">
        <v>569</v>
      </c>
      <c r="D5339" s="2" t="str">
        <f t="shared" si="82"/>
        <v>Error?</v>
      </c>
    </row>
    <row r="5340" spans="1:4" x14ac:dyDescent="0.2">
      <c r="A5340" s="5">
        <v>5279</v>
      </c>
      <c r="B5340" s="1832">
        <f>'Revenues 9-14'!D65</f>
        <v>2343</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2343</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7200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7200</v>
      </c>
      <c r="C5355" s="2" t="s">
        <v>569</v>
      </c>
      <c r="D5355" s="2" t="str">
        <f t="shared" si="82"/>
        <v>Error?</v>
      </c>
    </row>
    <row r="5356" spans="1:4" x14ac:dyDescent="0.2">
      <c r="A5356" s="5">
        <v>5295</v>
      </c>
      <c r="B5356" s="1832">
        <f>'Revenues 9-14'!D109</f>
        <v>132969</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132969</v>
      </c>
      <c r="C5508" s="2" t="s">
        <v>569</v>
      </c>
      <c r="D5508" s="2" t="str">
        <f t="shared" si="85"/>
        <v>Error?</v>
      </c>
    </row>
    <row r="5509" spans="1:4" x14ac:dyDescent="0.2">
      <c r="A5509" s="5">
        <v>5448</v>
      </c>
      <c r="B5509" s="1832">
        <f>'Revenues 9-14'!E5</f>
        <v>210807</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210807</v>
      </c>
      <c r="C5513" s="2" t="s">
        <v>569</v>
      </c>
      <c r="D5513" s="2" t="str">
        <f t="shared" si="85"/>
        <v>Error?</v>
      </c>
    </row>
    <row r="5514" spans="1:4" x14ac:dyDescent="0.2">
      <c r="A5514" s="5">
        <v>5453</v>
      </c>
      <c r="B5514" s="1832">
        <f>'Revenues 9-14'!E14</f>
        <v>63</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63</v>
      </c>
      <c r="C5518" s="2" t="s">
        <v>569</v>
      </c>
      <c r="D5518" s="2" t="str">
        <f t="shared" si="85"/>
        <v>Error?</v>
      </c>
    </row>
    <row r="5519" spans="1:4" x14ac:dyDescent="0.2">
      <c r="A5519" s="5">
        <v>5458</v>
      </c>
      <c r="B5519" s="1832">
        <f>'Revenues 9-14'!E65</f>
        <v>1159</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1159</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212029</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212029</v>
      </c>
      <c r="C5552" s="2" t="s">
        <v>569</v>
      </c>
      <c r="D5552" s="2" t="str">
        <f t="shared" si="85"/>
        <v>Error?</v>
      </c>
    </row>
    <row r="5553" spans="1:4" x14ac:dyDescent="0.2">
      <c r="A5553" s="5">
        <v>5492</v>
      </c>
      <c r="B5553" s="1832">
        <f>'Revenues 9-14'!F5</f>
        <v>59242</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59242</v>
      </c>
      <c r="C5557" s="2" t="s">
        <v>569</v>
      </c>
      <c r="D5557" s="2" t="str">
        <f t="shared" si="85"/>
        <v>Error?</v>
      </c>
    </row>
    <row r="5558" spans="1:4" x14ac:dyDescent="0.2">
      <c r="A5558" s="5">
        <v>5497</v>
      </c>
      <c r="B5558" s="1832">
        <f>'Revenues 9-14'!F14</f>
        <v>17</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17</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1237</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1237</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60496</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61669</v>
      </c>
      <c r="D5615" s="2" t="str">
        <f t="shared" si="86"/>
        <v>Error?</v>
      </c>
    </row>
    <row r="5616" spans="1:4" x14ac:dyDescent="0.2">
      <c r="A5616" s="10">
        <v>5555</v>
      </c>
      <c r="B5616" s="1832"/>
      <c r="D5616" s="2" t="str">
        <f t="shared" si="86"/>
        <v>OK</v>
      </c>
    </row>
    <row r="5617" spans="1:5" x14ac:dyDescent="0.2">
      <c r="A5617" s="5">
        <v>5556</v>
      </c>
      <c r="B5617" s="1832">
        <f>'Revenues 9-14'!F153</f>
        <v>73007</v>
      </c>
      <c r="D5617" s="2" t="str">
        <f t="shared" si="86"/>
        <v>Error?</v>
      </c>
    </row>
    <row r="5618" spans="1:5" x14ac:dyDescent="0.2">
      <c r="A5618" s="5">
        <v>5557</v>
      </c>
      <c r="B5618" s="1832">
        <f>'Revenues 9-14'!F155</f>
        <v>134676</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134676</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134676</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195172</v>
      </c>
      <c r="C5720" s="2" t="s">
        <v>569</v>
      </c>
      <c r="D5720" s="2" t="str">
        <f t="shared" si="88"/>
        <v>Error?</v>
      </c>
    </row>
    <row r="5721" spans="1:4" x14ac:dyDescent="0.2">
      <c r="A5721" s="5">
        <v>5660</v>
      </c>
      <c r="B5721" s="1832">
        <f>'Revenues 9-14'!G5</f>
        <v>12244</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12244</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24488</v>
      </c>
      <c r="C5725" s="2" t="s">
        <v>569</v>
      </c>
      <c r="D5725" s="2" t="str">
        <f t="shared" si="88"/>
        <v>Error?</v>
      </c>
    </row>
    <row r="5726" spans="1:4" x14ac:dyDescent="0.2">
      <c r="A5726" s="5">
        <v>5665</v>
      </c>
      <c r="B5726" s="1832">
        <f>'Revenues 9-14'!G14</f>
        <v>5</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3202</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3207</v>
      </c>
      <c r="C5730" s="2" t="s">
        <v>569</v>
      </c>
      <c r="D5730" s="2" t="str">
        <f t="shared" si="88"/>
        <v>Error?</v>
      </c>
    </row>
    <row r="5731" spans="1:4" x14ac:dyDescent="0.2">
      <c r="A5731" s="5">
        <v>5670</v>
      </c>
      <c r="B5731" s="1832">
        <f>'Revenues 9-14'!G65</f>
        <v>836</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836</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28531</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1587</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1587</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117440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50000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50000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169027</v>
      </c>
      <c r="C5915" s="2" t="s">
        <v>569</v>
      </c>
      <c r="D5915" s="2" t="str">
        <f t="shared" si="91"/>
        <v>Error?</v>
      </c>
    </row>
    <row r="5916" spans="1:4" x14ac:dyDescent="0.2">
      <c r="A5916" s="5">
        <v>5855</v>
      </c>
      <c r="B5916" s="1832">
        <f>'Revenues 9-14'!I5</f>
        <v>24686</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24686</v>
      </c>
      <c r="C5918" s="2" t="s">
        <v>569</v>
      </c>
      <c r="D5918" s="2" t="str">
        <f t="shared" si="91"/>
        <v>Error?</v>
      </c>
    </row>
    <row r="5919" spans="1:4" x14ac:dyDescent="0.2">
      <c r="A5919" s="5">
        <v>5858</v>
      </c>
      <c r="B5919" s="1832">
        <f>'Revenues 9-14'!I14</f>
        <v>7</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7</v>
      </c>
      <c r="C5923" s="2" t="s">
        <v>569</v>
      </c>
      <c r="D5923" s="2" t="str">
        <f t="shared" si="91"/>
        <v>Error?</v>
      </c>
    </row>
    <row r="5924" spans="1:4" x14ac:dyDescent="0.2">
      <c r="A5924" s="5">
        <v>5863</v>
      </c>
      <c r="B5924" s="1832">
        <f>'Revenues 9-14'!I65</f>
        <v>4754</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4754</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29447</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13638</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13638</v>
      </c>
      <c r="C5987" s="2" t="s">
        <v>569</v>
      </c>
      <c r="D5987" s="2" t="str">
        <f t="shared" si="92"/>
        <v>Error?</v>
      </c>
    </row>
    <row r="5988" spans="1:4" x14ac:dyDescent="0.2">
      <c r="A5988" s="5">
        <v>5927</v>
      </c>
      <c r="B5988" s="1832">
        <f>'Revenues 9-14'!K14</f>
        <v>7</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7</v>
      </c>
      <c r="C5992" s="2" t="s">
        <v>569</v>
      </c>
      <c r="D5992" s="2" t="str">
        <f t="shared" si="92"/>
        <v>Error?</v>
      </c>
    </row>
    <row r="5993" spans="1:4" x14ac:dyDescent="0.2">
      <c r="A5993" s="5">
        <v>5932</v>
      </c>
      <c r="B5993" s="1832">
        <f>'Revenues 9-14'!K65</f>
        <v>1086</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1086</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14731</v>
      </c>
      <c r="C6023" s="2" t="s">
        <v>569</v>
      </c>
      <c r="D6023" s="2" t="str">
        <f t="shared" si="93"/>
        <v>Error?</v>
      </c>
    </row>
    <row r="6024" spans="1:5" x14ac:dyDescent="0.2">
      <c r="A6024" s="5">
        <v>5963</v>
      </c>
      <c r="B6024" s="1832">
        <f>'Revenues 9-14'!G109</f>
        <v>28531</v>
      </c>
      <c r="C6024" s="2" t="s">
        <v>569</v>
      </c>
      <c r="D6024" s="2" t="str">
        <f t="shared" si="93"/>
        <v>Error?</v>
      </c>
    </row>
    <row r="6025" spans="1:5" x14ac:dyDescent="0.2">
      <c r="A6025" s="5">
        <v>5964</v>
      </c>
      <c r="B6025" s="1832">
        <f>'Revenues 9-14'!H109</f>
        <v>119027</v>
      </c>
      <c r="C6025" s="2" t="s">
        <v>569</v>
      </c>
      <c r="D6025" s="2" t="str">
        <f t="shared" si="93"/>
        <v>Error?</v>
      </c>
    </row>
    <row r="6026" spans="1:5" x14ac:dyDescent="0.2">
      <c r="A6026" s="5">
        <v>5965</v>
      </c>
      <c r="B6026" s="1832">
        <f>'Revenues 9-14'!I109</f>
        <v>29447</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14731</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0</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6816</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212.9</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15374</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382</v>
      </c>
      <c r="D6123" s="2" t="str">
        <f t="shared" si="94"/>
        <v>Error?</v>
      </c>
      <c r="E6123" s="2" t="s">
        <v>189</v>
      </c>
    </row>
    <row r="6124" spans="1:5" x14ac:dyDescent="0.2">
      <c r="A6124">
        <v>6063</v>
      </c>
      <c r="B6124" s="1832">
        <f>'Assets-Liab 5-6'!J13</f>
        <v>171030</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171030</v>
      </c>
      <c r="D6215" s="2" t="str">
        <f t="shared" si="96"/>
        <v>Error?</v>
      </c>
      <c r="E6215" s="2" t="s">
        <v>189</v>
      </c>
    </row>
    <row r="6216" spans="1:5" x14ac:dyDescent="0.2">
      <c r="A6216">
        <v>6155</v>
      </c>
      <c r="B6216" s="1832">
        <f>'Assets-Liab 5-6'!J41</f>
        <v>171030</v>
      </c>
      <c r="D6216" s="2" t="str">
        <f t="shared" si="96"/>
        <v>Error?</v>
      </c>
      <c r="E6216" s="2" t="s">
        <v>189</v>
      </c>
    </row>
    <row r="6217" spans="1:5" x14ac:dyDescent="0.2">
      <c r="A6217">
        <v>6156</v>
      </c>
      <c r="B6217" s="1832">
        <f>'Assets-Liab 5-6'!J4</f>
        <v>170648</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194646</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194646</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194646</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213030</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213030</v>
      </c>
      <c r="D6229" s="2" t="str">
        <f t="shared" si="96"/>
        <v>Error?</v>
      </c>
      <c r="E6229" s="2" t="s">
        <v>189</v>
      </c>
    </row>
    <row r="6230" spans="1:5" x14ac:dyDescent="0.2">
      <c r="A6230">
        <v>6169</v>
      </c>
      <c r="B6230" s="1832">
        <f>'Acct Summary 7-8'!J20</f>
        <v>-18384</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-18384</v>
      </c>
      <c r="D6263" s="2" t="str">
        <f t="shared" si="96"/>
        <v>Error?</v>
      </c>
      <c r="E6263" s="2" t="s">
        <v>189</v>
      </c>
    </row>
    <row r="6264" spans="1:5" x14ac:dyDescent="0.2">
      <c r="A6264">
        <v>6203</v>
      </c>
      <c r="B6264" s="1832">
        <f>'Acct Summary 7-8'!J79</f>
        <v>189414</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171030</v>
      </c>
      <c r="D6266" s="2" t="str">
        <f t="shared" si="96"/>
        <v>Error?</v>
      </c>
      <c r="E6266" s="2" t="s">
        <v>189</v>
      </c>
    </row>
    <row r="6267" spans="1:5" x14ac:dyDescent="0.2">
      <c r="A6267">
        <v>6206</v>
      </c>
      <c r="B6267" s="1832">
        <f>'Acct Summary 7-8'!C82</f>
        <v>210219</v>
      </c>
      <c r="D6267" s="2" t="str">
        <f t="shared" si="96"/>
        <v>Error?</v>
      </c>
      <c r="E6267" s="2" t="s">
        <v>189</v>
      </c>
    </row>
    <row r="6268" spans="1:5" x14ac:dyDescent="0.2">
      <c r="A6268">
        <v>6207</v>
      </c>
      <c r="B6268" s="1832">
        <f>'Acct Summary 7-8'!D82</f>
        <v>31333</v>
      </c>
      <c r="D6268" s="2" t="str">
        <f t="shared" si="96"/>
        <v>Error?</v>
      </c>
      <c r="E6268" s="2" t="s">
        <v>189</v>
      </c>
    </row>
    <row r="6269" spans="1:5" x14ac:dyDescent="0.2">
      <c r="A6269">
        <v>6208</v>
      </c>
      <c r="B6269" s="1832">
        <f>'Acct Summary 7-8'!E82</f>
        <v>3934</v>
      </c>
      <c r="D6269" s="2" t="str">
        <f t="shared" si="96"/>
        <v>Error?</v>
      </c>
      <c r="E6269" s="2" t="s">
        <v>189</v>
      </c>
    </row>
    <row r="6270" spans="1:5" x14ac:dyDescent="0.2">
      <c r="A6270">
        <v>6209</v>
      </c>
      <c r="B6270" s="1832">
        <f>'Acct Summary 7-8'!F82</f>
        <v>123191</v>
      </c>
      <c r="D6270" s="2" t="str">
        <f t="shared" si="96"/>
        <v>Error?</v>
      </c>
      <c r="E6270" s="2" t="s">
        <v>189</v>
      </c>
    </row>
    <row r="6271" spans="1:5" x14ac:dyDescent="0.2">
      <c r="A6271">
        <v>6210</v>
      </c>
      <c r="B6271" s="1832">
        <f>'Acct Summary 7-8'!G82</f>
        <v>-29081</v>
      </c>
      <c r="D6271" s="2" t="str">
        <f t="shared" ref="D6271:D6334" si="97">IF(ISBLANK(B6271),"OK",IF(A6271-B6271=0,"OK","Error?"))</f>
        <v>Error?</v>
      </c>
      <c r="E6271" s="2" t="s">
        <v>189</v>
      </c>
    </row>
    <row r="6272" spans="1:5" x14ac:dyDescent="0.2">
      <c r="A6272">
        <v>6211</v>
      </c>
      <c r="B6272" s="1832">
        <f>'Acct Summary 7-8'!H82</f>
        <v>-10019</v>
      </c>
      <c r="D6272" s="2" t="str">
        <f t="shared" si="97"/>
        <v>Error?</v>
      </c>
      <c r="E6272" s="2" t="s">
        <v>189</v>
      </c>
    </row>
    <row r="6273" spans="1:5" x14ac:dyDescent="0.2">
      <c r="A6273">
        <v>6212</v>
      </c>
      <c r="B6273" s="1832">
        <f>'Acct Summary 7-8'!I82</f>
        <v>-2221</v>
      </c>
      <c r="D6273" s="2" t="str">
        <f t="shared" si="97"/>
        <v>Error?</v>
      </c>
      <c r="E6273" s="2" t="s">
        <v>189</v>
      </c>
    </row>
    <row r="6274" spans="1:5" x14ac:dyDescent="0.2">
      <c r="A6274">
        <v>6213</v>
      </c>
      <c r="B6274" s="1832">
        <f>'Acct Summary 7-8'!J82</f>
        <v>-18384</v>
      </c>
      <c r="D6274" s="2" t="str">
        <f t="shared" si="97"/>
        <v>Error?</v>
      </c>
      <c r="E6274" s="2" t="s">
        <v>189</v>
      </c>
    </row>
    <row r="6275" spans="1:5" x14ac:dyDescent="0.2">
      <c r="A6275">
        <v>6214</v>
      </c>
      <c r="B6275" s="1832">
        <f>'Acct Summary 7-8'!K82</f>
        <v>-5099</v>
      </c>
      <c r="D6275" s="2" t="str">
        <f t="shared" si="97"/>
        <v>Error?</v>
      </c>
      <c r="E6275" s="2" t="s">
        <v>189</v>
      </c>
    </row>
    <row r="6276" spans="1:5" x14ac:dyDescent="0.2">
      <c r="A6276">
        <v>6215</v>
      </c>
      <c r="B6276" s="1832">
        <f>'Acct Summary 7-8'!C83</f>
        <v>0.17014989158174104</v>
      </c>
      <c r="D6276" s="2" t="str">
        <f t="shared" si="97"/>
        <v>Error?</v>
      </c>
      <c r="E6276" s="2" t="s">
        <v>189</v>
      </c>
    </row>
    <row r="6277" spans="1:5" x14ac:dyDescent="0.2">
      <c r="A6277">
        <v>6216</v>
      </c>
      <c r="B6277" s="1832">
        <f>'Acct Summary 7-8'!D83</f>
        <v>9.9008430552220125E-2</v>
      </c>
      <c r="D6277" s="2" t="str">
        <f t="shared" si="97"/>
        <v>Error?</v>
      </c>
      <c r="E6277" s="2" t="s">
        <v>189</v>
      </c>
    </row>
    <row r="6278" spans="1:5" x14ac:dyDescent="0.2">
      <c r="A6278">
        <v>6217</v>
      </c>
      <c r="B6278" s="1832">
        <f>'Acct Summary 7-8'!E83</f>
        <v>2.8160746753711576E-2</v>
      </c>
      <c r="D6278" s="2" t="str">
        <f t="shared" si="97"/>
        <v>Error?</v>
      </c>
      <c r="E6278" s="2" t="s">
        <v>189</v>
      </c>
    </row>
    <row r="6279" spans="1:5" x14ac:dyDescent="0.2">
      <c r="A6279">
        <v>6218</v>
      </c>
      <c r="B6279" s="1832">
        <f>'Acct Summary 7-8'!F83</f>
        <v>0.44974335010258693</v>
      </c>
      <c r="D6279" s="2" t="str">
        <f t="shared" si="97"/>
        <v>Error?</v>
      </c>
      <c r="E6279" s="2" t="s">
        <v>189</v>
      </c>
    </row>
    <row r="6280" spans="1:5" x14ac:dyDescent="0.2">
      <c r="A6280">
        <v>6219</v>
      </c>
      <c r="B6280" s="1832">
        <f>'Acct Summary 7-8'!G83</f>
        <v>-0.29438381956957466</v>
      </c>
      <c r="D6280" s="2" t="str">
        <f t="shared" si="97"/>
        <v>Error?</v>
      </c>
      <c r="E6280" s="2" t="s">
        <v>189</v>
      </c>
    </row>
    <row r="6281" spans="1:5" x14ac:dyDescent="0.2">
      <c r="A6281">
        <v>6220</v>
      </c>
      <c r="B6281" s="1832">
        <f>'Acct Summary 7-8'!H83</f>
        <v>-3.4965205798800872E-2</v>
      </c>
      <c r="D6281" s="2" t="str">
        <f t="shared" si="97"/>
        <v>Error?</v>
      </c>
      <c r="E6281" s="2" t="s">
        <v>189</v>
      </c>
    </row>
    <row r="6282" spans="1:5" x14ac:dyDescent="0.2">
      <c r="A6282">
        <v>6221</v>
      </c>
      <c r="B6282" s="1832">
        <f>'Acct Summary 7-8'!I83</f>
        <v>-3.7400268756546309E-3</v>
      </c>
      <c r="D6282" s="2" t="str">
        <f t="shared" si="97"/>
        <v>Error?</v>
      </c>
      <c r="E6282" s="2" t="s">
        <v>189</v>
      </c>
    </row>
    <row r="6283" spans="1:5" x14ac:dyDescent="0.2">
      <c r="A6283">
        <v>6222</v>
      </c>
      <c r="B6283" s="1832">
        <f>'Acct Summary 7-8'!J83</f>
        <v>-0.10748991405016664</v>
      </c>
      <c r="D6283" s="2" t="str">
        <f t="shared" si="97"/>
        <v>Error?</v>
      </c>
      <c r="E6283" s="2" t="s">
        <v>189</v>
      </c>
    </row>
    <row r="6284" spans="1:5" x14ac:dyDescent="0.2">
      <c r="A6284">
        <v>6223</v>
      </c>
      <c r="B6284" s="1832">
        <f>'Acct Summary 7-8'!K83</f>
        <v>-3.459106697058504E-2</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192658</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192658</v>
      </c>
      <c r="D6301" s="2" t="str">
        <f t="shared" si="97"/>
        <v>Error?</v>
      </c>
      <c r="E6301" s="2" t="s">
        <v>189</v>
      </c>
    </row>
    <row r="6302" spans="1:5" x14ac:dyDescent="0.2">
      <c r="A6302">
        <v>6241</v>
      </c>
      <c r="B6302" s="1832">
        <f>'Revenues 9-14'!J14</f>
        <v>57</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57</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1610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1610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321</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321</v>
      </c>
      <c r="D6351" s="2" t="str">
        <f t="shared" si="98"/>
        <v>Error?</v>
      </c>
      <c r="E6351" s="2" t="s">
        <v>189</v>
      </c>
    </row>
    <row r="6352" spans="1:5" x14ac:dyDescent="0.2">
      <c r="A6352">
        <v>6291</v>
      </c>
      <c r="B6352" s="1832">
        <f>'Revenues 9-14'!J109</f>
        <v>194646</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230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122945</v>
      </c>
      <c r="D6880" s="2" t="str">
        <f t="shared" si="106"/>
        <v>Error?</v>
      </c>
    </row>
    <row r="6881" spans="1:4" x14ac:dyDescent="0.2">
      <c r="A6881">
        <v>6820</v>
      </c>
      <c r="B6881" s="1832">
        <f>'Expenditures 15-22'!K22</f>
        <v>122945</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213030</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194646</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11849</v>
      </c>
      <c r="D7093" s="2" t="str">
        <f t="shared" si="109"/>
        <v>Error?</v>
      </c>
    </row>
    <row r="7094" spans="1:4" x14ac:dyDescent="0.2">
      <c r="A7094">
        <v>7033</v>
      </c>
      <c r="B7094" s="1832">
        <f>'Expenditures 15-22'!K254</f>
        <v>11849</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16705</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16705</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878</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878</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755</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755</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108861</v>
      </c>
      <c r="D7172" s="2" t="str">
        <f t="shared" si="111"/>
        <v>Error?</v>
      </c>
    </row>
    <row r="7173" spans="1:4" x14ac:dyDescent="0.2">
      <c r="A7173">
        <v>7112</v>
      </c>
      <c r="B7173" s="1832">
        <f>'Expenditures 15-22'!D325</f>
        <v>25982</v>
      </c>
      <c r="D7173" s="2" t="str">
        <f t="shared" si="111"/>
        <v>Error?</v>
      </c>
    </row>
    <row r="7174" spans="1:4" x14ac:dyDescent="0.2">
      <c r="A7174">
        <v>7113</v>
      </c>
      <c r="B7174" s="1832">
        <f>'Expenditures 15-22'!E325</f>
        <v>6898</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141741</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1431</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1431</v>
      </c>
      <c r="D7198" s="2" t="str">
        <f t="shared" si="111"/>
        <v>Error?</v>
      </c>
    </row>
    <row r="7199" spans="1:4" x14ac:dyDescent="0.2">
      <c r="A7199">
        <v>7138</v>
      </c>
      <c r="B7199" s="1832">
        <f>'Expenditures 15-22'!C330</f>
        <v>108861</v>
      </c>
      <c r="D7199" s="2" t="str">
        <f t="shared" si="111"/>
        <v>Error?</v>
      </c>
    </row>
    <row r="7200" spans="1:4" x14ac:dyDescent="0.2">
      <c r="A7200">
        <v>7139</v>
      </c>
      <c r="B7200" s="1832">
        <f>'Expenditures 15-22'!D330</f>
        <v>25982</v>
      </c>
      <c r="D7200" s="2" t="str">
        <f t="shared" si="111"/>
        <v>Error?</v>
      </c>
    </row>
    <row r="7201" spans="1:4" x14ac:dyDescent="0.2">
      <c r="A7201">
        <v>7140</v>
      </c>
      <c r="B7201" s="1832">
        <f>'Expenditures 15-22'!E330</f>
        <v>78187</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213030</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108861</v>
      </c>
      <c r="D7216" s="2" t="str">
        <f t="shared" si="111"/>
        <v>Error?</v>
      </c>
    </row>
    <row r="7217" spans="1:4" x14ac:dyDescent="0.2">
      <c r="A7217">
        <v>7156</v>
      </c>
      <c r="B7217" s="1832">
        <f>'Expenditures 15-22'!D342</f>
        <v>25982</v>
      </c>
      <c r="D7217" s="2" t="str">
        <f t="shared" si="111"/>
        <v>Error?</v>
      </c>
    </row>
    <row r="7218" spans="1:4" x14ac:dyDescent="0.2">
      <c r="A7218">
        <v>7157</v>
      </c>
      <c r="B7218" s="1832">
        <f>'Expenditures 15-22'!E342</f>
        <v>78187</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213030</v>
      </c>
      <c r="D7224" s="2" t="str">
        <f t="shared" si="111"/>
        <v>Error?</v>
      </c>
    </row>
    <row r="7225" spans="1:4" x14ac:dyDescent="0.2">
      <c r="A7225">
        <v>7164</v>
      </c>
      <c r="B7225" s="1832">
        <f>'Expenditures 15-22'!K343</f>
        <v>-18384</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103864</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51520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51520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50000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296561</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1587</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117440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119027</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9896</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179046</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179046</v>
      </c>
      <c r="D7730" s="2" t="str">
        <f t="shared" si="126"/>
        <v>Error?</v>
      </c>
      <c r="E7730" s="2" t="s">
        <v>822</v>
      </c>
    </row>
    <row r="7731" spans="1:6" x14ac:dyDescent="0.2">
      <c r="A7731">
        <v>7670</v>
      </c>
      <c r="B7731" s="1832">
        <f>'Revenues 9-14'!H103</f>
        <v>117440</v>
      </c>
      <c r="D7731" s="2" t="str">
        <f t="shared" si="126"/>
        <v>Error?</v>
      </c>
      <c r="E7731" s="2" t="s">
        <v>822</v>
      </c>
    </row>
    <row r="7732" spans="1:6" x14ac:dyDescent="0.2">
      <c r="A7732">
        <v>7671</v>
      </c>
      <c r="B7732" s="1832">
        <f>'Rest Tax Levies-Tort Im 25'!J24</f>
        <v>236542</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236542</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150000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150000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1</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1</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1777800</v>
      </c>
      <c r="D7817" s="2" t="str">
        <f t="shared" si="128"/>
        <v>Error?</v>
      </c>
      <c r="E7817" s="4" t="s">
        <v>1966</v>
      </c>
    </row>
    <row r="7818" spans="1:5" x14ac:dyDescent="0.2">
      <c r="A7818">
        <v>7757</v>
      </c>
      <c r="B7818" s="1832">
        <f>'PCTC-OEPP 27-28'!F172</f>
        <v>164586.64000000001</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-8403</v>
      </c>
      <c r="D7820" s="2" t="str">
        <f t="shared" si="128"/>
        <v>Error?</v>
      </c>
    </row>
    <row r="7821" spans="1:5" x14ac:dyDescent="0.2">
      <c r="A7821">
        <v>7760</v>
      </c>
      <c r="B7821" s="1832">
        <f>'ICR Computation 30'!G40</f>
        <v>-8403</v>
      </c>
      <c r="D7821" s="2" t="str">
        <f t="shared" si="128"/>
        <v>Error?</v>
      </c>
    </row>
    <row r="7822" spans="1:5" x14ac:dyDescent="0.2">
      <c r="A7822" s="1">
        <v>7761</v>
      </c>
      <c r="B7822" s="1832">
        <f>'PCTC-OEPP 27-28'!F14</f>
        <v>2981945</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1120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442946</v>
      </c>
      <c r="D7834" s="2" t="str">
        <f t="shared" si="129"/>
        <v>Error?</v>
      </c>
      <c r="E7834" s="4" t="s">
        <v>1998</v>
      </c>
    </row>
    <row r="7835" spans="1:5" x14ac:dyDescent="0.2">
      <c r="A7835">
        <v>7774</v>
      </c>
      <c r="B7835" s="1832">
        <f>'PCTC-OEPP 27-28'!F78</f>
        <v>2538999</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11925.782057303899</v>
      </c>
      <c r="D7837" s="2" t="str">
        <f t="shared" si="129"/>
        <v>Error?</v>
      </c>
      <c r="E7837" s="4" t="s">
        <v>1998</v>
      </c>
    </row>
    <row r="7838" spans="1:5" x14ac:dyDescent="0.2">
      <c r="A7838">
        <v>7777</v>
      </c>
      <c r="B7838" s="1832">
        <f>'PCTC-OEPP 27-28'!F96</f>
        <v>5161</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17273</v>
      </c>
      <c r="D7842" s="2" t="str">
        <f t="shared" si="129"/>
        <v>Error?</v>
      </c>
      <c r="E7842" s="4" t="s">
        <v>1998</v>
      </c>
    </row>
    <row r="7843" spans="1:5" x14ac:dyDescent="0.2">
      <c r="A7843">
        <v>7782</v>
      </c>
      <c r="B7843" s="1832">
        <f>'PCTC-OEPP 27-28'!F107</f>
        <v>230</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134676</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13172</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25913</v>
      </c>
      <c r="D7858" s="2" t="str">
        <f t="shared" si="129"/>
        <v>Error?</v>
      </c>
      <c r="E7858" s="4" t="s">
        <v>1998</v>
      </c>
    </row>
    <row r="7859" spans="1:5" x14ac:dyDescent="0.2">
      <c r="A7859">
        <v>7798</v>
      </c>
      <c r="B7859" s="1832">
        <f>'PCTC-OEPP 27-28'!F127</f>
        <v>146012</v>
      </c>
      <c r="D7859" s="2" t="str">
        <f t="shared" si="129"/>
        <v>Error?</v>
      </c>
      <c r="E7859" s="4" t="s">
        <v>1998</v>
      </c>
    </row>
    <row r="7860" spans="1:5" x14ac:dyDescent="0.2">
      <c r="A7860">
        <v>7799</v>
      </c>
      <c r="B7860" s="1832">
        <f>'PCTC-OEPP 27-28'!F128</f>
        <v>10231</v>
      </c>
      <c r="D7860" s="2" t="str">
        <f t="shared" si="129"/>
        <v>Error?</v>
      </c>
      <c r="E7860" s="4" t="s">
        <v>1998</v>
      </c>
    </row>
    <row r="7861" spans="1:5" x14ac:dyDescent="0.2">
      <c r="A7861">
        <v>7800</v>
      </c>
      <c r="B7861" s="1832">
        <f>'PCTC-OEPP 27-28'!F129</f>
        <v>0</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12969</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4083</v>
      </c>
      <c r="D7874" s="2" t="str">
        <f t="shared" si="129"/>
        <v>Error?</v>
      </c>
      <c r="E7874" s="4" t="s">
        <v>1998</v>
      </c>
    </row>
    <row r="7875" spans="1:5" x14ac:dyDescent="0.2">
      <c r="A7875">
        <v>7814</v>
      </c>
      <c r="B7875" s="1832">
        <f>'PCTC-OEPP 27-28'!F170</f>
        <v>17401</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561556.64</v>
      </c>
      <c r="D7877" s="2" t="str">
        <f t="shared" si="129"/>
        <v>Error?</v>
      </c>
      <c r="E7877" s="4" t="s">
        <v>1998</v>
      </c>
    </row>
    <row r="7878" spans="1:5" x14ac:dyDescent="0.2">
      <c r="A7878">
        <v>7817</v>
      </c>
      <c r="B7878" s="1832">
        <f>'PCTC-OEPP 27-28'!F176</f>
        <v>1977442.3599999999</v>
      </c>
      <c r="D7878" s="2" t="str">
        <f t="shared" si="129"/>
        <v>Error?</v>
      </c>
      <c r="E7878" s="4" t="s">
        <v>1998</v>
      </c>
    </row>
    <row r="7879" spans="1:5" x14ac:dyDescent="0.2">
      <c r="A7879">
        <v>7818</v>
      </c>
      <c r="B7879" s="1832">
        <f>'PCTC-OEPP 27-28'!F178</f>
        <v>2081306.3599999999</v>
      </c>
      <c r="D7879" s="2" t="str">
        <f t="shared" si="129"/>
        <v>Error?</v>
      </c>
      <c r="E7879" s="4" t="s">
        <v>1998</v>
      </c>
    </row>
    <row r="7880" spans="1:5" x14ac:dyDescent="0.2">
      <c r="A7880">
        <v>7819</v>
      </c>
      <c r="B7880" s="1832">
        <f>'PCTC-OEPP 27-28'!F180</f>
        <v>9775.9810239549079</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82" t="s">
        <v>1181</v>
      </c>
      <c r="B2" s="2582"/>
      <c r="C2" s="2582"/>
      <c r="D2" s="2582"/>
      <c r="E2" s="2582"/>
      <c r="F2" s="2582"/>
      <c r="G2" s="2582"/>
      <c r="H2" s="2582"/>
      <c r="I2" s="2582"/>
      <c r="J2" s="2582"/>
      <c r="K2" s="2582"/>
      <c r="L2" s="2582"/>
    </row>
    <row r="3" spans="1:29" ht="13.5" customHeight="1" x14ac:dyDescent="0.2">
      <c r="A3" s="2568" t="s">
        <v>1180</v>
      </c>
      <c r="B3" s="2568"/>
      <c r="C3" s="2568"/>
      <c r="D3" s="2568"/>
      <c r="E3" s="2568"/>
      <c r="F3" s="2568"/>
      <c r="G3" s="2568"/>
      <c r="H3" s="2568"/>
      <c r="I3" s="2568"/>
      <c r="J3" s="2568"/>
      <c r="K3" s="2568"/>
      <c r="L3" s="2568"/>
    </row>
    <row r="4" spans="1:29" ht="13.5" customHeight="1" x14ac:dyDescent="0.2">
      <c r="A4" s="2599" t="str">
        <f>"Year Ending June 30, "&amp;'AFR20'!E2</f>
        <v>Year Ending June 30, 2020</v>
      </c>
      <c r="B4" s="2600"/>
      <c r="C4" s="2600"/>
      <c r="D4" s="2600"/>
      <c r="E4" s="2600"/>
      <c r="F4" s="2600"/>
      <c r="G4" s="2600"/>
      <c r="H4" s="2600"/>
      <c r="I4" s="2600"/>
      <c r="J4" s="2600"/>
      <c r="K4" s="2600"/>
      <c r="L4" s="2600"/>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62" t="str">
        <f>COVER!A17</f>
        <v xml:space="preserve">   Montmorency CCSD 145</v>
      </c>
      <c r="B7" s="2563"/>
      <c r="C7" s="2563"/>
      <c r="D7" s="2601"/>
      <c r="E7" s="2602">
        <f>COVER!A13</f>
        <v>47098145004</v>
      </c>
      <c r="F7" s="2603"/>
      <c r="G7" s="2569" t="str">
        <f>COVER!T23</f>
        <v>066-005027</v>
      </c>
      <c r="H7" s="2570"/>
      <c r="I7" s="2570"/>
      <c r="J7" s="2570"/>
      <c r="K7" s="2570"/>
      <c r="L7" s="2571"/>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72"/>
      <c r="B9" s="2573"/>
      <c r="C9" s="2573"/>
      <c r="D9" s="2573"/>
      <c r="E9" s="2573"/>
      <c r="F9" s="2574"/>
      <c r="G9" s="2575" t="str">
        <f>COVER!T13</f>
        <v>Gorenz and Associates, Ltd.</v>
      </c>
      <c r="H9" s="2576"/>
      <c r="I9" s="2576"/>
      <c r="J9" s="2576"/>
      <c r="K9" s="2576"/>
      <c r="L9" s="2577"/>
    </row>
    <row r="10" spans="1:29" ht="13.5" customHeight="1" x14ac:dyDescent="0.2">
      <c r="A10" s="2559" t="str">
        <f>COVER!A38</f>
        <v>Alex Moore</v>
      </c>
      <c r="B10" s="2560"/>
      <c r="C10" s="2560"/>
      <c r="D10" s="2560"/>
      <c r="E10" s="2560"/>
      <c r="F10" s="2561"/>
      <c r="G10" s="2575" t="str">
        <f>COVER!T17</f>
        <v>4200 N Knoxville Ave.</v>
      </c>
      <c r="H10" s="2588"/>
      <c r="I10" s="2588"/>
      <c r="J10" s="2588"/>
      <c r="K10" s="2588"/>
      <c r="L10" s="2589"/>
    </row>
    <row r="11" spans="1:29" ht="13.5" customHeight="1" x14ac:dyDescent="0.2">
      <c r="A11" s="963" t="s">
        <v>1502</v>
      </c>
      <c r="B11" s="964"/>
      <c r="C11" s="965"/>
      <c r="D11" s="970"/>
      <c r="E11" s="965"/>
      <c r="F11" s="969"/>
      <c r="G11" s="2575" t="str">
        <f>COVER!T19</f>
        <v>Peoria</v>
      </c>
      <c r="H11" s="2588"/>
      <c r="I11" s="2588"/>
      <c r="J11" s="2588"/>
      <c r="K11" s="2588"/>
      <c r="L11" s="2589"/>
    </row>
    <row r="12" spans="1:29" ht="13.5" customHeight="1" x14ac:dyDescent="0.2">
      <c r="A12" s="2593" t="s">
        <v>1501</v>
      </c>
      <c r="B12" s="2594"/>
      <c r="C12" s="2594"/>
      <c r="D12" s="2594"/>
      <c r="E12" s="2594"/>
      <c r="F12" s="2595"/>
      <c r="G12" s="2590"/>
      <c r="H12" s="2591"/>
      <c r="I12" s="2591"/>
      <c r="J12" s="2591"/>
      <c r="K12" s="2591"/>
      <c r="L12" s="2592"/>
    </row>
    <row r="13" spans="1:29" ht="13.5" customHeight="1" x14ac:dyDescent="0.2">
      <c r="A13" s="2575"/>
      <c r="B13" s="2588"/>
      <c r="C13" s="2588"/>
      <c r="D13" s="2588"/>
      <c r="E13" s="2588"/>
      <c r="F13" s="2589"/>
      <c r="G13" s="2583" t="s">
        <v>1503</v>
      </c>
      <c r="H13" s="2584"/>
      <c r="I13" s="2596" t="str">
        <f>COVER!T25</f>
        <v>jhohulin@gorenzcpa.com</v>
      </c>
      <c r="J13" s="2597"/>
      <c r="K13" s="2597"/>
      <c r="L13" s="2598"/>
    </row>
    <row r="14" spans="1:29" ht="13.5" customHeight="1" x14ac:dyDescent="0.2">
      <c r="A14" s="2575" t="str">
        <f>COVER!A19</f>
        <v>9415 Hoover Road</v>
      </c>
      <c r="B14" s="2588"/>
      <c r="C14" s="2588"/>
      <c r="D14" s="2588"/>
      <c r="E14" s="2588"/>
      <c r="F14" s="2589"/>
      <c r="G14" s="974" t="s">
        <v>1175</v>
      </c>
      <c r="H14" s="972"/>
      <c r="I14" s="972"/>
      <c r="J14" s="972"/>
      <c r="K14" s="972"/>
      <c r="L14" s="973"/>
    </row>
    <row r="15" spans="1:29" ht="13.5" customHeight="1" x14ac:dyDescent="0.2">
      <c r="A15" s="2575" t="str">
        <f>COVER!A21</f>
        <v>Rock Falls</v>
      </c>
      <c r="B15" s="2588"/>
      <c r="C15" s="2588"/>
      <c r="D15" s="2588"/>
      <c r="E15" s="2588"/>
      <c r="F15" s="2589"/>
      <c r="G15" s="2585" t="str">
        <f>COVER!T15</f>
        <v>Jason A. Hohulin, CPA</v>
      </c>
      <c r="H15" s="2586"/>
      <c r="I15" s="2586"/>
      <c r="J15" s="2586"/>
      <c r="K15" s="2586"/>
      <c r="L15" s="2587"/>
    </row>
    <row r="16" spans="1:29" ht="12.2" customHeight="1" x14ac:dyDescent="0.2">
      <c r="A16" s="2565">
        <f>COVER!A25</f>
        <v>61071</v>
      </c>
      <c r="B16" s="2566"/>
      <c r="C16" s="2566"/>
      <c r="D16" s="2566"/>
      <c r="E16" s="2566"/>
      <c r="F16" s="2567"/>
      <c r="G16" s="2578"/>
      <c r="H16" s="2579"/>
      <c r="I16" s="2579"/>
      <c r="J16" s="2579"/>
      <c r="K16" s="2579"/>
      <c r="L16" s="2580"/>
    </row>
    <row r="17" spans="1:13" ht="12.2" customHeight="1" x14ac:dyDescent="0.2">
      <c r="A17" s="2581"/>
      <c r="B17" s="2566"/>
      <c r="C17" s="2566"/>
      <c r="D17" s="2566"/>
      <c r="E17" s="2566"/>
      <c r="F17" s="2567"/>
      <c r="G17" s="974" t="s">
        <v>1174</v>
      </c>
      <c r="H17" s="972"/>
      <c r="I17" s="972"/>
      <c r="J17" s="972"/>
      <c r="K17" s="976" t="s">
        <v>1173</v>
      </c>
      <c r="L17" s="969"/>
      <c r="M17" s="962"/>
    </row>
    <row r="18" spans="1:13" ht="12.2" customHeight="1" x14ac:dyDescent="0.2">
      <c r="A18" s="2559"/>
      <c r="B18" s="2560"/>
      <c r="C18" s="2560"/>
      <c r="D18" s="2560"/>
      <c r="E18" s="2560"/>
      <c r="F18" s="2561"/>
      <c r="G18" s="2562" t="str">
        <f>COVER!T21</f>
        <v>309-685-7621</v>
      </c>
      <c r="H18" s="2563"/>
      <c r="I18" s="2563"/>
      <c r="J18" s="2563"/>
      <c r="K18" s="2562" t="str">
        <f>COVER!X21</f>
        <v>309-685-4758</v>
      </c>
      <c r="L18" s="2564"/>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604" t="str">
        <f>'Single Audit Cover'!A7</f>
        <v xml:space="preserve">   Montmorency CCSD 145</v>
      </c>
      <c r="B1" s="2605"/>
      <c r="C1" s="2605"/>
      <c r="D1" s="2605"/>
    </row>
    <row r="2" spans="1:11" s="991" customFormat="1" ht="12.75" x14ac:dyDescent="0.2">
      <c r="A2" s="2606">
        <f>'Single Audit Cover'!E7</f>
        <v>47098145004</v>
      </c>
      <c r="B2" s="2607"/>
      <c r="C2" s="2607"/>
      <c r="D2" s="2607"/>
    </row>
    <row r="3" spans="1:11" s="991" customFormat="1" ht="12.75" x14ac:dyDescent="0.2">
      <c r="A3" s="2604" t="s">
        <v>1496</v>
      </c>
      <c r="B3" s="2605"/>
      <c r="C3" s="2605"/>
      <c r="D3" s="2605"/>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609" t="str">
        <f>'Single Audit Cover'!A7</f>
        <v xml:space="preserve">   Montmorency CCSD 145</v>
      </c>
      <c r="B1" s="2609"/>
      <c r="C1" s="2609"/>
      <c r="D1" s="2609"/>
      <c r="E1" s="2609"/>
    </row>
    <row r="2" spans="1:5" x14ac:dyDescent="0.2">
      <c r="A2" s="2610">
        <f>'Single Audit Cover'!E7</f>
        <v>47098145004</v>
      </c>
      <c r="B2" s="2610"/>
      <c r="C2" s="2610"/>
      <c r="D2" s="2610"/>
      <c r="E2" s="2610"/>
    </row>
    <row r="3" spans="1:5" ht="4.5" customHeight="1" x14ac:dyDescent="0.2"/>
    <row r="4" spans="1:5" x14ac:dyDescent="0.2">
      <c r="A4" s="2609" t="s">
        <v>1234</v>
      </c>
      <c r="B4" s="2609"/>
      <c r="C4" s="2609"/>
      <c r="D4" s="2609"/>
      <c r="E4" s="2609"/>
    </row>
    <row r="5" spans="1:5" x14ac:dyDescent="0.2">
      <c r="A5" s="2612" t="str">
        <f>'Single Audit Cover'!A4</f>
        <v>Year Ending June 30, 2020</v>
      </c>
      <c r="B5" s="2612"/>
      <c r="C5" s="2612"/>
      <c r="D5" s="2612"/>
      <c r="E5" s="2612"/>
    </row>
    <row r="6" spans="1:5" x14ac:dyDescent="0.2">
      <c r="A6" s="2609" t="s">
        <v>1233</v>
      </c>
      <c r="B6" s="2609"/>
      <c r="C6" s="2609"/>
      <c r="D6" s="2609"/>
      <c r="E6" s="2609"/>
    </row>
    <row r="8" spans="1:5" x14ac:dyDescent="0.2">
      <c r="A8" s="1036" t="s">
        <v>1232</v>
      </c>
    </row>
    <row r="10" spans="1:5" x14ac:dyDescent="0.2">
      <c r="A10" s="1037" t="s">
        <v>1231</v>
      </c>
      <c r="B10" s="1038" t="s">
        <v>1230</v>
      </c>
      <c r="C10" s="1038"/>
      <c r="D10" s="1039">
        <f>SUM('Acct Summary 7-8'!C7:K7)</f>
        <v>229781</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6816</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-17401</v>
      </c>
    </row>
    <row r="19" spans="1:4" ht="13.5" thickBot="1" x14ac:dyDescent="0.25">
      <c r="A19" s="1041" t="s">
        <v>1224</v>
      </c>
      <c r="D19" s="1042">
        <f>SUM(D10:D17)</f>
        <v>219196</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611"/>
      <c r="B24" s="2611"/>
      <c r="D24" s="1044"/>
    </row>
    <row r="25" spans="1:4" x14ac:dyDescent="0.2">
      <c r="A25" s="2608"/>
      <c r="B25" s="2608"/>
      <c r="D25" s="1044"/>
    </row>
    <row r="26" spans="1:4" x14ac:dyDescent="0.2">
      <c r="A26" s="2608"/>
      <c r="B26" s="2608"/>
      <c r="D26" s="1044"/>
    </row>
    <row r="27" spans="1:4" x14ac:dyDescent="0.2">
      <c r="A27" s="2608"/>
      <c r="B27" s="2608"/>
      <c r="D27" s="1044"/>
    </row>
    <row r="28" spans="1:4" x14ac:dyDescent="0.2">
      <c r="A28" s="2608"/>
      <c r="B28" s="2608"/>
      <c r="D28" s="1044"/>
    </row>
    <row r="29" spans="1:4" x14ac:dyDescent="0.2">
      <c r="A29" s="2608"/>
      <c r="B29" s="2608"/>
      <c r="D29" s="1044"/>
    </row>
    <row r="30" spans="1:4" x14ac:dyDescent="0.2">
      <c r="A30" s="2608"/>
      <c r="B30" s="2608"/>
      <c r="D30" s="1044"/>
    </row>
    <row r="32" spans="1:4" x14ac:dyDescent="0.2">
      <c r="A32" s="1036" t="s">
        <v>1222</v>
      </c>
      <c r="D32" s="1039">
        <f>SUM(D19:D30)</f>
        <v>219196</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608"/>
      <c r="B40" s="2608"/>
      <c r="D40" s="1044"/>
    </row>
    <row r="41" spans="1:4" x14ac:dyDescent="0.2">
      <c r="A41" s="2608"/>
      <c r="B41" s="2608"/>
      <c r="D41" s="1047"/>
    </row>
    <row r="42" spans="1:4" x14ac:dyDescent="0.2">
      <c r="A42" s="2608"/>
      <c r="B42" s="2608"/>
      <c r="D42" s="1047"/>
    </row>
    <row r="43" spans="1:4" x14ac:dyDescent="0.2">
      <c r="A43" s="2608"/>
      <c r="B43" s="2608"/>
      <c r="D43" s="1047"/>
    </row>
    <row r="44" spans="1:4" x14ac:dyDescent="0.2">
      <c r="A44" s="2608"/>
      <c r="B44" s="2608"/>
      <c r="D44" s="1047"/>
    </row>
    <row r="45" spans="1:4" x14ac:dyDescent="0.2">
      <c r="A45" s="2608"/>
      <c r="B45" s="2608"/>
      <c r="D45" s="1047"/>
    </row>
    <row r="47" spans="1:4" x14ac:dyDescent="0.2">
      <c r="B47" s="1048" t="s">
        <v>1216</v>
      </c>
      <c r="C47" s="1048"/>
      <c r="D47" s="1049">
        <f>SUM(D35:D45)</f>
        <v>0</v>
      </c>
    </row>
    <row r="49" spans="2:4" x14ac:dyDescent="0.2">
      <c r="B49" s="1048" t="s">
        <v>1215</v>
      </c>
      <c r="C49" s="1048"/>
      <c r="D49" s="1049">
        <f>D32-D47</f>
        <v>219196</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68" t="str">
        <f>'Single Audit Cover'!A7</f>
        <v xml:space="preserve">   Montmorency CCSD 145</v>
      </c>
      <c r="C1" s="2613"/>
      <c r="D1" s="2613"/>
      <c r="E1" s="2613"/>
      <c r="F1" s="2613"/>
      <c r="G1" s="2613"/>
      <c r="H1" s="2613"/>
      <c r="I1" s="2613"/>
      <c r="J1" s="2613"/>
      <c r="K1" s="2613"/>
      <c r="L1" s="2613"/>
      <c r="M1" s="2613"/>
    </row>
    <row r="2" spans="2:14" ht="15" x14ac:dyDescent="0.2">
      <c r="B2" s="2614">
        <f>'Single Audit Cover'!E7</f>
        <v>47098145004</v>
      </c>
      <c r="C2" s="2614"/>
      <c r="D2" s="2614"/>
      <c r="E2" s="2614"/>
      <c r="F2" s="2614"/>
      <c r="G2" s="2614"/>
      <c r="H2" s="2614"/>
      <c r="I2" s="2614"/>
      <c r="J2" s="2614"/>
      <c r="K2" s="2614"/>
      <c r="L2" s="2614"/>
      <c r="M2" s="2614"/>
      <c r="N2" s="1078"/>
    </row>
    <row r="3" spans="2:14" ht="15" x14ac:dyDescent="0.2">
      <c r="B3" s="2615" t="s">
        <v>1208</v>
      </c>
      <c r="C3" s="2615"/>
      <c r="D3" s="2615"/>
      <c r="E3" s="2615"/>
      <c r="F3" s="2615"/>
      <c r="G3" s="2615"/>
      <c r="H3" s="2615"/>
      <c r="I3" s="2615"/>
      <c r="J3" s="2615"/>
      <c r="K3" s="2615"/>
      <c r="L3" s="2615"/>
      <c r="M3" s="2615"/>
      <c r="N3" s="1078"/>
    </row>
    <row r="4" spans="2:14" ht="15" x14ac:dyDescent="0.2">
      <c r="B4" s="2616" t="str">
        <f>'Single Audit Cover'!A4</f>
        <v>Year Ending June 30, 2020</v>
      </c>
      <c r="C4" s="2616"/>
      <c r="D4" s="2616"/>
      <c r="E4" s="2616"/>
      <c r="F4" s="2616"/>
      <c r="G4" s="2616"/>
      <c r="H4" s="2616"/>
      <c r="I4" s="2616"/>
      <c r="J4" s="2616"/>
      <c r="K4" s="2616"/>
      <c r="L4" s="2616"/>
      <c r="M4" s="2616"/>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t="s">
        <v>2059</v>
      </c>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18" t="str">
        <f>'Single Audit Cover'!A7</f>
        <v xml:space="preserve">   Montmorency CCSD 145</v>
      </c>
      <c r="B1" s="2618"/>
      <c r="C1" s="2618"/>
      <c r="D1" s="2618"/>
      <c r="E1" s="2618"/>
      <c r="F1" s="2618"/>
    </row>
    <row r="2" spans="1:7" ht="13.5" customHeight="1" x14ac:dyDescent="0.2">
      <c r="A2" s="2614">
        <f>'Single Audit Cover'!E7</f>
        <v>47098145004</v>
      </c>
      <c r="B2" s="2614"/>
      <c r="C2" s="2614"/>
      <c r="D2" s="2614"/>
      <c r="E2" s="2614"/>
      <c r="F2" s="2614"/>
      <c r="G2" s="1051"/>
    </row>
    <row r="3" spans="1:7" ht="15.75" customHeight="1" x14ac:dyDescent="0.2">
      <c r="A3" s="2619" t="s">
        <v>1260</v>
      </c>
      <c r="B3" s="2619"/>
      <c r="C3" s="2619"/>
      <c r="D3" s="2619"/>
      <c r="E3" s="2619"/>
      <c r="F3" s="2619"/>
    </row>
    <row r="4" spans="1:7" ht="13.5" customHeight="1" x14ac:dyDescent="0.2">
      <c r="A4" s="2620" t="str">
        <f>'Single Audit Cover'!A4</f>
        <v>Year Ending June 30, 2020</v>
      </c>
      <c r="B4" s="2620"/>
      <c r="C4" s="2620"/>
      <c r="D4" s="2620"/>
      <c r="E4" s="2620"/>
      <c r="F4" s="2620"/>
    </row>
    <row r="5" spans="1:7" ht="8.25" customHeight="1" x14ac:dyDescent="0.2">
      <c r="C5" s="295"/>
      <c r="D5" s="295"/>
    </row>
    <row r="6" spans="1:7" ht="13.5" customHeight="1" x14ac:dyDescent="0.2">
      <c r="A6" s="1052" t="s">
        <v>1705</v>
      </c>
      <c r="C6" s="295"/>
      <c r="D6" s="295"/>
    </row>
    <row r="7" spans="1:7" ht="60.95" customHeight="1" x14ac:dyDescent="0.2">
      <c r="A7" s="2617" t="s">
        <v>1706</v>
      </c>
      <c r="B7" s="2617"/>
      <c r="C7" s="2617"/>
      <c r="D7" s="2617"/>
      <c r="E7" s="2617"/>
      <c r="F7" s="2617"/>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617" t="s">
        <v>1708</v>
      </c>
      <c r="B13" s="2617"/>
      <c r="C13" s="2617"/>
      <c r="D13" s="2617"/>
      <c r="E13" s="2617"/>
      <c r="F13" s="2617"/>
    </row>
    <row r="14" spans="1:7" ht="9.75" customHeight="1" x14ac:dyDescent="0.2">
      <c r="C14" s="1036"/>
      <c r="D14" s="1036"/>
    </row>
    <row r="15" spans="1:7" ht="13.5" customHeight="1" x14ac:dyDescent="0.2">
      <c r="C15" s="1476" t="s">
        <v>1259</v>
      </c>
      <c r="D15" s="2622" t="s">
        <v>1258</v>
      </c>
      <c r="E15" s="2622"/>
      <c r="F15" s="2622"/>
    </row>
    <row r="16" spans="1:7" ht="13.5" customHeight="1" x14ac:dyDescent="0.2">
      <c r="A16" s="1058"/>
      <c r="B16" s="1052" t="s">
        <v>1257</v>
      </c>
      <c r="C16" s="1476" t="s">
        <v>1256</v>
      </c>
      <c r="D16" s="2623" t="s">
        <v>1571</v>
      </c>
      <c r="E16" s="2623"/>
      <c r="F16" s="2623"/>
    </row>
    <row r="17" spans="1:6" ht="20.45" customHeight="1" x14ac:dyDescent="0.2">
      <c r="A17" s="1059"/>
      <c r="B17" s="1060"/>
      <c r="C17" s="1061"/>
      <c r="D17" s="2621"/>
      <c r="E17" s="2621"/>
      <c r="F17" s="2621"/>
    </row>
    <row r="18" spans="1:6" ht="20.65" customHeight="1" x14ac:dyDescent="0.2">
      <c r="A18" s="1059"/>
      <c r="B18" s="1060"/>
      <c r="C18" s="1061"/>
      <c r="D18" s="2621"/>
      <c r="E18" s="2621"/>
      <c r="F18" s="2621"/>
    </row>
    <row r="19" spans="1:6" ht="20.65" customHeight="1" x14ac:dyDescent="0.2">
      <c r="A19" s="1059"/>
      <c r="B19" s="1060"/>
      <c r="C19" s="1061"/>
      <c r="D19" s="2621"/>
      <c r="E19" s="2621"/>
      <c r="F19" s="2621"/>
    </row>
    <row r="20" spans="1:6" ht="20.65" customHeight="1" x14ac:dyDescent="0.2">
      <c r="A20" s="1059"/>
      <c r="B20" s="1060"/>
      <c r="C20" s="1061"/>
      <c r="D20" s="2621"/>
      <c r="E20" s="2621"/>
      <c r="F20" s="2621"/>
    </row>
    <row r="21" spans="1:6" ht="20.65" customHeight="1" x14ac:dyDescent="0.2">
      <c r="A21" s="1059"/>
      <c r="B21" s="1060"/>
      <c r="C21" s="1061"/>
      <c r="D21" s="2621"/>
      <c r="E21" s="2621"/>
      <c r="F21" s="2621"/>
    </row>
    <row r="22" spans="1:6" ht="20.65" customHeight="1" x14ac:dyDescent="0.2">
      <c r="A22" s="1059"/>
      <c r="B22" s="1060"/>
      <c r="C22" s="1061"/>
      <c r="D22" s="2621"/>
      <c r="E22" s="2621"/>
      <c r="F22" s="2621"/>
    </row>
    <row r="23" spans="1:6" ht="20.65" customHeight="1" x14ac:dyDescent="0.2">
      <c r="A23" s="1059"/>
      <c r="B23" s="1060"/>
      <c r="C23" s="1061"/>
      <c r="D23" s="2621"/>
      <c r="E23" s="2621"/>
      <c r="F23" s="2621"/>
    </row>
    <row r="24" spans="1:6" ht="20.65" customHeight="1" x14ac:dyDescent="0.2">
      <c r="A24" s="1059"/>
      <c r="B24" s="1060"/>
      <c r="C24" s="1061"/>
      <c r="D24" s="2621"/>
      <c r="E24" s="2621"/>
      <c r="F24" s="2621"/>
    </row>
    <row r="25" spans="1:6" ht="20.65" customHeight="1" x14ac:dyDescent="0.2">
      <c r="A25" s="1059"/>
      <c r="B25" s="1060"/>
      <c r="C25" s="1061"/>
      <c r="D25" s="2621"/>
      <c r="E25" s="2621"/>
      <c r="F25" s="2621"/>
    </row>
    <row r="26" spans="1:6" ht="20.65" customHeight="1" x14ac:dyDescent="0.2">
      <c r="A26" s="1059"/>
      <c r="B26" s="1060"/>
      <c r="C26" s="1061"/>
      <c r="D26" s="2621"/>
      <c r="E26" s="2621"/>
      <c r="F26" s="2621"/>
    </row>
    <row r="27" spans="1:6" ht="20.65" customHeight="1" x14ac:dyDescent="0.2">
      <c r="A27" s="1059"/>
      <c r="B27" s="1060"/>
      <c r="C27" s="1061"/>
      <c r="D27" s="2621"/>
      <c r="E27" s="2621"/>
      <c r="F27" s="2621"/>
    </row>
    <row r="28" spans="1:6" ht="20.65" customHeight="1" x14ac:dyDescent="0.2">
      <c r="A28" s="1059"/>
      <c r="B28" s="1060"/>
      <c r="C28" s="1061"/>
      <c r="D28" s="2621"/>
      <c r="E28" s="2621"/>
      <c r="F28" s="2621"/>
    </row>
    <row r="29" spans="1:6" ht="20.65" customHeight="1" x14ac:dyDescent="0.2">
      <c r="A29" s="1059"/>
      <c r="B29" s="1060"/>
      <c r="C29" s="1061"/>
      <c r="D29" s="2621"/>
      <c r="E29" s="2621"/>
      <c r="F29" s="2621"/>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625" t="s">
        <v>1709</v>
      </c>
      <c r="B32" s="2625"/>
      <c r="C32" s="2625"/>
      <c r="D32" s="2625"/>
      <c r="E32" s="2625"/>
      <c r="F32" s="2625"/>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626">
        <f>+C33+C34</f>
        <v>0</v>
      </c>
      <c r="F34" s="2627"/>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28" t="s">
        <v>1573</v>
      </c>
      <c r="C49" s="2628"/>
      <c r="D49" s="2628"/>
      <c r="E49" s="1168"/>
    </row>
    <row r="50" spans="1:5" s="1076" customFormat="1" ht="3.75" customHeight="1" x14ac:dyDescent="0.2">
      <c r="A50" s="1075"/>
      <c r="B50" s="1475"/>
      <c r="C50" s="1475"/>
      <c r="D50" s="1475"/>
      <c r="E50" s="1168"/>
    </row>
    <row r="51" spans="1:5" s="1076" customFormat="1" ht="20.25" customHeight="1" x14ac:dyDescent="0.2">
      <c r="A51" s="1077">
        <v>6</v>
      </c>
      <c r="B51" s="2624" t="s">
        <v>1534</v>
      </c>
      <c r="C51" s="2624"/>
      <c r="D51" s="2624"/>
    </row>
    <row r="52" spans="1:5" ht="14.25" customHeight="1" x14ac:dyDescent="0.2">
      <c r="A52" s="1077"/>
      <c r="B52" s="2624"/>
      <c r="C52" s="2624"/>
      <c r="D52" s="2624"/>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33" t="str">
        <f>'Single Audit Cover'!A7</f>
        <v xml:space="preserve">   Montmorency CCSD 145</v>
      </c>
      <c r="C1" s="2634"/>
      <c r="D1" s="2634"/>
      <c r="E1" s="2634"/>
      <c r="F1" s="2634"/>
      <c r="G1" s="2634"/>
      <c r="H1" s="2634"/>
      <c r="I1" s="2634"/>
      <c r="J1" s="1178"/>
    </row>
    <row r="2" spans="2:10" s="295" customFormat="1" ht="12.75" customHeight="1" x14ac:dyDescent="0.2">
      <c r="B2" s="2635">
        <f>'Single Audit Cover'!E7</f>
        <v>47098145004</v>
      </c>
      <c r="C2" s="2636"/>
      <c r="D2" s="2636"/>
      <c r="E2" s="2636"/>
      <c r="F2" s="2636"/>
      <c r="G2" s="2636"/>
      <c r="H2" s="2636"/>
      <c r="I2" s="2636"/>
      <c r="J2" s="1178"/>
    </row>
    <row r="3" spans="2:10" s="295" customFormat="1" ht="12.75" customHeight="1" x14ac:dyDescent="0.2">
      <c r="B3" s="2637" t="s">
        <v>1274</v>
      </c>
      <c r="C3" s="2638"/>
      <c r="D3" s="2638"/>
      <c r="E3" s="2638"/>
      <c r="F3" s="2638"/>
      <c r="G3" s="2638"/>
      <c r="H3" s="2638"/>
      <c r="I3" s="2638"/>
      <c r="J3" s="1179"/>
    </row>
    <row r="4" spans="2:10" s="295" customFormat="1" ht="12.75" customHeight="1" x14ac:dyDescent="0.2">
      <c r="B4" s="2637" t="str">
        <f>'Single Audit Cover'!A4</f>
        <v>Year Ending June 30, 2020</v>
      </c>
      <c r="C4" s="2638"/>
      <c r="D4" s="2638"/>
      <c r="E4" s="2638"/>
      <c r="F4" s="2638"/>
      <c r="G4" s="2638"/>
      <c r="H4" s="2638"/>
      <c r="I4" s="2638"/>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37" t="s">
        <v>1273</v>
      </c>
      <c r="C7" s="2638"/>
      <c r="D7" s="2638"/>
      <c r="E7" s="2638"/>
      <c r="F7" s="2638"/>
      <c r="G7" s="2638"/>
      <c r="H7" s="2638"/>
      <c r="I7" s="2638"/>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39"/>
      <c r="D11" s="2639"/>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40"/>
      <c r="E29" s="2640"/>
      <c r="F29" s="2640"/>
      <c r="G29" s="2640"/>
      <c r="H29" s="2640"/>
      <c r="I29" s="2640"/>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41" t="s">
        <v>1728</v>
      </c>
      <c r="D37" s="2642"/>
      <c r="E37" s="2642"/>
      <c r="F37" s="2643"/>
      <c r="G37" s="2641" t="s">
        <v>1575</v>
      </c>
      <c r="H37" s="2642"/>
      <c r="I37" s="2643"/>
    </row>
    <row r="38" spans="2:9" ht="16.5" customHeight="1" x14ac:dyDescent="0.2">
      <c r="B38" s="1200"/>
      <c r="C38" s="2629"/>
      <c r="D38" s="2630"/>
      <c r="E38" s="2630"/>
      <c r="F38" s="2631"/>
      <c r="G38" s="2644"/>
      <c r="H38" s="2645"/>
      <c r="I38" s="2646"/>
    </row>
    <row r="39" spans="2:9" ht="16.5" customHeight="1" x14ac:dyDescent="0.2">
      <c r="B39" s="1200"/>
      <c r="C39" s="2629"/>
      <c r="D39" s="2630"/>
      <c r="E39" s="2630"/>
      <c r="F39" s="2631"/>
      <c r="G39" s="2632"/>
      <c r="H39" s="2632"/>
      <c r="I39" s="2632"/>
    </row>
    <row r="40" spans="2:9" ht="16.5" customHeight="1" x14ac:dyDescent="0.2">
      <c r="B40" s="1200"/>
      <c r="C40" s="2629"/>
      <c r="D40" s="2630"/>
      <c r="E40" s="2630"/>
      <c r="F40" s="2631"/>
      <c r="G40" s="2632"/>
      <c r="H40" s="2632"/>
      <c r="I40" s="2632"/>
    </row>
    <row r="41" spans="2:9" ht="16.5" customHeight="1" x14ac:dyDescent="0.2">
      <c r="B41" s="1200"/>
      <c r="C41" s="2629"/>
      <c r="D41" s="2630"/>
      <c r="E41" s="2630"/>
      <c r="F41" s="2631"/>
      <c r="G41" s="2632"/>
      <c r="H41" s="2632"/>
      <c r="I41" s="2632"/>
    </row>
    <row r="42" spans="2:9" ht="16.5" customHeight="1" x14ac:dyDescent="0.2">
      <c r="B42" s="1200"/>
      <c r="C42" s="2629"/>
      <c r="D42" s="2630"/>
      <c r="E42" s="2630"/>
      <c r="F42" s="2631"/>
      <c r="G42" s="2632"/>
      <c r="H42" s="2632"/>
      <c r="I42" s="2632"/>
    </row>
    <row r="43" spans="2:9" ht="16.5" customHeight="1" x14ac:dyDescent="0.2">
      <c r="B43" s="1200"/>
      <c r="C43" s="2647" t="s">
        <v>1576</v>
      </c>
      <c r="D43" s="2648"/>
      <c r="E43" s="2648"/>
      <c r="F43" s="2649"/>
      <c r="G43" s="2650">
        <f>SUM(G38:I42)</f>
        <v>0</v>
      </c>
      <c r="H43" s="2650"/>
      <c r="I43" s="2650"/>
    </row>
    <row r="44" spans="2:9" ht="12.75" customHeight="1" x14ac:dyDescent="0.2"/>
    <row r="45" spans="2:9" ht="12.75" customHeight="1" x14ac:dyDescent="0.2">
      <c r="B45" s="1917" t="str">
        <f>"Total Federal Expenditures for 7/1/"&amp;MID('AFR20'!E2,3,2)-1&amp;"-6/30/"&amp;MID('AFR20'!E2,3,2)</f>
        <v>Total Federal Expenditures for 7/1/19-6/30/20</v>
      </c>
      <c r="C45" s="1918"/>
      <c r="D45" s="2651">
        <v>0</v>
      </c>
      <c r="E45" s="2652"/>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53"/>
      <c r="F49" s="2653"/>
      <c r="G49" s="2653"/>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7271-19F4-4F82-A10B-9769CD61E345}">
  <dimension ref="A1:M41"/>
  <sheetViews>
    <sheetView showGridLines="0" zoomScale="110" zoomScaleNormal="110" zoomScaleSheetLayoutView="140" workbookViewId="0"/>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2037" customWidth="1"/>
    <col min="8" max="8" width="10.5703125" style="294" customWidth="1"/>
    <col min="9" max="9" width="3.42578125" style="2037"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655" t="s">
        <v>2062</v>
      </c>
      <c r="C1" s="2655"/>
      <c r="D1" s="2655"/>
      <c r="E1" s="2655"/>
      <c r="F1" s="2655"/>
      <c r="G1" s="2655"/>
      <c r="H1" s="2655"/>
      <c r="I1" s="2655"/>
      <c r="J1" s="2655"/>
      <c r="K1" s="2655"/>
      <c r="L1" s="2059"/>
      <c r="M1" s="2059"/>
    </row>
    <row r="2" spans="1:13" ht="12" customHeight="1" x14ac:dyDescent="0.2">
      <c r="B2" s="2656" t="s">
        <v>2060</v>
      </c>
      <c r="C2" s="2656"/>
      <c r="D2" s="2656"/>
      <c r="E2" s="2656"/>
      <c r="F2" s="2656"/>
      <c r="G2" s="2656"/>
      <c r="H2" s="2656"/>
      <c r="I2" s="2656"/>
      <c r="J2" s="2656"/>
      <c r="K2" s="2656"/>
      <c r="L2" s="2058"/>
      <c r="M2" s="2057"/>
    </row>
    <row r="3" spans="1:13" ht="10.35" customHeight="1" x14ac:dyDescent="0.2">
      <c r="B3" s="2657" t="s">
        <v>1274</v>
      </c>
      <c r="C3" s="2657"/>
      <c r="D3" s="2657"/>
      <c r="E3" s="2657"/>
      <c r="F3" s="2657"/>
      <c r="G3" s="2657"/>
      <c r="H3" s="2657"/>
      <c r="I3" s="2657"/>
      <c r="J3" s="2657"/>
      <c r="K3" s="2657"/>
      <c r="L3" s="2035"/>
      <c r="M3" s="2035"/>
    </row>
    <row r="4" spans="1:13" ht="14.25" customHeight="1" x14ac:dyDescent="0.2">
      <c r="B4" s="2657" t="s">
        <v>2078</v>
      </c>
      <c r="C4" s="2657"/>
      <c r="D4" s="2657"/>
      <c r="E4" s="2657"/>
      <c r="F4" s="2657"/>
      <c r="G4" s="2657"/>
      <c r="H4" s="2657"/>
      <c r="I4" s="2657"/>
      <c r="J4" s="2657"/>
      <c r="K4" s="2657"/>
      <c r="L4" s="2035"/>
      <c r="M4" s="2035"/>
    </row>
    <row r="5" spans="1:13" ht="7.5" customHeight="1" x14ac:dyDescent="0.2">
      <c r="B5" s="2051" t="s">
        <v>1159</v>
      </c>
      <c r="C5" s="2051"/>
    </row>
    <row r="6" spans="1:13" ht="7.5" customHeight="1" x14ac:dyDescent="0.2">
      <c r="B6" s="2044"/>
      <c r="C6" s="2044"/>
      <c r="D6" s="2042"/>
      <c r="E6" s="2042"/>
      <c r="F6" s="2042"/>
      <c r="G6" s="2043"/>
      <c r="H6" s="2042"/>
      <c r="I6" s="2043"/>
      <c r="J6" s="2042"/>
      <c r="K6" s="2042"/>
    </row>
    <row r="7" spans="1:13" ht="12.75" customHeight="1" x14ac:dyDescent="0.2">
      <c r="A7" s="991"/>
      <c r="B7" s="2657" t="s">
        <v>1285</v>
      </c>
      <c r="C7" s="2657"/>
      <c r="D7" s="2636"/>
      <c r="E7" s="2636"/>
      <c r="F7" s="2636"/>
      <c r="G7" s="2636"/>
      <c r="H7" s="2636"/>
      <c r="I7" s="2636"/>
      <c r="J7" s="2636"/>
      <c r="K7" s="2636"/>
      <c r="L7" s="2056"/>
    </row>
    <row r="8" spans="1:13" ht="7.5" customHeight="1" x14ac:dyDescent="0.2"/>
    <row r="9" spans="1:13" ht="9.6" customHeight="1" x14ac:dyDescent="0.2">
      <c r="B9" s="2042"/>
      <c r="C9" s="2042"/>
      <c r="D9" s="2042"/>
      <c r="E9" s="2042"/>
      <c r="F9" s="2042"/>
      <c r="G9" s="2043"/>
      <c r="H9" s="2042"/>
      <c r="I9" s="2043"/>
      <c r="J9" s="2042"/>
      <c r="K9" s="2042"/>
    </row>
    <row r="10" spans="1:13" ht="16.5" customHeight="1" x14ac:dyDescent="0.2">
      <c r="B10" s="995" t="s">
        <v>1719</v>
      </c>
      <c r="C10" s="2055" t="s">
        <v>2092</v>
      </c>
      <c r="D10" s="1155">
        <v>1</v>
      </c>
      <c r="F10" s="995" t="s">
        <v>1284</v>
      </c>
      <c r="G10" s="1157"/>
      <c r="H10" s="2054" t="s">
        <v>1283</v>
      </c>
      <c r="I10" s="1157" t="s">
        <v>2051</v>
      </c>
      <c r="J10" s="2053" t="s">
        <v>1282</v>
      </c>
    </row>
    <row r="11" spans="1:13" ht="13.5" customHeight="1" x14ac:dyDescent="0.2">
      <c r="I11" s="2052" t="s">
        <v>1281</v>
      </c>
      <c r="K11" s="2036">
        <v>1990</v>
      </c>
    </row>
    <row r="12" spans="1:13" ht="13.5" customHeight="1" x14ac:dyDescent="0.2">
      <c r="B12" s="2051"/>
      <c r="C12" s="2051"/>
    </row>
    <row r="13" spans="1:13" s="991" customFormat="1" ht="13.5" customHeight="1" x14ac:dyDescent="0.2">
      <c r="B13" s="2047" t="s">
        <v>1280</v>
      </c>
      <c r="C13" s="2047"/>
      <c r="D13" s="2049"/>
      <c r="E13" s="2049"/>
      <c r="F13" s="2049"/>
      <c r="G13" s="2050"/>
      <c r="H13" s="2049"/>
      <c r="I13" s="2050"/>
      <c r="J13" s="2049"/>
      <c r="K13" s="2049"/>
    </row>
    <row r="14" spans="1:13" ht="45" customHeight="1" x14ac:dyDescent="0.2">
      <c r="B14" s="2654" t="s">
        <v>2077</v>
      </c>
      <c r="C14" s="2654"/>
      <c r="D14" s="2654"/>
      <c r="E14" s="2654"/>
      <c r="F14" s="2654"/>
      <c r="G14" s="2654"/>
      <c r="H14" s="2654"/>
      <c r="I14" s="2654"/>
      <c r="J14" s="2654"/>
      <c r="K14" s="2654"/>
    </row>
    <row r="15" spans="1:13" ht="4.5" customHeight="1" x14ac:dyDescent="0.2">
      <c r="B15" s="865"/>
      <c r="C15" s="865"/>
    </row>
    <row r="16" spans="1:13" s="991" customFormat="1" ht="13.5" customHeight="1" x14ac:dyDescent="0.2">
      <c r="B16" s="2047" t="s">
        <v>1279</v>
      </c>
      <c r="C16" s="2047"/>
      <c r="D16" s="2049"/>
      <c r="E16" s="2049"/>
      <c r="F16" s="2049"/>
      <c r="G16" s="2050"/>
      <c r="H16" s="2049"/>
      <c r="I16" s="2050"/>
      <c r="J16" s="2049"/>
      <c r="K16" s="2049"/>
    </row>
    <row r="17" spans="2:11" ht="45" customHeight="1" x14ac:dyDescent="0.2">
      <c r="B17" s="2654" t="s">
        <v>2076</v>
      </c>
      <c r="C17" s="2654"/>
      <c r="D17" s="2654"/>
      <c r="E17" s="2654"/>
      <c r="F17" s="2654"/>
      <c r="G17" s="2654"/>
      <c r="H17" s="2654"/>
      <c r="I17" s="2654"/>
      <c r="J17" s="2654"/>
      <c r="K17" s="2654"/>
    </row>
    <row r="18" spans="2:11" ht="4.5" customHeight="1" x14ac:dyDescent="0.2">
      <c r="B18" s="865"/>
      <c r="C18" s="865"/>
    </row>
    <row r="19" spans="2:11" s="991" customFormat="1" ht="13.5" customHeight="1" x14ac:dyDescent="0.2">
      <c r="B19" s="2047" t="s">
        <v>1720</v>
      </c>
      <c r="C19" s="2047"/>
      <c r="D19" s="2049"/>
      <c r="E19" s="2049"/>
      <c r="F19" s="2049"/>
      <c r="G19" s="2050"/>
      <c r="H19" s="2049"/>
      <c r="I19" s="2050"/>
      <c r="J19" s="2049"/>
      <c r="K19" s="2049"/>
    </row>
    <row r="20" spans="2:11" ht="45" customHeight="1" x14ac:dyDescent="0.2">
      <c r="B20" s="2658" t="s">
        <v>2075</v>
      </c>
      <c r="C20" s="2658"/>
      <c r="D20" s="2654"/>
      <c r="E20" s="2654"/>
      <c r="F20" s="2654"/>
      <c r="G20" s="2654"/>
      <c r="H20" s="2654"/>
      <c r="I20" s="2654"/>
      <c r="J20" s="2654"/>
      <c r="K20" s="2654"/>
    </row>
    <row r="21" spans="2:11" ht="4.5" customHeight="1" x14ac:dyDescent="0.2">
      <c r="B21" s="2048"/>
      <c r="C21" s="2048"/>
    </row>
    <row r="22" spans="2:11" ht="13.5" customHeight="1" x14ac:dyDescent="0.2">
      <c r="B22" s="2047" t="s">
        <v>1278</v>
      </c>
      <c r="C22" s="2047"/>
      <c r="D22" s="2042"/>
      <c r="E22" s="2042"/>
      <c r="F22" s="2042"/>
      <c r="G22" s="2043"/>
      <c r="H22" s="2042"/>
      <c r="I22" s="2043"/>
      <c r="J22" s="2042"/>
      <c r="K22" s="2042"/>
    </row>
    <row r="23" spans="2:11" ht="45" customHeight="1" x14ac:dyDescent="0.2">
      <c r="B23" s="2654" t="s">
        <v>2074</v>
      </c>
      <c r="C23" s="2654"/>
      <c r="D23" s="2654"/>
      <c r="E23" s="2654"/>
      <c r="F23" s="2654"/>
      <c r="G23" s="2654"/>
      <c r="H23" s="2654"/>
      <c r="I23" s="2654"/>
      <c r="J23" s="2654"/>
      <c r="K23" s="2654"/>
    </row>
    <row r="24" spans="2:11" ht="4.5" customHeight="1" x14ac:dyDescent="0.2">
      <c r="B24" s="865"/>
      <c r="C24" s="865"/>
    </row>
    <row r="25" spans="2:11" ht="13.5" customHeight="1" x14ac:dyDescent="0.2">
      <c r="B25" s="2047" t="s">
        <v>1277</v>
      </c>
      <c r="C25" s="2047"/>
      <c r="D25" s="2042"/>
      <c r="E25" s="2042"/>
      <c r="F25" s="2042"/>
      <c r="G25" s="2043"/>
      <c r="H25" s="2042"/>
      <c r="I25" s="2043"/>
      <c r="J25" s="2042"/>
      <c r="K25" s="2042"/>
    </row>
    <row r="26" spans="2:11" ht="45" customHeight="1" x14ac:dyDescent="0.2">
      <c r="B26" s="2654" t="s">
        <v>2073</v>
      </c>
      <c r="C26" s="2654"/>
      <c r="D26" s="2654"/>
      <c r="E26" s="2654"/>
      <c r="F26" s="2654"/>
      <c r="G26" s="2654"/>
      <c r="H26" s="2654"/>
      <c r="I26" s="2654"/>
      <c r="J26" s="2654"/>
      <c r="K26" s="2654"/>
    </row>
    <row r="27" spans="2:11" ht="4.5" customHeight="1" x14ac:dyDescent="0.2">
      <c r="B27" s="865"/>
      <c r="C27" s="865"/>
    </row>
    <row r="28" spans="2:11" ht="13.5" customHeight="1" x14ac:dyDescent="0.2">
      <c r="B28" s="2046" t="s">
        <v>1276</v>
      </c>
      <c r="C28" s="2046"/>
      <c r="D28" s="2042"/>
      <c r="E28" s="2042"/>
      <c r="F28" s="2042"/>
      <c r="G28" s="2043"/>
      <c r="H28" s="2042"/>
      <c r="I28" s="2043"/>
      <c r="J28" s="2042"/>
      <c r="K28" s="2042"/>
    </row>
    <row r="29" spans="2:11" ht="45" customHeight="1" x14ac:dyDescent="0.2">
      <c r="B29" s="2654" t="s">
        <v>2072</v>
      </c>
      <c r="C29" s="2654"/>
      <c r="D29" s="2654"/>
      <c r="E29" s="2654"/>
      <c r="F29" s="2654"/>
      <c r="G29" s="2654"/>
      <c r="H29" s="2654"/>
      <c r="I29" s="2654"/>
      <c r="J29" s="2654"/>
      <c r="K29" s="2654"/>
    </row>
    <row r="30" spans="2:11" ht="4.5" customHeight="1" x14ac:dyDescent="0.2">
      <c r="B30" s="865"/>
      <c r="C30" s="865"/>
    </row>
    <row r="31" spans="2:11" ht="13.5" customHeight="1" x14ac:dyDescent="0.2">
      <c r="B31" s="2045" t="s">
        <v>1721</v>
      </c>
      <c r="C31" s="2045"/>
      <c r="D31" s="2044"/>
      <c r="E31" s="2042"/>
      <c r="F31" s="2042"/>
      <c r="G31" s="2043"/>
      <c r="H31" s="2042"/>
      <c r="I31" s="2043"/>
      <c r="J31" s="2042"/>
      <c r="K31" s="2042"/>
    </row>
    <row r="32" spans="2:11" ht="45" customHeight="1" x14ac:dyDescent="0.2">
      <c r="B32" s="2654" t="s">
        <v>2071</v>
      </c>
      <c r="C32" s="2654"/>
      <c r="D32" s="2654"/>
      <c r="E32" s="2654"/>
      <c r="F32" s="2654"/>
      <c r="G32" s="2654"/>
      <c r="H32" s="2654"/>
      <c r="I32" s="2654"/>
      <c r="J32" s="2654"/>
      <c r="K32" s="2654"/>
    </row>
    <row r="33" spans="1:13" ht="4.5" customHeight="1" x14ac:dyDescent="0.2">
      <c r="B33" s="865"/>
      <c r="C33" s="865"/>
    </row>
    <row r="34" spans="1:13" x14ac:dyDescent="0.2">
      <c r="A34" s="2040"/>
      <c r="B34" s="2040"/>
      <c r="C34" s="2040"/>
      <c r="D34" s="2040"/>
      <c r="E34" s="2040"/>
      <c r="F34" s="2040"/>
      <c r="G34" s="2041"/>
      <c r="H34" s="2040"/>
      <c r="I34" s="2041"/>
      <c r="J34" s="2040"/>
      <c r="K34" s="2040"/>
    </row>
    <row r="35" spans="1:13" ht="11.85" customHeight="1" x14ac:dyDescent="0.2">
      <c r="B35" s="2039" t="s">
        <v>1722</v>
      </c>
      <c r="C35" s="2039"/>
    </row>
    <row r="36" spans="1:13" ht="9.6" customHeight="1" x14ac:dyDescent="0.2">
      <c r="B36" s="998" t="s">
        <v>2097</v>
      </c>
      <c r="C36" s="998"/>
    </row>
    <row r="37" spans="1:13" ht="9.6" customHeight="1" x14ac:dyDescent="0.2">
      <c r="B37" s="998" t="s">
        <v>2096</v>
      </c>
      <c r="C37" s="998"/>
    </row>
    <row r="38" spans="1:13" ht="11.85" customHeight="1" x14ac:dyDescent="0.2">
      <c r="B38" s="2039" t="s">
        <v>1723</v>
      </c>
      <c r="C38" s="2039"/>
    </row>
    <row r="39" spans="1:13" ht="9.6" customHeight="1" x14ac:dyDescent="0.2">
      <c r="B39" s="998" t="s">
        <v>1275</v>
      </c>
      <c r="C39" s="998"/>
      <c r="M39" s="2038"/>
    </row>
    <row r="40" spans="1:13" ht="12.75" customHeight="1" x14ac:dyDescent="0.2">
      <c r="B40" s="2039" t="s">
        <v>1724</v>
      </c>
      <c r="C40" s="2039"/>
      <c r="M40" s="2038"/>
    </row>
    <row r="41" spans="1:13" ht="9.6" customHeight="1" x14ac:dyDescent="0.2">
      <c r="B41" s="998"/>
      <c r="C41" s="998"/>
      <c r="M41" s="2038"/>
    </row>
  </sheetData>
  <mergeCells count="12">
    <mergeCell ref="B26:K26"/>
    <mergeCell ref="B29:K29"/>
    <mergeCell ref="B32:K32"/>
    <mergeCell ref="B1:K1"/>
    <mergeCell ref="B2:K2"/>
    <mergeCell ref="B3:K3"/>
    <mergeCell ref="B4:K4"/>
    <mergeCell ref="B7:K7"/>
    <mergeCell ref="B14:K14"/>
    <mergeCell ref="B17:K17"/>
    <mergeCell ref="B20:K20"/>
    <mergeCell ref="B23:K23"/>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33" t="str">
        <f>'Single Audit Cover'!A7</f>
        <v xml:space="preserve">   Montmorency CCSD 145</v>
      </c>
      <c r="C1" s="2633"/>
      <c r="D1" s="2633"/>
      <c r="E1" s="1240"/>
    </row>
    <row r="2" spans="2:5" s="1058" customFormat="1" ht="12.75" customHeight="1" x14ac:dyDescent="0.2">
      <c r="B2" s="2635">
        <f>'Single Audit Cover'!E7</f>
        <v>47098145004</v>
      </c>
      <c r="C2" s="2635"/>
      <c r="D2" s="2635"/>
      <c r="E2" s="1241"/>
    </row>
    <row r="3" spans="2:5" ht="12.75" customHeight="1" x14ac:dyDescent="0.2">
      <c r="B3" s="2659" t="s">
        <v>1743</v>
      </c>
      <c r="C3" s="2659"/>
      <c r="D3" s="2659"/>
      <c r="E3" s="1050"/>
    </row>
    <row r="4" spans="2:5" s="1058" customFormat="1" ht="12.75" customHeight="1" x14ac:dyDescent="0.2">
      <c r="B4" s="2660" t="str">
        <f>'Single Audit Cover'!A4</f>
        <v>Year Ending June 30, 2020</v>
      </c>
      <c r="C4" s="2660"/>
      <c r="D4" s="2660"/>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t="s">
        <v>2095</v>
      </c>
      <c r="C7" s="302" t="s">
        <v>2093</v>
      </c>
      <c r="D7" s="302" t="s">
        <v>2094</v>
      </c>
      <c r="E7" s="302"/>
    </row>
    <row r="8" spans="2:5" ht="13.5" customHeight="1" x14ac:dyDescent="0.2">
      <c r="B8" s="1245" t="s">
        <v>2098</v>
      </c>
      <c r="C8" s="302" t="s">
        <v>2099</v>
      </c>
      <c r="D8" s="302" t="s">
        <v>2100</v>
      </c>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D48D5-AF57-4560-8896-E8630E10620E}">
  <dimension ref="B1:L70"/>
  <sheetViews>
    <sheetView showGridLines="0" zoomScale="110" zoomScaleNormal="110" zoomScaleSheetLayoutView="100" workbookViewId="0"/>
  </sheetViews>
  <sheetFormatPr defaultColWidth="9.140625" defaultRowHeight="12.75" x14ac:dyDescent="0.2"/>
  <cols>
    <col min="1" max="1" width="1.5703125" style="2061" customWidth="1"/>
    <col min="2" max="2" width="11.28515625" style="2061" customWidth="1"/>
    <col min="3" max="3" width="6.42578125" style="2061" customWidth="1"/>
    <col min="4" max="4" width="5.42578125" style="2061" customWidth="1"/>
    <col min="5" max="5" width="74.7109375" style="2061" customWidth="1"/>
    <col min="6" max="6" width="1.5703125" style="2061" customWidth="1"/>
    <col min="7" max="8" width="2.42578125" style="2061" customWidth="1"/>
    <col min="9" max="9" width="9.28515625" style="2061" customWidth="1"/>
    <col min="10" max="10" width="14.42578125" style="2061" customWidth="1"/>
    <col min="11" max="11" width="7.28515625" style="2061" customWidth="1"/>
    <col min="12" max="12" width="3.140625" style="2061" customWidth="1"/>
    <col min="13" max="16384" width="9.140625" style="2061"/>
  </cols>
  <sheetData>
    <row r="1" spans="2:12" ht="13.5" customHeight="1" x14ac:dyDescent="0.2">
      <c r="B1" s="2662" t="s">
        <v>2062</v>
      </c>
      <c r="C1" s="2662"/>
      <c r="D1" s="2662"/>
      <c r="E1" s="2662"/>
      <c r="F1" s="2060"/>
      <c r="G1" s="2060"/>
      <c r="H1" s="2060"/>
      <c r="I1" s="2060"/>
      <c r="J1" s="2060"/>
      <c r="K1" s="2060"/>
      <c r="L1" s="2060"/>
    </row>
    <row r="2" spans="2:12" ht="13.5" customHeight="1" x14ac:dyDescent="0.2">
      <c r="B2" s="2663" t="s">
        <v>2060</v>
      </c>
      <c r="C2" s="2663"/>
      <c r="D2" s="2663"/>
      <c r="E2" s="2663"/>
      <c r="F2" s="2062"/>
      <c r="G2" s="2062"/>
      <c r="H2" s="2062"/>
      <c r="I2" s="2062"/>
      <c r="J2" s="2062"/>
      <c r="K2" s="2062"/>
      <c r="L2" s="2062"/>
    </row>
    <row r="3" spans="2:12" ht="13.5" customHeight="1" x14ac:dyDescent="0.2">
      <c r="B3" s="2664" t="s">
        <v>2079</v>
      </c>
      <c r="C3" s="2664"/>
      <c r="D3" s="2664"/>
      <c r="E3" s="2664"/>
      <c r="F3" s="2063"/>
      <c r="G3" s="2063"/>
      <c r="H3" s="2063"/>
      <c r="I3" s="2063"/>
      <c r="J3" s="2063"/>
      <c r="K3" s="2063"/>
      <c r="L3" s="2063"/>
    </row>
    <row r="4" spans="2:12" ht="13.5" customHeight="1" x14ac:dyDescent="0.2">
      <c r="B4" s="2665" t="s">
        <v>2078</v>
      </c>
      <c r="C4" s="2665"/>
      <c r="D4" s="2665"/>
      <c r="E4" s="2665"/>
      <c r="F4" s="2064"/>
      <c r="G4" s="2064"/>
      <c r="H4" s="2064"/>
      <c r="I4" s="2064"/>
      <c r="J4" s="2064"/>
      <c r="K4" s="2064"/>
      <c r="L4" s="2064"/>
    </row>
    <row r="5" spans="2:12" ht="29.85" customHeight="1" x14ac:dyDescent="0.2"/>
    <row r="6" spans="2:12" ht="13.5" customHeight="1" x14ac:dyDescent="0.2">
      <c r="B6" s="2065" t="s">
        <v>2080</v>
      </c>
      <c r="C6" s="2065"/>
      <c r="D6" s="2066"/>
      <c r="E6" s="2067"/>
      <c r="F6" s="2067"/>
      <c r="G6" s="2068"/>
      <c r="H6" s="2068"/>
      <c r="I6" s="2068"/>
    </row>
    <row r="7" spans="2:12" ht="13.5" customHeight="1" x14ac:dyDescent="0.2">
      <c r="B7" s="2061" t="s">
        <v>1159</v>
      </c>
    </row>
    <row r="8" spans="2:12" ht="13.5" customHeight="1" x14ac:dyDescent="0.2">
      <c r="B8" s="2069" t="s">
        <v>2081</v>
      </c>
      <c r="C8" s="2070" t="s">
        <v>2092</v>
      </c>
      <c r="D8" s="2071">
        <v>1</v>
      </c>
    </row>
    <row r="9" spans="2:12" ht="13.5" customHeight="1" x14ac:dyDescent="0.2">
      <c r="B9" s="2072"/>
      <c r="C9" s="2072"/>
      <c r="D9" s="2072"/>
    </row>
    <row r="10" spans="2:12" ht="13.5" customHeight="1" x14ac:dyDescent="0.2">
      <c r="B10" s="2069" t="s">
        <v>2082</v>
      </c>
      <c r="C10" s="2069"/>
    </row>
    <row r="11" spans="2:12" ht="66.75" customHeight="1" x14ac:dyDescent="0.2">
      <c r="B11" s="2661" t="s">
        <v>2076</v>
      </c>
      <c r="C11" s="2661"/>
      <c r="D11" s="2661"/>
      <c r="E11" s="2661"/>
    </row>
    <row r="12" spans="2:12" ht="13.5" customHeight="1" x14ac:dyDescent="0.2"/>
    <row r="13" spans="2:12" ht="13.5" customHeight="1" x14ac:dyDescent="0.2">
      <c r="B13" s="2069" t="s">
        <v>2083</v>
      </c>
      <c r="C13" s="2069"/>
    </row>
    <row r="14" spans="2:12" ht="76.5" customHeight="1" x14ac:dyDescent="0.2">
      <c r="B14" s="2661" t="s">
        <v>2084</v>
      </c>
      <c r="C14" s="2661"/>
      <c r="D14" s="2661"/>
      <c r="E14" s="2661"/>
    </row>
    <row r="15" spans="2:12" ht="13.5" customHeight="1" x14ac:dyDescent="0.2"/>
    <row r="16" spans="2:12" ht="13.5" customHeight="1" x14ac:dyDescent="0.2">
      <c r="B16" s="2069" t="s">
        <v>2085</v>
      </c>
      <c r="C16" s="2069"/>
      <c r="E16" s="2073">
        <v>44377</v>
      </c>
    </row>
    <row r="17" spans="2:5" ht="13.5" customHeight="1" x14ac:dyDescent="0.2"/>
    <row r="18" spans="2:5" ht="13.5" customHeight="1" x14ac:dyDescent="0.2">
      <c r="B18" s="2069" t="s">
        <v>2086</v>
      </c>
      <c r="C18" s="2069"/>
      <c r="E18" s="2074" t="s">
        <v>2087</v>
      </c>
    </row>
    <row r="19" spans="2:5" ht="13.5" customHeight="1" x14ac:dyDescent="0.2"/>
    <row r="20" spans="2:5" ht="13.5" customHeight="1" x14ac:dyDescent="0.2">
      <c r="B20" s="2069" t="s">
        <v>2088</v>
      </c>
      <c r="C20" s="2069"/>
      <c r="E20" s="2074" t="s">
        <v>2089</v>
      </c>
    </row>
    <row r="21" spans="2:5" ht="13.5" customHeight="1" x14ac:dyDescent="0.2">
      <c r="E21" s="2074" t="s">
        <v>2090</v>
      </c>
    </row>
    <row r="22" spans="2:5" ht="13.5" customHeight="1" x14ac:dyDescent="0.2">
      <c r="E22" s="2074"/>
    </row>
    <row r="23" spans="2:5" ht="13.5" customHeight="1" x14ac:dyDescent="0.2"/>
    <row r="24" spans="2:5" ht="13.5" customHeight="1" x14ac:dyDescent="0.2"/>
    <row r="25" spans="2:5" ht="13.5" customHeight="1" x14ac:dyDescent="0.2">
      <c r="B25" s="2075"/>
      <c r="C25" s="2075"/>
      <c r="D25" s="2075"/>
    </row>
    <row r="26" spans="2:5" ht="13.5" customHeight="1" x14ac:dyDescent="0.2">
      <c r="B26" s="2075"/>
      <c r="C26" s="2075"/>
      <c r="D26" s="2075"/>
    </row>
    <row r="27" spans="2:5" ht="13.5" customHeight="1" x14ac:dyDescent="0.2">
      <c r="B27" s="2075"/>
      <c r="C27" s="2075"/>
      <c r="D27" s="2075"/>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76"/>
      <c r="C35" s="2076"/>
      <c r="D35" s="2076"/>
    </row>
    <row r="36" spans="2:5" ht="13.5" customHeight="1" x14ac:dyDescent="0.2"/>
    <row r="37" spans="2:5" ht="13.5" customHeight="1" x14ac:dyDescent="0.2">
      <c r="B37" s="2076"/>
      <c r="C37" s="2076"/>
      <c r="D37" s="2076"/>
    </row>
    <row r="38" spans="2:5" ht="13.5" customHeight="1" x14ac:dyDescent="0.2">
      <c r="B38" s="2076"/>
      <c r="C38" s="2076"/>
      <c r="D38" s="2076"/>
    </row>
    <row r="39" spans="2:5" ht="13.5" customHeight="1" x14ac:dyDescent="0.2">
      <c r="B39" s="2076"/>
      <c r="C39" s="2076"/>
      <c r="D39" s="2076"/>
    </row>
    <row r="40" spans="2:5" ht="13.5" customHeight="1" x14ac:dyDescent="0.2">
      <c r="B40" s="2076"/>
      <c r="C40" s="2076"/>
      <c r="D40" s="2076"/>
    </row>
    <row r="41" spans="2:5" ht="13.5" customHeight="1" x14ac:dyDescent="0.2">
      <c r="B41" s="2077"/>
      <c r="C41" s="2077"/>
      <c r="D41" s="2077"/>
      <c r="E41" s="2077"/>
    </row>
    <row r="42" spans="2:5" ht="12.2" customHeight="1" x14ac:dyDescent="0.2">
      <c r="B42" s="2078" t="s">
        <v>2091</v>
      </c>
      <c r="C42" s="2078"/>
      <c r="D42" s="2078"/>
    </row>
    <row r="43" spans="2:5" ht="12.2" customHeight="1" x14ac:dyDescent="0.2">
      <c r="B43" s="2079"/>
      <c r="C43" s="2079"/>
      <c r="D43" s="2079"/>
    </row>
    <row r="44" spans="2:5" ht="12.75" customHeight="1" x14ac:dyDescent="0.2">
      <c r="B44" s="2069"/>
      <c r="C44" s="2069"/>
      <c r="D44" s="2069"/>
    </row>
    <row r="45" spans="2:5" ht="12.75" customHeight="1" x14ac:dyDescent="0.2">
      <c r="B45" s="2069"/>
      <c r="C45" s="2069"/>
      <c r="D45" s="2069"/>
    </row>
    <row r="46" spans="2:5" x14ac:dyDescent="0.2">
      <c r="B46" s="2069"/>
      <c r="C46" s="2069"/>
      <c r="D46" s="2069"/>
    </row>
    <row r="47" spans="2:5" x14ac:dyDescent="0.2">
      <c r="B47" s="2069"/>
      <c r="C47" s="2069"/>
      <c r="D47" s="2069"/>
    </row>
    <row r="51" spans="2:4" x14ac:dyDescent="0.2">
      <c r="B51" s="2080"/>
      <c r="C51" s="2080"/>
      <c r="D51" s="2080"/>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81"/>
      <c r="C64" s="2081"/>
      <c r="D64" s="2081"/>
    </row>
    <row r="65" spans="2:4" x14ac:dyDescent="0.2">
      <c r="B65" s="2069"/>
      <c r="C65" s="2069"/>
      <c r="D65" s="2069"/>
    </row>
    <row r="66" spans="2:4" x14ac:dyDescent="0.2">
      <c r="B66" s="2069"/>
      <c r="C66" s="2069"/>
      <c r="D66" s="2069"/>
    </row>
    <row r="67" spans="2:4" x14ac:dyDescent="0.2">
      <c r="B67" s="2081"/>
      <c r="C67" s="2081"/>
      <c r="D67" s="2081"/>
    </row>
    <row r="68" spans="2:4" x14ac:dyDescent="0.2">
      <c r="B68" s="2081"/>
      <c r="C68" s="2081"/>
      <c r="D68" s="2081"/>
    </row>
    <row r="69" spans="2:4" x14ac:dyDescent="0.2">
      <c r="B69" s="2081"/>
      <c r="C69" s="2081"/>
      <c r="D69" s="2081"/>
    </row>
    <row r="70" spans="2:4" x14ac:dyDescent="0.2">
      <c r="B70" s="2069"/>
      <c r="C70" s="2069"/>
      <c r="D70" s="2069"/>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33" t="str">
        <f>'Single Audit Cover'!A7</f>
        <v xml:space="preserve">   Montmorency CCSD 145</v>
      </c>
      <c r="C1" s="2633"/>
      <c r="D1" s="2633"/>
      <c r="E1" s="2633"/>
      <c r="F1" s="2633"/>
      <c r="G1" s="2633"/>
      <c r="H1" s="2633"/>
      <c r="I1" s="2633"/>
      <c r="J1" s="2633"/>
      <c r="K1" s="2633"/>
      <c r="L1" s="1144"/>
      <c r="M1" s="1144"/>
    </row>
    <row r="2" spans="1:13" ht="12" customHeight="1" x14ac:dyDescent="0.2">
      <c r="B2" s="2635">
        <f>'Single Audit Cover'!E7</f>
        <v>47098145004</v>
      </c>
      <c r="C2" s="2635"/>
      <c r="D2" s="2635"/>
      <c r="E2" s="2635"/>
      <c r="F2" s="2635"/>
      <c r="G2" s="2635"/>
      <c r="H2" s="2635"/>
      <c r="I2" s="2635"/>
      <c r="J2" s="2635"/>
      <c r="K2" s="2635"/>
      <c r="L2" s="1145"/>
      <c r="M2" s="1146"/>
    </row>
    <row r="3" spans="1:13" ht="10.35" customHeight="1" x14ac:dyDescent="0.2">
      <c r="B3" s="2659" t="s">
        <v>1274</v>
      </c>
      <c r="C3" s="2659"/>
      <c r="D3" s="2659"/>
      <c r="E3" s="2659"/>
      <c r="F3" s="2659"/>
      <c r="G3" s="2659"/>
      <c r="H3" s="2659"/>
      <c r="I3" s="2659"/>
      <c r="J3" s="2659"/>
      <c r="K3" s="2659"/>
      <c r="L3" s="1147"/>
      <c r="M3" s="1147"/>
    </row>
    <row r="4" spans="1:13" ht="14.25" customHeight="1" x14ac:dyDescent="0.2">
      <c r="B4" s="2667" t="str">
        <f>'Single Audit Cover'!A4</f>
        <v>Year Ending June 30, 2020</v>
      </c>
      <c r="C4" s="2667"/>
      <c r="D4" s="2667"/>
      <c r="E4" s="2667"/>
      <c r="F4" s="2667"/>
      <c r="G4" s="2667"/>
      <c r="H4" s="2667"/>
      <c r="I4" s="2667"/>
      <c r="J4" s="2667"/>
      <c r="K4" s="2667"/>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67" t="s">
        <v>1285</v>
      </c>
      <c r="C7" s="2667"/>
      <c r="D7" s="2668"/>
      <c r="E7" s="2668"/>
      <c r="F7" s="2668"/>
      <c r="G7" s="2668"/>
      <c r="H7" s="2668"/>
      <c r="I7" s="2668"/>
      <c r="J7" s="2668"/>
      <c r="K7" s="2668"/>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54"/>
      <c r="C14" s="2654"/>
      <c r="D14" s="2654"/>
      <c r="E14" s="2654"/>
      <c r="F14" s="2654"/>
      <c r="G14" s="2654"/>
      <c r="H14" s="2654"/>
      <c r="I14" s="2654"/>
      <c r="J14" s="2654"/>
      <c r="K14" s="2654"/>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54"/>
      <c r="C17" s="2654"/>
      <c r="D17" s="2654"/>
      <c r="E17" s="2654"/>
      <c r="F17" s="2654"/>
      <c r="G17" s="2654"/>
      <c r="H17" s="2654"/>
      <c r="I17" s="2654"/>
      <c r="J17" s="2654"/>
      <c r="K17" s="2654"/>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58"/>
      <c r="C20" s="2658"/>
      <c r="D20" s="2654"/>
      <c r="E20" s="2654"/>
      <c r="F20" s="2654"/>
      <c r="G20" s="2654"/>
      <c r="H20" s="2654"/>
      <c r="I20" s="2654"/>
      <c r="J20" s="2654"/>
      <c r="K20" s="2654"/>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54"/>
      <c r="C23" s="2654"/>
      <c r="D23" s="2654"/>
      <c r="E23" s="2654"/>
      <c r="F23" s="2654"/>
      <c r="G23" s="2654"/>
      <c r="H23" s="2654"/>
      <c r="I23" s="2654"/>
      <c r="J23" s="2654"/>
      <c r="K23" s="2654"/>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54"/>
      <c r="C26" s="2654"/>
      <c r="D26" s="2654"/>
      <c r="E26" s="2654"/>
      <c r="F26" s="2654"/>
      <c r="G26" s="2654"/>
      <c r="H26" s="2654"/>
      <c r="I26" s="2654"/>
      <c r="J26" s="2654"/>
      <c r="K26" s="2654"/>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66"/>
      <c r="C29" s="2666"/>
      <c r="D29" s="2654"/>
      <c r="E29" s="2654"/>
      <c r="F29" s="2654"/>
      <c r="G29" s="2654"/>
      <c r="H29" s="2654"/>
      <c r="I29" s="2654"/>
      <c r="J29" s="2654"/>
      <c r="K29" s="2654"/>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66"/>
      <c r="C32" s="2666"/>
      <c r="D32" s="2654"/>
      <c r="E32" s="2654"/>
      <c r="F32" s="2654"/>
      <c r="G32" s="2654"/>
      <c r="H32" s="2654"/>
      <c r="I32" s="2654"/>
      <c r="J32" s="2654"/>
      <c r="K32" s="2654"/>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69" t="str">
        <f>'Single Audit Cover'!A7</f>
        <v xml:space="preserve">   Montmorency CCSD 145</v>
      </c>
      <c r="C1" s="2669"/>
      <c r="D1" s="2669"/>
      <c r="E1" s="2669"/>
      <c r="F1" s="2669"/>
      <c r="G1" s="2669"/>
      <c r="H1" s="2669"/>
      <c r="I1" s="2669"/>
      <c r="J1" s="2669"/>
      <c r="K1" s="2669"/>
      <c r="L1" s="1221"/>
    </row>
    <row r="2" spans="1:12" ht="12.75" customHeight="1" x14ac:dyDescent="0.2">
      <c r="B2" s="2670">
        <f>'Single Audit Cover'!E7</f>
        <v>47098145004</v>
      </c>
      <c r="C2" s="2670"/>
      <c r="D2" s="2670"/>
      <c r="E2" s="2670"/>
      <c r="F2" s="2670"/>
      <c r="G2" s="2670"/>
      <c r="H2" s="2670"/>
      <c r="I2" s="2670"/>
      <c r="J2" s="2670"/>
      <c r="K2" s="2670"/>
      <c r="L2" s="1222"/>
    </row>
    <row r="3" spans="1:12" ht="12.75" customHeight="1" x14ac:dyDescent="0.2">
      <c r="B3" s="2659" t="s">
        <v>1274</v>
      </c>
      <c r="C3" s="2659"/>
      <c r="D3" s="2659"/>
      <c r="E3" s="2659"/>
      <c r="F3" s="2659"/>
      <c r="G3" s="2659"/>
      <c r="H3" s="2659"/>
      <c r="I3" s="2659"/>
      <c r="J3" s="2659"/>
      <c r="K3" s="2659"/>
      <c r="L3" s="1147"/>
    </row>
    <row r="4" spans="1:12" ht="12.75" customHeight="1" x14ac:dyDescent="0.2">
      <c r="B4" s="2659" t="str">
        <f>'Single Audit Cover'!A4</f>
        <v>Year Ending June 30, 2020</v>
      </c>
      <c r="C4" s="2659"/>
      <c r="D4" s="2659"/>
      <c r="E4" s="2659"/>
      <c r="F4" s="2659"/>
      <c r="G4" s="2659"/>
      <c r="H4" s="2659"/>
      <c r="I4" s="2659"/>
      <c r="J4" s="2659"/>
      <c r="K4" s="2659"/>
      <c r="L4" s="1147"/>
    </row>
    <row r="5" spans="1:12" ht="5.25" customHeight="1" x14ac:dyDescent="0.2">
      <c r="B5" s="1036" t="s">
        <v>1159</v>
      </c>
      <c r="C5" s="1036"/>
      <c r="L5" s="300"/>
    </row>
    <row r="6" spans="1:12" ht="30.75" customHeight="1" x14ac:dyDescent="0.2">
      <c r="A6" s="300"/>
      <c r="B6" s="2671" t="s">
        <v>1297</v>
      </c>
      <c r="C6" s="2671"/>
      <c r="D6" s="2671"/>
      <c r="E6" s="2671"/>
      <c r="F6" s="2671"/>
      <c r="G6" s="2671"/>
      <c r="H6" s="2671"/>
      <c r="I6" s="2671"/>
      <c r="J6" s="2671"/>
      <c r="K6" s="2671"/>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40"/>
      <c r="G12" s="2640"/>
      <c r="H12" s="2640"/>
      <c r="I12" s="2640"/>
      <c r="J12" s="2640"/>
      <c r="K12" s="2640"/>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72"/>
      <c r="E14" s="2672"/>
      <c r="F14" s="2672"/>
      <c r="H14" s="1230" t="s">
        <v>1292</v>
      </c>
      <c r="I14" s="2673"/>
      <c r="J14" s="2673"/>
      <c r="K14" s="2673"/>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73"/>
      <c r="E16" s="2673"/>
      <c r="F16" s="2673"/>
      <c r="G16" s="2673"/>
      <c r="H16" s="2673"/>
      <c r="I16" s="2673"/>
      <c r="J16" s="2673"/>
      <c r="K16" s="2673"/>
      <c r="L16" s="300"/>
    </row>
    <row r="17" spans="2:12" ht="13.5" customHeight="1" x14ac:dyDescent="0.2">
      <c r="B17" s="1156" t="s">
        <v>1290</v>
      </c>
      <c r="C17" s="1156"/>
      <c r="D17" s="2674"/>
      <c r="E17" s="2674"/>
      <c r="F17" s="2674"/>
      <c r="G17" s="2674"/>
      <c r="H17" s="2674"/>
      <c r="I17" s="2674"/>
      <c r="J17" s="2674"/>
      <c r="K17" s="2674"/>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54"/>
      <c r="C20" s="2654"/>
      <c r="D20" s="2654"/>
      <c r="E20" s="2654"/>
      <c r="F20" s="2654"/>
      <c r="G20" s="2654"/>
      <c r="H20" s="2654"/>
      <c r="I20" s="2654"/>
      <c r="J20" s="2654"/>
      <c r="K20" s="2654"/>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54"/>
      <c r="C23" s="2654"/>
      <c r="D23" s="2654"/>
      <c r="E23" s="2654"/>
      <c r="F23" s="2654"/>
      <c r="G23" s="2654"/>
      <c r="H23" s="2654"/>
      <c r="I23" s="2654"/>
      <c r="J23" s="2654"/>
      <c r="K23" s="2654"/>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54"/>
      <c r="C26" s="2654"/>
      <c r="D26" s="2654"/>
      <c r="E26" s="2654"/>
      <c r="F26" s="2654"/>
      <c r="G26" s="2654"/>
      <c r="H26" s="2654"/>
      <c r="I26" s="2654"/>
      <c r="J26" s="2654"/>
      <c r="K26" s="2654"/>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54"/>
      <c r="C29" s="2654"/>
      <c r="D29" s="2654"/>
      <c r="E29" s="2654"/>
      <c r="F29" s="2654"/>
      <c r="G29" s="2654"/>
      <c r="H29" s="2654"/>
      <c r="I29" s="2654"/>
      <c r="J29" s="2654"/>
      <c r="K29" s="2654"/>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54"/>
      <c r="C32" s="2654"/>
      <c r="D32" s="2654"/>
      <c r="E32" s="2654"/>
      <c r="F32" s="2654"/>
      <c r="G32" s="2654"/>
      <c r="H32" s="2654"/>
      <c r="I32" s="2654"/>
      <c r="J32" s="2654"/>
      <c r="K32" s="2654"/>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54"/>
      <c r="C35" s="2654"/>
      <c r="D35" s="2654"/>
      <c r="E35" s="2654"/>
      <c r="F35" s="2654"/>
      <c r="G35" s="2654"/>
      <c r="H35" s="2654"/>
      <c r="I35" s="2654"/>
      <c r="J35" s="2654"/>
      <c r="K35" s="2654"/>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54"/>
      <c r="C38" s="2654"/>
      <c r="D38" s="2654"/>
      <c r="E38" s="2654"/>
      <c r="F38" s="2654"/>
      <c r="G38" s="2654"/>
      <c r="H38" s="2654"/>
      <c r="I38" s="2654"/>
      <c r="J38" s="2654"/>
      <c r="K38" s="2654"/>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54"/>
      <c r="C41" s="2654"/>
      <c r="D41" s="2654"/>
      <c r="E41" s="2654"/>
      <c r="F41" s="2654"/>
      <c r="G41" s="2654"/>
      <c r="H41" s="2654"/>
      <c r="I41" s="2654"/>
      <c r="J41" s="2654"/>
      <c r="K41" s="2654"/>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dcmitype/"/>
    <ds:schemaRef ds:uri="http://purl.org/dc/terms/"/>
    <ds:schemaRef ds:uri="http://schemas.microsoft.com/office/2006/documentManagement/types"/>
    <ds:schemaRef ds:uri="http://schemas.microsoft.com/sharepoint/v3"/>
    <ds:schemaRef ds:uri="http://purl.org/dc/elements/1.1/"/>
    <ds:schemaRef ds:uri="http://schemas.microsoft.com/office/infopath/2007/PartnerControls"/>
    <ds:schemaRef ds:uri="d21dc803-237d-4c68-8692-8d731fd29118"/>
    <ds:schemaRef ds:uri="http://schemas.openxmlformats.org/package/2006/metadata/core-properties"/>
    <ds:schemaRef ds:uri="4d435f69-8686-490b-bd6d-b153bf22ab50"/>
    <ds:schemaRef ds:uri="6ce3111e-7420-4802-b50a-75d4e9a0b98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Finding 2020-001</vt:lpstr>
      <vt:lpstr>SSPAF</vt:lpstr>
      <vt:lpstr>CAP-001</vt:lpstr>
      <vt:lpstr>SF&amp;QC Sec-2</vt:lpstr>
      <vt:lpstr>SF&amp;QC Sec-3</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2020-09-25T15:02:31Z</cp:lastPrinted>
  <dcterms:created xsi:type="dcterms:W3CDTF">2003-10-29T19:06:34Z</dcterms:created>
  <dcterms:modified xsi:type="dcterms:W3CDTF">2020-10-15T14:27:11Z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