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E27D3F5-1697-42CA-9F60-4F31F2BDEEB9}"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5" i="184" l="1"/>
  <c r="E63" i="184"/>
  <c r="E61" i="184"/>
  <c r="E60" i="184"/>
  <c r="F15" i="184" l="1"/>
  <c r="E14" i="184"/>
  <c r="E12" i="184"/>
  <c r="J7" i="184"/>
  <c r="L53" i="184" s="1"/>
  <c r="J6" i="184"/>
  <c r="L52" i="184" s="1"/>
  <c r="M68" i="184"/>
  <c r="L68" i="184"/>
  <c r="K68" i="184"/>
  <c r="G16" i="184" s="1"/>
  <c r="H16" i="184" s="1"/>
  <c r="J68" i="184"/>
  <c r="G15" i="184" s="1"/>
  <c r="H15" i="184" s="1"/>
  <c r="I68" i="184"/>
  <c r="H68" i="184"/>
  <c r="G68" i="184"/>
  <c r="E68" i="184"/>
  <c r="N67" i="184"/>
  <c r="N66" i="184"/>
  <c r="N65" i="184"/>
  <c r="N64" i="184"/>
  <c r="N63" i="184"/>
  <c r="N62" i="184"/>
  <c r="N61" i="184"/>
  <c r="N60" i="184"/>
  <c r="N59" i="184"/>
  <c r="N58" i="184"/>
  <c r="N57" i="184"/>
  <c r="K19" i="184"/>
  <c r="J19" i="184"/>
  <c r="I19" i="184"/>
  <c r="F19" i="184"/>
  <c r="E19" i="184"/>
  <c r="L18" i="184"/>
  <c r="H18" i="184"/>
  <c r="L17" i="184"/>
  <c r="G17" i="184"/>
  <c r="H17" i="184" s="1"/>
  <c r="L16" i="184"/>
  <c r="L15" i="184"/>
  <c r="L14" i="184"/>
  <c r="G14" i="184"/>
  <c r="H14" i="184" s="1"/>
  <c r="L13" i="184"/>
  <c r="G13" i="184"/>
  <c r="H13" i="184" s="1"/>
  <c r="L12" i="184"/>
  <c r="H12" i="184"/>
  <c r="N68" i="184" l="1"/>
  <c r="L19" i="184"/>
  <c r="H19" i="184"/>
  <c r="G19" i="184"/>
  <c r="L20" i="184" l="1"/>
  <c r="F37" i="183"/>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F18" i="183"/>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H342" i="29" l="1"/>
  <c r="C342" i="29"/>
  <c r="B7216" i="106" s="1"/>
  <c r="D7216" i="106" s="1"/>
  <c r="D22" i="37"/>
  <c r="B2836" i="106"/>
  <c r="D2836" i="106" s="1"/>
  <c r="B7076" i="106"/>
  <c r="D7076" i="106" s="1"/>
  <c r="F50" i="34"/>
  <c r="I129" i="29"/>
  <c r="B7037" i="106" s="1"/>
  <c r="D7037" i="106" s="1"/>
  <c r="J129" i="29"/>
  <c r="B7038" i="106" s="1"/>
  <c r="D7038"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N23" i="3" l="1"/>
  <c r="B284" i="106" s="1"/>
  <c r="D284" i="106" s="1"/>
  <c r="F41" i="108"/>
  <c r="G43" i="108" s="1"/>
  <c r="D44" i="36"/>
  <c r="B7235" i="106"/>
  <c r="D7235" i="106" s="1"/>
  <c r="B6216" i="106"/>
  <c r="D6216" i="106" s="1"/>
  <c r="L114" i="29"/>
  <c r="F66" i="34"/>
  <c r="K365" i="29"/>
  <c r="E367" i="29"/>
  <c r="B3636" i="106" s="1"/>
  <c r="D3636" i="106" s="1"/>
  <c r="B3635" i="106"/>
  <c r="D3635" i="106" s="1"/>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6227" i="106" l="1"/>
  <c r="D6227" i="106" s="1"/>
  <c r="J20" i="4"/>
  <c r="K17" i="4"/>
  <c r="K19" i="4" s="1"/>
  <c r="B4144" i="106" s="1"/>
  <c r="D4144"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6" i="106" s="1"/>
  <c r="D3576" i="106"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<sst xmlns="http://schemas.openxmlformats.org/spreadsheetml/2006/main" count="5161" uniqueCount="2093">
  <si>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</si>
  <si>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</si>
  <si>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</si>
  <si>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</si>
  <si>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</si>
  <si>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</si>
  <si>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</si>
  <si>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</si>
  <si>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</si>
  <si>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</si>
  <si>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</si>
  <si>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</si>
  <si>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</si>
  <si>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</si>
  <si>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</si>
  <si>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</si>
  <si>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</si>
  <si>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</si>
  <si>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</si>
  <si>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</si>
  <si>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</si>
  <si>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</si>
  <si>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</si>
  <si>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</si>
  <si>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</si>
  <si>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</si>
  <si>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</si>
  <si>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</si>
  <si>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</si>
  <si>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</si>
  <si>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</si>
  <si>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</si>
  <si>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</si>
  <si>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</si>
  <si>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</si>
  <si>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</si>
  <si>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</si>
  <si>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</si>
  <si>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</si>
  <si>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</si>
  <si>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</si>
  <si>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</si>
  <si>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</si>
  <si>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</si>
  <si>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</si>
  <si>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</si>
  <si>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</si>
  <si>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</si>
  <si>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</si>
  <si>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</si>
  <si>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</si>
  <si>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</si>
  <si>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</si>
  <si>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</si>
  <si>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</si>
  <si>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</si>
  <si>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</si>
  <si>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</si>
  <si>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</si>
  <si>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</si>
  <si>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</si>
  <si>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</si>
  <si>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</si>
  <si>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</si>
  <si>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</si>
  <si>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</si>
  <si>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</si>
  <si>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</si>
  <si>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</si>
  <si>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</si>
  <si>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</si>
  <si>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</si>
  <si>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</si>
  <si>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</si>
  <si>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</si>
  <si>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</si>
  <si>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</si>
  <si>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</si>
  <si>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</si>
  <si>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</si>
  <si>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</si>
  <si>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</si>
  <si>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</si>
  <si>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</si>
  <si>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</si>
  <si>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</si>
  <si>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</si>
  <si>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</si>
  <si>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</si>
  <si>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</si>
  <si>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</si>
  <si>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</si>
  <si>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</si>
  <si>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</si>
  <si>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</si>
  <si>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</si>
  <si>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</si>
  <si>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</si>
  <si>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</si>
  <si>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</si>
  <si>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</si>
  <si>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</si>
  <si>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</si>
  <si>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</si>
  <si>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</si>
  <si>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</si>
  <si>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</si>
  <si>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</si>
  <si>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</si>
  <si>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</si>
  <si>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</si>
  <si>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</si>
  <si>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</si>
  <si>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</si>
  <si>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</si>
  <si>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</si>
  <si>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</si>
  <si>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</si>
  <si>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</si>
  <si>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</si>
  <si>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</si>
  <si>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</si>
  <si>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</si>
  <si>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</si>
  <si>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</si>
  <si>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</si>
  <si>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</si>
  <si>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</si>
  <si>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</si>
  <si>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</si>
  <si>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</si>
  <si>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</si>
  <si>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</si>
  <si>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</si>
  <si>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</si>
  <si>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</si>
  <si>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</si>
  <si>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</si>
  <si>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</si>
  <si>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</si>
  <si>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</si>
  <si>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</si>
  <si>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</si>
  <si>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</si>
  <si>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</si>
  <si>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</si>
  <si>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</si>
  <si>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</si>
  <si>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</si>
  <si>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</si>
  <si>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</si>
  <si>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</si>
  <si>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</si>
  <si>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</si>
  <si>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</si>
  <si>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</si>
  <si>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</si>
  <si>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</si>
  <si>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</si>
  <si>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</si>
  <si>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</si>
  <si>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</si>
  <si>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</si>
  <si>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</si>
  <si>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</si>
  <si>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</si>
  <si>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</si>
  <si>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</si>
  <si>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</si>
  <si>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</si>
  <si>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</si>
  <si>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</si>
  <si>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</si>
  <si>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</si>
  <si>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</si>
  <si>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</si>
  <si>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</si>
  <si>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</si>
  <si>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</si>
  <si>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</si>
  <si>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</si>
  <si>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</si>
  <si>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</si>
  <si>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</si>
  <si>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</si>
  <si>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</si>
  <si>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</si>
  <si>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</si>
  <si>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</si>
  <si>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</si>
  <si>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</si>
  <si>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</si>
  <si>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</si>
  <si>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</si>
  <si>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</si>
  <si>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</si>
  <si>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</si>
  <si>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</si>
  <si>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</si>
  <si>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</si>
  <si>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</si>
  <si>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</si>
  <si>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</si>
  <si>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</si>
  <si>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</si>
  <si>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</si>
  <si>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</si>
  <si>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</si>
  <si>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</si>
  <si>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</si>
  <si>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</si>
  <si>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</si>
  <si>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</si>
  <si>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</si>
  <si>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</si>
  <si>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</si>
  <si>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</si>
  <si>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</si>
  <si>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</si>
  <si>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</si>
  <si>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</si>
  <si>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</si>
  <si>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</si>
  <si>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</si>
  <si>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</si>
  <si>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</si>
  <si>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</si>
  <si>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</si>
  <si>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</si>
  <si>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</si>
  <si>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</si>
  <si>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</si>
  <si>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</si>
  <si>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</si>
  <si>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</si>
  <si>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</si>
  <si>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</si>
  <si>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</si>
  <si>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</si>
  <si>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</si>
  <si>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</si>
  <si>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</si>
  <si>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</si>
  <si>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</si>
  <si>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</si>
  <si>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</si>
  <si>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</si>
  <si>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</si>
  <si>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</si>
  <si>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</si>
  <si>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</si>
  <si>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</si>
  <si>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</si>
  <si>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</si>
  <si>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</si>
  <si>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</si>
  <si>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</si>
  <si>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</si>
  <si>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</si>
  <si>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</si>
  <si>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</si>
  <si>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</si>
  <si>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</si>
  <si>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</si>
  <si>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</si>
  <si>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</si>
  <si>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</si>
  <si>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</si>
  <si>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</si>
  <si>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</si>
  <si>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</si>
  <si>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</si>
  <si>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</si>
  <si>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</si>
  <si>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</si>
  <si>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</si>
  <si>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</si>
  <si>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</si>
  <si>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</si>
  <si>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</si>
  <si>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</si>
  <si>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</si>
  <si>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</si>
  <si>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</si>
  <si>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</si>
  <si>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</si>
  <si>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</si>
  <si>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</si>
  <si>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</si>
  <si>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</si>
  <si>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</si>
  <si>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</si>
  <si>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</si>
  <si>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</si>
  <si>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</si>
  <si>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</si>
  <si>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</si>
  <si>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</si>
  <si>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</si>
  <si>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</si>
  <si>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</si>
  <si>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</si>
  <si>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</si>
  <si>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</si>
  <si>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</si>
  <si>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</si>
  <si>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</si>
  <si>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</si>
  <si>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</si>
  <si>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</si>
  <si>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</si>
  <si>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</si>
  <si>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</si>
  <si>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</si>
  <si>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</si>
  <si>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</si>
  <si>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</si>
  <si>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</si>
  <si>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</si>
  <si>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</si>
  <si>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</si>
  <si>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</si>
  <si>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</si>
  <si>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</si>
  <si>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</si>
  <si>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</si>
  <si>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</si>
  <si>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</si>
  <si>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</si>
  <si>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</si>
  <si>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</si>
  <si>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</si>
  <si>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</si>
  <si>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</si>
  <si>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</si>
  <si>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</si>
  <si>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</si>
  <si>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</si>
  <si>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</si>
  <si>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</si>
  <si>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</si>
  <si>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</si>
  <si>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</si>
  <si>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</si>
  <si>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</si>
  <si>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</si>
  <si>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</si>
  <si>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</si>
  <si>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</si>
  <si>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</si>
  <si>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</si>
  <si>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</si>
  <si>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</si>
  <si>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</si>
  <si>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</si>
  <si>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</si>
  <si>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</si>
  <si>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</si>
  <si>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</si>
  <si>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</si>
  <si>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</si>
  <si>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</si>
  <si>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</si>
  <si>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</si>
  <si>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</si>
  <si>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</si>
  <si>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</si>
  <si>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</si>
  <si>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</si>
  <si>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</si>
  <si>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</si>
  <si>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</si>
  <si>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</si>
  <si>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</si>
  <si>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</si>
  <si>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</si>
  <si>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</si>
  <si>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</si>
  <si>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</si>
  <si>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</si>
  <si>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</si>
  <si>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</si>
  <si>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</si>
  <si>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</si>
  <si>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</si>
  <si>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</si>
  <si>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</si>
  <si>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</si>
  <si>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</si>
  <si>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</si>
  <si>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</si>
  <si>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</si>
  <si>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</si>
  <si>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</si>
  <si>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</si>
  <si>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</si>
  <si>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</si>
  <si>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</si>
  <si>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</si>
  <si>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</si>
  <si>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</si>
  <si>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</si>
  <si>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</si>
  <si>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</si>
  <si>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</si>
  <si>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</si>
  <si>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</si>
  <si>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</si>
  <si>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</si>
  <si>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</si>
  <si>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</si>
  <si>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</si>
  <si>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</si>
  <si>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</si>
  <si>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</si>
  <si>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</si>
  <si>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</si>
  <si>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</si>
  <si>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</si>
  <si>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</si>
  <si>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</si>
  <si>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</si>
  <si>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</si>
  <si>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</si>
  <si>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</si>
  <si>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</si>
  <si>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</si>
  <si>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</si>
  <si>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</si>
  <si>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</si>
  <si>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</si>
  <si>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</si>
  <si>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</si>
  <si>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</si>
  <si>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</si>
  <si>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</si>
  <si>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</si>
  <si>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</si>
  <si>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</si>
  <si>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</si>
  <si>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</si>
  <si>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</si>
  <si>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</si>
  <si>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</si>
  <si>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</si>
  <si>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</si>
  <si>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</si>
  <si>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</si>
  <si>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</si>
  <si>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</si>
  <si>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</si>
  <si>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</si>
  <si>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</si>
  <si>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</si>
  <si>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</si>
  <si>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</si>
  <si>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</si>
  <si>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</si>
  <si>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</si>
  <si>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</si>
  <si>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</si>
  <si>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</si>
  <si>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</si>
  <si>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</si>
  <si>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</si>
  <si>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</si>
  <si>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</si>
  <si>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</si>
  <si>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</si>
  <si>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</si>
  <si>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</si>
  <si>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</si>
  <si>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</si>
  <si>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</si>
  <si>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</si>
  <si>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</si>
  <si>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</si>
  <si>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</si>
  <si>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</si>
  <si>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</si>
  <si>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</si>
  <si>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</si>
  <si>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</si>
  <si>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</si>
  <si>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</si>
  <si>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</si>
  <si>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</si>
  <si>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</si>
  <si>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</si>
  <si>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</si>
  <si>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</si>
  <si>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</si>
  <si>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</si>
  <si>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</si>
  <si>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</si>
  <si>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</si>
  <si>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</si>
  <si>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</si>
  <si>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</si>
  <si>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</si>
  <si>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</si>
  <si>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</si>
  <si>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</si>
  <si>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</si>
  <si>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</si>
  <si>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</si>
  <si>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</si>
  <si>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</si>
  <si>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</si>
  <si>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</si>
  <si>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</si>
  <si>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</si>
  <si>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</si>
  <si>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</si>
  <si>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</si>
  <si>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</si>
  <si>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</si>
  <si>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</si>
  <si>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</si>
  <si>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</si>
  <si>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</si>
  <si>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</si>
  <si>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</si>
  <si>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</si>
  <si>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</si>
  <si>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</si>
  <si>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</si>
  <si>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</si>
  <si>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</si>
  <si>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</si>
  <si>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</si>
  <si>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</si>
  <si>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</si>
  <si>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</si>
  <si>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</si>
  <si>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</si>
  <si>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</si>
  <si>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</si>
  <si>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</si>
  <si>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</si>
  <si>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</si>
  <si>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</si>
  <si>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</si>
  <si>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</si>
  <si>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</si>
  <si>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</si>
  <si>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</si>
  <si>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</si>
  <si>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</si>
  <si>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</si>
  <si>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</si>
  <si>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</si>
  <si>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</si>
  <si>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</si>
  <si>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</si>
  <si>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</si>
  <si>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</si>
  <si>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</si>
  <si>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</si>
  <si>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</si>
  <si>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</si>
  <si>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</si>
  <si>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</si>
  <si>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</si>
  <si>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</si>
  <si>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</si>
  <si>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</si>
  <si>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</si>
  <si>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</si>
  <si>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</si>
  <si>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</si>
  <si>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</si>
  <si>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</si>
  <si>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</si>
  <si>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</si>
  <si>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</si>
  <si>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</si>
  <si>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</si>
  <si>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</si>
  <si>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</si>
  <si>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</si>
  <si>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</si>
  <si>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</si>
  <si>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</si>
  <si>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</si>
  <si>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</si>
  <si>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</si>
  <si>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</si>
  <si>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</si>
  <si>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</si>
  <si>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</si>
  <si>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</si>
  <si>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</si>
  <si>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</si>
  <si>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</si>
  <si>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</si>
  <si>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</si>
  <si>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</si>
  <si>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</si>
  <si>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</si>
  <si>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</si>
  <si>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</si>
  <si>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</si>
  <si>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</si>
  <si>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</si>
  <si>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</si>
  <si>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</si>
  <si>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</si>
  <si>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</si>
  <si>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</si>
  <si>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</si>
  <si>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</si>
  <si>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</si>
  <si>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</si>
  <si>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</si>
  <si>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</si>
  <si>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</si>
  <si>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</si>
  <si>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</si>
  <si>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</si>
  <si>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</si>
  <si>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</si>
  <si>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</si>
  <si>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</si>
  <si>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</si>
  <si>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</si>
  <si>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</si>
  <si>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</si>
  <si>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</si>
  <si>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</si>
  <si>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</si>
  <si>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</si>
  <si>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</si>
  <si>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</si>
  <si>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</si>
  <si>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</si>
  <si>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</si>
  <si>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</si>
  <si>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</si>
  <si>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</si>
  <si>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</si>
  <si>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</si>
  <si>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</si>
  <si>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</si>
  <si>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</si>
  <si>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</si>
  <si>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</si>
  <si>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</si>
  <si>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</si>
  <si>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</si>
  <si>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</si>
  <si>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</si>
  <si>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</si>
  <si>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</si>
  <si>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</si>
  <si>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</si>
  <si>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</si>
  <si>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</si>
  <si>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</si>
  <si>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</si>
  <si>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</si>
  <si>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</si>
  <si>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</si>
  <si>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</si>
  <si>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</si>
  <si>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</si>
  <si>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</si>
  <si>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</si>
  <si>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</si>
  <si>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</si>
  <si>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</si>
  <si>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</si>
  <si>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</si>
  <si>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</si>
  <si>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</si>
  <si>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</si>
  <si>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</si>
  <si>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</si>
  <si>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</si>
  <si>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</si>
  <si>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</si>
  <si>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</si>
  <si>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</si>
  <si>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</si>
  <si>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</si>
  <si>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</si>
  <si>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</si>
  <si>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</si>
  <si>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</si>
  <si>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</si>
  <si>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</si>
  <si>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</si>
  <si>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</si>
  <si>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</si>
  <si>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</si>
  <si>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</si>
  <si>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</si>
  <si>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</si>
  <si>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</si>
  <si>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</si>
  <si>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</si>
  <si>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</si>
  <si>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</si>
  <si>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</si>
  <si>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</si>
  <si>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</si>
  <si>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</si>
  <si>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</si>
  <si>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</si>
  <si>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</si>
  <si>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</si>
  <si>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</si>
  <si>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</si>
  <si>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</si>
  <si>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</si>
  <si>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</si>
  <si>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</si>
  <si>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</si>
  <si>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</si>
  <si>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</si>
  <si>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</si>
  <si>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</si>
  <si>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</si>
  <si>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</si>
  <si>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</si>
  <si>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</si>
  <si>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</si>
  <si>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</si>
  <si>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</si>
  <si>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</si>
  <si>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</si>
  <si>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</si>
  <si>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</si>
  <si>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</si>
  <si>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</si>
  <si>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</si>
  <si>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</si>
  <si>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</si>
  <si>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</si>
  <si>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</si>
  <si>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</si>
  <si>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</si>
  <si>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</si>
  <si>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</si>
  <si>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</si>
  <si>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</si>
  <si>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</si>
  <si>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</si>
  <si>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</si>
  <si>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</si>
  <si>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</si>
  <si>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</si>
  <si>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</si>
  <si>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</si>
  <si>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</si>
  <si>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</si>
  <si>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</si>
  <si>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</si>
  <si>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</si>
  <si>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</si>
  <si>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</si>
  <si>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</si>
  <si>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</si>
  <si>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</si>
  <si>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</si>
  <si>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</si>
  <si>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</si>
  <si>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</si>
  <si>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</si>
  <si>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</si>
  <si>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</si>
  <si>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</si>
  <si>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</si>
  <si>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</si>
  <si>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</si>
  <si>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</si>
  <si>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</si>
  <si>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</si>
  <si>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</si>
  <si>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</si>
  <si>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</si>
  <si>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</si>
  <si>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</si>
  <si>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</si>
  <si>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</si>
  <si>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</si>
  <si>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</si>
  <si>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</si>
  <si>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</si>
  <si>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</si>
  <si>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</si>
  <si>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</si>
  <si>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</si>
  <si>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</si>
  <si>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</si>
  <si>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</si>
  <si>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</si>
  <si>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</si>
  <si>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</si>
  <si>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</si>
  <si>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</si>
  <si>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</si>
  <si>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</si>
  <si>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</si>
  <si>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</si>
  <si>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</si>
  <si>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</si>
  <si>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</si>
  <si>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</si>
  <si>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</si>
  <si>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</si>
  <si>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</si>
  <si>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</si>
  <si>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</si>
  <si>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</si>
  <si>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</si>
  <si>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</si>
  <si>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</si>
  <si>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</si>
  <si>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</si>
  <si>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</si>
  <si>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</si>
  <si>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</si>
  <si>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</si>
  <si>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</si>
  <si>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</si>
  <si>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</si>
  <si>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</si>
  <si>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</si>
  <si>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</si>
  <si>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</si>
  <si>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</si>
  <si>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</si>
  <si>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</si>
  <si>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</si>
  <si>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</si>
  <si>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</si>
  <si>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</si>
  <si>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</si>
  <si>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</si>
  <si>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</si>
  <si>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</si>
  <si>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</si>
  <si>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</si>
  <si>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</si>
  <si>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</si>
  <si>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</si>
  <si>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</si>
  <si>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</si>
  <si>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</si>
  <si>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</si>
  <si>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</si>
  <si>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</si>
  <si>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</si>
  <si>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</si>
  <si>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</si>
  <si>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</si>
  <si>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</si>
  <si>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</si>
  <si>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</si>
  <si>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</si>
  <si>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</si>
  <si>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</si>
  <si>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</si>
  <si>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</si>
  <si>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</si>
  <si>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</si>
  <si>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</si>
  <si>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</si>
  <si>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</si>
  <si>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</si>
  <si>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</si>
  <si>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</si>
  <si>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</si>
  <si>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</si>
  <si>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</si>
  <si>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</si>
  <si>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</si>
  <si>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</si>
  <si>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</si>
  <si>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</si>
  <si>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</si>
  <si>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</si>
  <si>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</si>
  <si>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</si>
  <si>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</si>
  <si>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</si>
  <si>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</si>
  <si>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</si>
  <si>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</si>
  <si>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</si>
  <si>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</si>
  <si>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</si>
  <si>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</si>
  <si>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</si>
  <si>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</si>
  <si>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</si>
  <si>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</si>
  <si>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</si>
  <si>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</si>
  <si>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</si>
  <si>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</si>
  <si>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</si>
  <si>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</si>
  <si>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</si>
  <si>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</si>
  <si>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</si>
  <si>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</si>
  <si>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</si>
  <si>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</si>
  <si>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</si>
  <si>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</si>
  <si>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</si>
  <si>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</si>
  <si>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</si>
  <si>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</si>
  <si>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</si>
  <si>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</si>
  <si>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</si>
  <si>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</si>
  <si>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</si>
  <si>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</si>
  <si>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</si>
  <si>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</si>
  <si>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</si>
  <si>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</si>
  <si>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</si>
  <si>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</si>
  <si>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</si>
  <si>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</si>
  <si>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</si>
  <si>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</si>
  <si>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</si>
  <si>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</si>
  <si>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</si>
  <si>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</si>
  <si>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</si>
  <si>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</si>
  <si>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</si>
  <si>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</si>
  <si>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</si>
  <si>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</si>
  <si>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</si>
  <si>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</si>
  <si>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</si>
  <si>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</si>
  <si>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</si>
  <si>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</si>
  <si>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</si>
  <si>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</si>
  <si>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</si>
  <si>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</si>
  <si>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</si>
  <si>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</si>
  <si>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</si>
  <si>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</si>
  <si>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</si>
  <si>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</si>
  <si>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</si>
  <si>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</si>
  <si>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</si>
  <si>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</si>
  <si>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</si>
  <si>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</si>
  <si>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</si>
  <si>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</si>
  <si>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</si>
  <si>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</si>
  <si>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</si>
  <si>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</si>
  <si>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</si>
  <si>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</si>
  <si>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</si>
  <si>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</si>
  <si>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</si>
  <si>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</si>
  <si>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</si>
  <si>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</si>
  <si>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</si>
  <si>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</si>
  <si>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</si>
  <si>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</si>
  <si>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</si>
  <si>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</si>
  <si>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</si>
  <si>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</si>
  <si>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</si>
  <si>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</si>
  <si>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</si>
  <si>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</si>
  <si>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</si>
  <si>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</si>
  <si>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</si>
  <si>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</si>
  <si>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</si>
  <si>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</si>
  <si>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</si>
  <si>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</si>
  <si>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</si>
  <si>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</si>
  <si>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</si>
  <si>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</si>
  <si>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</si>
  <si>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</si>
  <si>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</si>
  <si>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</si>
  <si>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</si>
  <si>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</si>
  <si>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</si>
  <si>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</si>
  <si>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</si>
  <si>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</si>
  <si>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</si>
  <si>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</si>
  <si>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</si>
  <si>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</si>
  <si>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</si>
  <si>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</si>
  <si>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</si>
  <si>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</si>
  <si>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</si>
  <si>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</si>
  <si>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</si>
  <si>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</si>
  <si>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</si>
  <si>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</si>
  <si>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</si>
  <si>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</si>
  <si>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</si>
  <si>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</si>
  <si>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</si>
  <si>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</si>
  <si>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</si>
  <si>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</si>
  <si>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</si>
  <si>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</si>
  <si>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</si>
  <si>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</si>
  <si>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</si>
  <si>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</si>
  <si>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</si>
  <si>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</si>
  <si>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</si>
  <si>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</si>
  <si>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</si>
  <si>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</si>
  <si>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</si>
  <si>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</si>
  <si>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</si>
  <si>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</si>
  <si>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</si>
  <si>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</si>
  <si>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</si>
  <si>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</si>
  <si>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</si>
  <si>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</si>
  <si>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</si>
  <si>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</si>
  <si>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</si>
  <si>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</si>
  <si>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</si>
  <si>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</si>
  <si>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</si>
  <si>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</si>
  <si>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</si>
  <si>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</si>
  <si>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</si>
  <si>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</si>
  <si>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</si>
  <si>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</si>
  <si>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</si>
  <si>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</si>
  <si>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</si>
  <si>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</si>
  <si>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</si>
  <si>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</si>
  <si>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</si>
  <si>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</si>
  <si>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</si>
  <si>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</si>
  <si>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</si>
  <si>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</si>
  <si>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</si>
  <si>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</si>
  <si>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</si>
  <si>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</si>
  <si>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</si>
  <si>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</si>
  <si>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</si>
  <si>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</si>
  <si>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</si>
  <si>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</si>
  <si>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</si>
  <si>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</si>
  <si>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</si>
  <si>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</si>
  <si>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</si>
  <si>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</si>
  <si>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</si>
  <si>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</si>
  <si>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</si>
  <si>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</si>
  <si>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</si>
  <si>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</si>
  <si>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</si>
  <si>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</si>
  <si>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</si>
  <si>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</si>
  <si>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</si>
  <si>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</si>
  <si>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</si>
  <si>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</si>
  <si>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</si>
  <si>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</si>
  <si>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</si>
  <si>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</si>
  <si>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</si>
  <si>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</si>
  <si>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</si>
  <si>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</si>
  <si>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</si>
  <si>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</si>
  <si>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</si>
  <si>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</si>
  <si>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</si>
  <si>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</si>
  <si>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</si>
  <si>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</si>
  <si>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</si>
  <si>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</si>
  <si>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</si>
  <si>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</si>
  <si>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</si>
  <si>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</si>
  <si>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</si>
  <si>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</si>
  <si>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</si>
  <si>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</si>
  <si>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</si>
  <si>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</si>
  <si>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</si>
  <si>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</si>
  <si>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</si>
  <si>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</si>
  <si>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</si>
  <si>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</si>
  <si>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</si>
  <si>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</si>
  <si>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</si>
  <si>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</si>
  <si>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</si>
  <si>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</si>
  <si>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</si>
  <si>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</si>
  <si>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</si>
  <si>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</si>
  <si>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</si>
  <si>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</si>
  <si>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</si>
  <si>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</si>
  <si>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</si>
  <si>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</si>
  <si>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</si>
  <si>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</si>
  <si>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</si>
  <si>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</si>
  <si>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</si>
  <si>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</si>
  <si>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</si>
  <si>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</si>
  <si>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</si>
  <si>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</si>
  <si>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</si>
  <si>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</si>
  <si>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</si>
  <si>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</si>
  <si>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</si>
  <si>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</si>
  <si>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</si>
  <si>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</si>
  <si>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</si>
  <si>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</si>
  <si>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</si>
  <si>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</si>
  <si>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</si>
  <si>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</si>
  <si>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</si>
  <si>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</si>
  <si>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</si>
  <si>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</si>
  <si>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</si>
  <si>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</si>
  <si>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</si>
  <si>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</si>
  <si>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</si>
  <si>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</si>
  <si>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</si>
  <si>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</si>
  <si>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</si>
  <si>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</si>
  <si>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</si>
  <si>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</si>
  <si>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</si>
  <si>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</si>
  <si>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</si>
  <si>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</si>
  <si>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</si>
  <si>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</si>
  <si>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</si>
  <si>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</si>
  <si>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</si>
  <si>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</si>
  <si>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</si>
  <si>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</si>
  <si>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</si>
  <si>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</si>
  <si>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</si>
  <si>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</si>
  <si>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</si>
  <si>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</si>
  <si>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</si>
  <si>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</si>
  <si>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</si>
  <si>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</si>
  <si>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</si>
  <si>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</si>
  <si>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</si>
  <si>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</si>
  <si>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</si>
  <si>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</si>
  <si>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</si>
  <si>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</si>
  <si>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</si>
  <si>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</si>
  <si>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</si>
  <si>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</si>
  <si>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</si>
  <si>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</si>
  <si>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</si>
  <si>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</si>
  <si>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</si>
  <si>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</si>
  <si>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</si>
  <si>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</si>
  <si>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</si>
  <si>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</si>
  <si>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</si>
  <si>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</si>
  <si>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</si>
  <si>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</si>
  <si>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</si>
  <si>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</si>
  <si>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</si>
  <si>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</si>
  <si>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</si>
  <si>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</si>
  <si>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</si>
  <si>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</si>
  <si>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</si>
  <si>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</si>
  <si>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</si>
  <si>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</si>
  <si>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</si>
  <si>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</si>
  <si>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</si>
  <si>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</si>
  <si>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</si>
  <si>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</si>
  <si>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</si>
  <si>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</si>
  <si>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</si>
  <si>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</si>
  <si>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</si>
  <si>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</si>
  <si>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</si>
  <si>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</si>
  <si>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</si>
  <si>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</si>
  <si>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</si>
  <si>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</si>
  <si>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</si>
  <si>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</si>
  <si>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</si>
  <si>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</si>
  <si>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</si>
  <si>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</si>
  <si>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</si>
  <si>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</si>
  <si>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</si>
  <si>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</si>
  <si>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</si>
  <si>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</si>
  <si>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</si>
  <si>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</si>
  <si>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</si>
  <si>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</si>
  <si>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</si>
  <si>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</si>
  <si>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</si>
  <si>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</si>
  <si>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</si>
  <si>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</si>
  <si>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</si>
  <si>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</si>
  <si>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</si>
  <si>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</si>
  <si>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</si>
  <si>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</si>
  <si>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</si>
  <si>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</si>
  <si>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</si>
  <si>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</si>
  <si>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</si>
  <si>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</si>
  <si>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</si>
  <si>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</si>
  <si>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</si>
  <si>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</si>
  <si>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</si>
  <si>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</si>
  <si>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</si>
  <si>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</si>
  <si>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</si>
  <si>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</si>
  <si>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</si>
  <si>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</si>
  <si>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</si>
  <si>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</si>
  <si>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</si>
  <si>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</si>
  <si>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</si>
  <si>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</si>
  <si>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</si>
  <si>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</si>
  <si>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</si>
  <si>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</si>
  <si>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</si>
  <si>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</si>
  <si>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</si>
  <si>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</si>
  <si>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</si>
  <si>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</si>
  <si>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</si>
  <si>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</si>
  <si>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</si>
  <si>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</si>
  <si>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</si>
  <si>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</si>
  <si>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</si>
  <si>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</si>
  <si>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</si>
  <si>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</si>
  <si>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</si>
  <si>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</si>
  <si>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</si>
  <si>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</si>
  <si>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</si>
  <si>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</si>
  <si>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</si>
  <si>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</si>
  <si>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</si>
  <si>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</si>
  <si>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</si>
  <si>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</si>
  <si>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</si>
  <si>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</si>
  <si>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</si>
  <si>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</si>
  <si>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</si>
  <si>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</si>
  <si>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</si>
  <si>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</si>
  <si>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</si>
  <si>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</si>
  <si>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</si>
  <si>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</si>
  <si>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</si>
  <si>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</si>
  <si>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</si>
  <si>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</si>
  <si>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</si>
  <si>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</si>
  <si>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</si>
  <si>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</si>
  <si>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</si>
  <si>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</si>
  <si>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</si>
  <si>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</si>
  <si>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</si>
  <si>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</si>
  <si>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</si>
  <si>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</si>
  <si>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</si>
  <si>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</si>
  <si>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</si>
  <si>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</si>
  <si>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</si>
  <si>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</si>
  <si>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</si>
  <si>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</si>
  <si>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</si>
  <si>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</si>
  <si>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</si>
  <si>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</si>
  <si>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</si>
  <si>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</si>
  <si>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</si>
  <si>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</si>
  <si>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</si>
  <si>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</si>
  <si>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</si>
  <si>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</si>
  <si>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</si>
  <si>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</si>
  <si>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</si>
  <si>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</si>
  <si>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</si>
  <si>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</si>
  <si>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</si>
  <si>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</si>
  <si>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</si>
  <si>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</si>
  <si>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</si>
  <si>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</si>
  <si>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</si>
  <si>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</si>
  <si>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</si>
  <si>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</si>
  <si>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</si>
  <si>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</si>
  <si>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</si>
  <si>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</si>
  <si>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</si>
  <si>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</si>
  <si>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</si>
  <si>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</si>
  <si>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</si>
  <si>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</si>
  <si>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</si>
  <si>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</si>
  <si>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</si>
  <si>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</si>
  <si>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</si>
  <si>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</si>
  <si>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</si>
  <si>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</si>
  <si>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</si>
  <si>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</si>
  <si>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</si>
  <si>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</si>
  <si>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</si>
  <si>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</si>
  <si>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</si>
  <si>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</si>
  <si>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</si>
  <si>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</si>
  <si>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</si>
  <si>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</si>
  <si>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</si>
  <si>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</si>
  <si>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</si>
  <si>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</si>
  <si>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</si>
  <si>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</si>
  <si>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</si>
  <si>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</si>
  <si>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</si>
  <si>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</si>
  <si>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</si>
  <si>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</si>
  <si>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</si>
  <si>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</si>
  <si>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</si>
  <si>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</si>
  <si>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</si>
  <si>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</si>
  <si>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</si>
  <si>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</si>
  <si>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</si>
  <si>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</si>
  <si>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</si>
  <si>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</si>
  <si>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</si>
  <si>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</si>
  <si>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</si>
  <si>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</si>
  <si>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</si>
  <si>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</si>
  <si>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</si>
  <si>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</si>
  <si>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</si>
  <si>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</si>
  <si>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</si>
  <si>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</si>
  <si>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</si>
  <si>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</si>
  <si>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</si>
  <si>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</si>
  <si>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</si>
  <si>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</si>
  <si>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</si>
  <si>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</si>
  <si>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</si>
  <si>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</si>
  <si>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</si>
  <si>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</si>
  <si>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</si>
  <si>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</si>
  <si>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</si>
  <si>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</si>
  <si>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</si>
  <si>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</si>
  <si>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</si>
  <si>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</si>
  <si>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</si>
  <si>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</si>
  <si>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</si>
  <si>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</si>
  <si>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</si>
  <si>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</si>
  <si>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</si>
  <si>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</si>
  <si>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</si>
  <si>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</si>
  <si>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</si>
  <si>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</si>
  <si>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</si>
  <si>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</si>
  <si>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</si>
  <si>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</si>
  <si>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</si>
  <si>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</si>
  <si>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</si>
  <si>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</si>
  <si>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</si>
  <si>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</si>
  <si>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</si>
  <si>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</si>
  <si>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</si>
  <si>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</si>
  <si>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</si>
  <si>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</si>
  <si>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</si>
  <si>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</si>
  <si>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</si>
  <si>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</si>
  <si>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</si>
  <si>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</si>
  <si>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</si>
  <si>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</si>
  <si>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</si>
  <si>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</si>
  <si>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</si>
  <si>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</si>
  <si>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</si>
  <si>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</si>
  <si>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</si>
  <si>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</si>
  <si>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</si>
  <si>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</si>
  <si>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</si>
  <si>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</si>
  <si>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</si>
  <si>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</si>
  <si>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</si>
  <si>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</si>
  <si>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</si>
  <si>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</si>
  <si>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</si>
  <si>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</si>
  <si>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</si>
  <si>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</si>
  <si>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</si>
  <si>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</si>
  <si>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</si>
  <si>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</si>
  <si>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</si>
  <si>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</si>
  <si>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</si>
  <si>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</si>
  <si>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</si>
  <si>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</si>
  <si>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</si>
  <si>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</si>
  <si>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</si>
  <si>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</si>
  <si>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</si>
  <si>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</si>
  <si>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</si>
  <si>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</si>
  <si>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</si>
  <si>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</si>
  <si>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</si>
  <si>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</si>
  <si>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</si>
  <si>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</si>
  <si>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</si>
  <si>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</si>
  <si>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</si>
  <si>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</si>
  <si>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</si>
  <si>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</si>
  <si>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</si>
  <si>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</si>
  <si>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</si>
  <si>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</si>
  <si>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</si>
  <si>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</si>
  <si>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</si>
  <si>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</si>
  <si>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</si>
  <si>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</si>
  <si>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</si>
  <si>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</si>
  <si>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</si>
  <si>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</si>
  <si>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</si>
  <si>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</si>
  <si>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</si>
  <si>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</si>
  <si>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</si>
  <si>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</si>
  <si>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</si>
  <si>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</si>
  <si>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</si>
  <si>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</si>
  <si>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</si>
  <si>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</si>
  <si>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</si>
  <si>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</si>
  <si>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</si>
  <si>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</si>
  <si>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</si>
  <si>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</si>
  <si>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</si>
  <si>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</si>
  <si>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</si>
  <si>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</si>
  <si>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</si>
  <si>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</si>
  <si>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</si>
  <si>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</si>
  <si>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</si>
  <si>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</si>
  <si>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</si>
  <si>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</si>
  <si>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</si>
  <si>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</si>
  <si>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</si>
  <si>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</si>
  <si>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</si>
  <si>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</si>
  <si>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</si>
  <si>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</si>
  <si>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</si>
  <si>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</si>
  <si>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</si>
  <si>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</si>
  <si>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</si>
  <si>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</si>
  <si>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</si>
  <si>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</si>
  <si>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</si>
  <si>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</si>
  <si>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</si>
  <si>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</si>
  <si>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</si>
  <si>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</si>
  <si>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</si>
  <si>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</si>
  <si>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</si>
  <si>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</si>
  <si>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</si>
  <si>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</si>
  <si>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</si>
  <si>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</si>
  <si>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</si>
  <si>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</si>
  <si>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</si>
  <si>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</si>
  <si>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</si>
  <si>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</si>
  <si>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</si>
  <si>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</si>
  <si>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</si>
  <si>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</si>
  <si>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</si>
  <si>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</si>
  <si>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</si>
  <si>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</si>
  <si>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</si>
  <si>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</si>
  <si>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</si>
  <si>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</si>
  <si>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</si>
  <si>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</si>
  <si>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</si>
  <si>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</si>
  <si>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</si>
  <si>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</si>
  <si>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</si>
  <si>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</si>
  <si>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</si>
  <si>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</si>
  <si>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</si>
  <si>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</si>
  <si>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</si>
  <si>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</si>
  <si>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</si>
  <si>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</si>
  <si>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</si>
  <si>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</si>
  <si>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</si>
  <si>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</si>
  <si>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</si>
  <si>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</si>
  <si>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</si>
  <si>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</si>
  <si>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</si>
  <si>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</si>
  <si>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</si>
  <si>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</si>
  <si>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</si>
  <si>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</si>
  <si>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</si>
  <si>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</si>
  <si>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</si>
  <si>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</si>
  <si>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</si>
  <si>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</si>
  <si>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</si>
  <si>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</si>
  <si>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</si>
  <si>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</si>
  <si>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</si>
  <si>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</si>
  <si>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</si>
  <si>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</si>
  <si>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</si>
  <si>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</si>
  <si>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</si>
  <si>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</si>
  <si>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</si>
  <si>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</si>
  <si>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</si>
  <si>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</si>
  <si>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</si>
  <si>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</si>
  <si>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</si>
  <si>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</si>
  <si>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</si>
  <si>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</si>
  <si>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</si>
  <si>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</si>
  <si>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</si>
  <si>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</si>
  <si>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</si>
  <si>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</si>
  <si>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</si>
  <si>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</si>
  <si>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</si>
  <si>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</si>
  <si>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</si>
  <si>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</si>
  <si>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</si>
  <si>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</si>
  <si>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</si>
  <si>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</si>
  <si>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</si>
  <si>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</si>
  <si>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</si>
  <si>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</si>
  <si>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</si>
  <si>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</si>
  <si>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</si>
  <si>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</si>
  <si>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</si>
  <si>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</si>
  <si>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</si>
  <si>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</si>
  <si>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</si>
  <si>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</si>
  <si>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</si>
  <si>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</si>
  <si>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</si>
  <si>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</si>
  <si>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</si>
  <si>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</si>
  <si>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</si>
  <si>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</si>
  <si>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</si>
  <si>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</si>
  <si>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</si>
  <si>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</si>
  <si>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</si>
  <si>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</si>
  <si>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</si>
  <si>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</si>
  <si>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</si>
  <si>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</si>
  <si>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</si>
  <si>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</si>
  <si>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</si>
  <si>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</si>
  <si>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</si>
  <si>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</si>
  <si>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</si>
  <si>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</si>
  <si>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</si>
  <si>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</si>
  <si>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</si>
  <si>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</si>
  <si>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</si>
  <si>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</si>
  <si>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</si>
  <si>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</si>
  <si>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</si>
  <si>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</si>
  <si>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</si>
  <si>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</si>
  <si>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</si>
  <si>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</si>
  <si>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</si>
  <si>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</si>
  <si>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</si>
  <si>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</si>
  <si>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</si>
  <si>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</si>
  <si>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</si>
  <si>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</si>
  <si>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</si>
  <si>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</si>
  <si>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</si>
  <si>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</si>
  <si>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</si>
  <si>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</si>
  <si>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</si>
  <si>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</si>
  <si>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</si>
  <si>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</si>
  <si>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</si>
  <si>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</si>
  <si>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</si>
  <si>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</si>
  <si>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</si>
  <si>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</si>
  <si>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</si>
  <si>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</si>
  <si>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</si>
  <si>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</si>
  <si>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</si>
  <si>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</si>
  <si>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</si>
  <si>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</si>
  <si>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</si>
  <si>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</si>
  <si>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</si>
  <si>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</si>
  <si>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</si>
  <si>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</si>
  <si>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</si>
  <si>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</si>
  <si>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</si>
  <si>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</si>
  <si>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</si>
  <si>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</si>
  <si>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</si>
  <si>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</si>
  <si>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</si>
  <si>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</si>
  <si>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</si>
  <si>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</si>
  <si>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</si>
  <si>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</si>
  <si>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</si>
  <si>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</si>
  <si>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</si>
  <si>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</si>
  <si>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</si>
  <si>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</si>
  <si>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</si>
  <si>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</si>
  <si>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</si>
  <si>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</si>
  <si>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</si>
  <si>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</si>
  <si>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</si>
  <si>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</si>
  <si>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</si>
  <si>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</si>
  <si>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</si>
  <si>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</si>
  <si>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</si>
  <si>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</si>
  <si>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</si>
  <si>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</si>
  <si>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</si>
  <si>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</si>
  <si>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</si>
  <si>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</si>
  <si>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</si>
  <si>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</si>
  <si>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</si>
  <si>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</si>
  <si>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</si>
  <si>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</si>
  <si>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</si>
  <si>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</si>
  <si>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</si>
  <si>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</si>
  <si>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</si>
  <si>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</si>
  <si>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</si>
  <si>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</si>
  <si>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</si>
  <si>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</si>
  <si>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</si>
  <si>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</si>
  <si>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</si>
  <si>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</si>
  <si>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</si>
  <si>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</si>
  <si>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</si>
  <si>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</si>
  <si>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</si>
  <si>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</si>
  <si>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</si>
  <si>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</si>
  <si>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</si>
  <si>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</si>
  <si>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</si>
  <si>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</si>
  <si>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</si>
  <si>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</si>
  <si>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</si>
  <si>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</si>
  <si>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</si>
  <si>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</si>
  <si>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</si>
  <si>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</si>
  <si>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</si>
  <si>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</si>
  <si>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</si>
  <si>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</si>
  <si>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</si>
  <si>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</si>
  <si>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</si>
  <si>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</si>
  <si>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</si>
  <si>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</si>
  <si>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</si>
  <si>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</si>
  <si>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</si>
  <si>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</si>
  <si>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</si>
  <si>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</si>
  <si>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</si>
  <si>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</si>
  <si>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</si>
  <si>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</si>
  <si>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</si>
  <si>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</si>
  <si>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</si>
  <si>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</si>
  <si>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</si>
  <si>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</si>
  <si>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</si>
  <si>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</si>
  <si>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</si>
  <si>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</si>
  <si>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</si>
  <si>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</si>
  <si>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</si>
  <si>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</si>
  <si>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</si>
  <si>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</si>
  <si>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</si>
  <si>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</si>
  <si>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</si>
  <si>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</si>
  <si>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</si>
  <si>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</si>
  <si>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</si>
  <si>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</si>
  <si>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</si>
  <si>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</si>
  <si>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</si>
  <si>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</si>
  <si>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</si>
  <si>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</si>
  <si>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</si>
  <si>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</si>
  <si>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</si>
  <si>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</si>
  <si>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</si>
  <si>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</si>
  <si>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</si>
  <si>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</si>
  <si>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</si>
  <si>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</si>
  <si>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</si>
  <si>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</si>
  <si>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</si>
  <si>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</si>
  <si>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</si>
  <si>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</si>
  <si>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</si>
  <si>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</si>
  <si>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</si>
  <si>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</si>
  <si>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</si>
  <si>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</si>
  <si>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</si>
  <si>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</si>
  <si>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</si>
  <si>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</si>
  <si>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</si>
  <si>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</si>
  <si>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</si>
  <si>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</si>
  <si>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</si>
  <si>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</si>
  <si>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</si>
  <si>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</si>
  <si>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</si>
  <si>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</si>
  <si>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</si>
  <si>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</si>
  <si>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</si>
  <si>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</si>
  <si>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</si>
  <si>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Ogle</t>
  </si>
  <si>
    <t>PO Box 665</t>
  </si>
  <si>
    <t>Forreston</t>
  </si>
  <si>
    <t>ssmith@fvdistrict221.org</t>
  </si>
  <si>
    <t>Sheri Smith</t>
  </si>
  <si>
    <t>815-938-2036</t>
  </si>
  <si>
    <t>815-938-9028</t>
  </si>
  <si>
    <t>23. Qualified opinion for general fixed asset account group not maintaining detailed historical cost records and adverse for not adopting GASB 34</t>
  </si>
  <si>
    <t>function 1614- sales to pupils other- milk sales</t>
  </si>
  <si>
    <t>function 1790- other district activity revenue- tournament fees and other activity revenue</t>
  </si>
  <si>
    <t>function 1690- other food service revenue- miscellaneous food service</t>
  </si>
  <si>
    <t>function 1993- other local fees- ipad repairs and miscellaneous fees</t>
  </si>
  <si>
    <t>ogle county educational cooperative</t>
  </si>
  <si>
    <t>whiteside area career center</t>
  </si>
  <si>
    <t>2001 Fire protection and safety bonds</t>
  </si>
  <si>
    <t>2015 refunding bonds</t>
  </si>
  <si>
    <t>ISBE note payable</t>
  </si>
  <si>
    <t>5. function 4498 other federal revenue- erate</t>
  </si>
  <si>
    <t>6. function 2190- other support services pupils- building aides</t>
  </si>
  <si>
    <t>7. function 2100 O&amp;M- other support services- supt</t>
  </si>
  <si>
    <t>8.  function 2900 O&amp;M other support services- covid supplies</t>
  </si>
  <si>
    <t>9.  schedule of long term debt differences relate to payments made from education fund for ISBE loan payments</t>
  </si>
  <si>
    <t>none</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</si>
  <si>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</si>
  <si>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</si>
  <si>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</si>
  <si>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</si>
  <si>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</si>
  <si>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</si>
  <si>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</si>
  <si>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</si>
  <si>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</si>
  <si>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</si>
  <si>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</si>
  <si>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</si>
  <si>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</si>
  <si>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</si>
  <si>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</si>
  <si>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</si>
  <si>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</si>
  <si>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</si>
  <si>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</si>
  <si>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</si>
  <si>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</si>
  <si>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</si>
  <si>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</si>
  <si>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</si>
  <si>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</si>
  <si>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</si>
  <si>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</si>
  <si>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</si>
  <si>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</si>
  <si>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</si>
  <si>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</si>
  <si>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</si>
  <si>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</si>
  <si>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</si>
  <si>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</si>
  <si>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</si>
  <si>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</si>
  <si>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</si>
  <si>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 xml:space="preserve">   Forrestville Valley CUSD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</si>
</sst>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cellStyleXfs>
  <cellXfs count="262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2" fillId="0" borderId="0" xfId="3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3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3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30" applyFont="1" applyBorder="1"/>
    <xf numFmtId="0" fontId="58" fillId="0" borderId="0" xfId="30" applyFont="1"/>
    <xf numFmtId="0" fontId="58" fillId="0" borderId="168" xfId="30" applyFont="1" applyBorder="1"/>
    <xf numFmtId="0" fontId="58" fillId="0" borderId="167" xfId="30" applyFont="1" applyBorder="1" applyAlignment="1">
      <alignment wrapText="1"/>
    </xf>
    <xf numFmtId="0" fontId="58" fillId="0" borderId="0" xfId="30" applyFont="1" applyAlignment="1">
      <alignment wrapText="1"/>
    </xf>
    <xf numFmtId="0" fontId="58" fillId="0" borderId="168" xfId="30" applyFont="1" applyBorder="1" applyAlignment="1">
      <alignment wrapText="1"/>
    </xf>
    <xf numFmtId="0" fontId="143" fillId="0" borderId="167" xfId="30" applyFont="1" applyBorder="1"/>
    <xf numFmtId="0" fontId="89" fillId="0" borderId="0" xfId="30" applyFont="1"/>
    <xf numFmtId="0" fontId="100" fillId="0" borderId="0" xfId="30" applyFont="1" applyAlignment="1">
      <alignment wrapText="1"/>
    </xf>
    <xf numFmtId="0" fontId="100" fillId="0" borderId="168" xfId="30" applyFont="1" applyBorder="1" applyAlignment="1">
      <alignment wrapText="1"/>
    </xf>
    <xf numFmtId="0" fontId="58" fillId="27" borderId="77" xfId="30" applyFont="1" applyFill="1" applyBorder="1"/>
    <xf numFmtId="0" fontId="102" fillId="0" borderId="77" xfId="30" applyFont="1" applyBorder="1" applyAlignment="1">
      <alignment horizontal="center" wrapText="1"/>
    </xf>
    <xf numFmtId="0" fontId="58" fillId="27" borderId="77" xfId="30" applyFont="1" applyFill="1" applyBorder="1" applyAlignment="1">
      <alignment horizontal="center"/>
    </xf>
    <xf numFmtId="0" fontId="102" fillId="0" borderId="182" xfId="30" applyFont="1" applyBorder="1" applyAlignment="1">
      <alignment horizontal="center" wrapText="1"/>
    </xf>
    <xf numFmtId="0" fontId="58" fillId="0" borderId="184" xfId="30" applyFont="1" applyBorder="1" applyAlignment="1">
      <alignment horizontal="center"/>
    </xf>
    <xf numFmtId="38" fontId="66" fillId="26" borderId="185" xfId="30" applyNumberFormat="1" applyFont="1" applyFill="1" applyBorder="1" applyAlignment="1" applyProtection="1">
      <alignment horizontal="center"/>
      <protection locked="0"/>
    </xf>
    <xf numFmtId="38" fontId="58" fillId="27" borderId="0" xfId="30" applyNumberFormat="1" applyFont="1" applyFill="1" applyAlignment="1">
      <alignment horizontal="center"/>
    </xf>
    <xf numFmtId="38" fontId="58" fillId="0" borderId="186" xfId="30" applyNumberFormat="1" applyFont="1" applyBorder="1" applyAlignment="1" applyProtection="1">
      <alignment horizontal="center"/>
      <protection locked="0"/>
    </xf>
    <xf numFmtId="38" fontId="58" fillId="0" borderId="184" xfId="30" applyNumberFormat="1" applyFont="1" applyBorder="1" applyAlignment="1" applyProtection="1">
      <alignment horizontal="center"/>
      <protection locked="0"/>
    </xf>
    <xf numFmtId="38" fontId="66" fillId="16" borderId="187" xfId="30" applyNumberFormat="1" applyFont="1" applyFill="1" applyBorder="1" applyAlignment="1">
      <alignment horizontal="center" wrapText="1"/>
    </xf>
    <xf numFmtId="0" fontId="58" fillId="0" borderId="189" xfId="30" applyFont="1" applyBorder="1" applyAlignment="1">
      <alignment horizontal="center"/>
    </xf>
    <xf numFmtId="38" fontId="66" fillId="26" borderId="190" xfId="30" applyNumberFormat="1" applyFont="1" applyFill="1" applyBorder="1" applyAlignment="1" applyProtection="1">
      <alignment horizontal="center"/>
      <protection locked="0"/>
    </xf>
    <xf numFmtId="38" fontId="58" fillId="0" borderId="191" xfId="30" applyNumberFormat="1" applyFont="1" applyBorder="1" applyAlignment="1" applyProtection="1">
      <alignment horizontal="center"/>
      <protection locked="0"/>
    </xf>
    <xf numFmtId="38" fontId="58" fillId="0" borderId="189" xfId="30" applyNumberFormat="1" applyFont="1" applyBorder="1" applyAlignment="1" applyProtection="1">
      <alignment horizontal="center"/>
      <protection locked="0"/>
    </xf>
    <xf numFmtId="0" fontId="58" fillId="0" borderId="193" xfId="30" applyFont="1" applyBorder="1" applyAlignment="1">
      <alignment horizontal="center"/>
    </xf>
    <xf numFmtId="38" fontId="66" fillId="26" borderId="194" xfId="30" applyNumberFormat="1" applyFont="1" applyFill="1" applyBorder="1" applyAlignment="1" applyProtection="1">
      <alignment horizontal="center"/>
      <protection locked="0"/>
    </xf>
    <xf numFmtId="38" fontId="58" fillId="0" borderId="195" xfId="30" applyNumberFormat="1" applyFont="1" applyBorder="1" applyAlignment="1" applyProtection="1">
      <alignment horizontal="center"/>
      <protection locked="0"/>
    </xf>
    <xf numFmtId="38" fontId="58" fillId="0" borderId="193" xfId="30" applyNumberFormat="1" applyFont="1" applyBorder="1" applyAlignment="1" applyProtection="1">
      <alignment horizontal="center"/>
      <protection locked="0"/>
    </xf>
    <xf numFmtId="38" fontId="66" fillId="16" borderId="77" xfId="30" applyNumberFormat="1" applyFont="1" applyFill="1" applyBorder="1" applyAlignment="1">
      <alignment horizontal="center"/>
    </xf>
    <xf numFmtId="38" fontId="66" fillId="27" borderId="77" xfId="30" applyNumberFormat="1" applyFont="1" applyFill="1" applyBorder="1" applyAlignment="1">
      <alignment horizontal="center"/>
    </xf>
    <xf numFmtId="38" fontId="66" fillId="16" borderId="182" xfId="30" applyNumberFormat="1" applyFont="1" applyFill="1" applyBorder="1" applyAlignment="1">
      <alignment horizontal="center"/>
    </xf>
    <xf numFmtId="0" fontId="101" fillId="0" borderId="167" xfId="30" applyFont="1" applyBorder="1"/>
    <xf numFmtId="0" fontId="101" fillId="0" borderId="0" xfId="30" applyFont="1"/>
    <xf numFmtId="0" fontId="144" fillId="0" borderId="0" xfId="30" applyFont="1"/>
    <xf numFmtId="0" fontId="101" fillId="0" borderId="168" xfId="30" applyFont="1" applyBorder="1"/>
    <xf numFmtId="0" fontId="100" fillId="0" borderId="167" xfId="30" applyFont="1" applyBorder="1"/>
    <xf numFmtId="0" fontId="101" fillId="0" borderId="172" xfId="30" applyFont="1" applyBorder="1"/>
    <xf numFmtId="0" fontId="101" fillId="0" borderId="173" xfId="30" applyFont="1" applyBorder="1"/>
    <xf numFmtId="0" fontId="101" fillId="0" borderId="174" xfId="30" applyFont="1" applyBorder="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45" fillId="0" borderId="0" xfId="30" applyFont="1" applyAlignment="1">
      <alignment horizontal="left" vertical="center" wrapText="1"/>
    </xf>
    <xf numFmtId="0" fontId="102" fillId="0" borderId="0" xfId="30" applyFont="1" applyAlignment="1">
      <alignment horizontal="center" vertical="top" wrapText="1"/>
    </xf>
    <xf numFmtId="0" fontId="102" fillId="0" borderId="168" xfId="30" applyFont="1" applyBorder="1" applyAlignment="1">
      <alignment horizontal="center" vertical="top" wrapText="1"/>
    </xf>
    <xf numFmtId="0" fontId="145" fillId="0" borderId="173" xfId="30" applyFont="1" applyBorder="1" applyAlignment="1">
      <alignment horizontal="left" vertical="center" wrapText="1"/>
    </xf>
    <xf numFmtId="0" fontId="58" fillId="0" borderId="188" xfId="30" applyFont="1" applyBorder="1"/>
    <xf numFmtId="0" fontId="58" fillId="0" borderId="189" xfId="30" applyFont="1" applyBorder="1"/>
    <xf numFmtId="0" fontId="58" fillId="0" borderId="192" xfId="30" applyFont="1" applyBorder="1"/>
    <xf numFmtId="0" fontId="58" fillId="0" borderId="193" xfId="30" applyFont="1" applyBorder="1"/>
    <xf numFmtId="0" fontId="66" fillId="0" borderId="180" xfId="30" applyFont="1" applyBorder="1"/>
    <xf numFmtId="0" fontId="66" fillId="0" borderId="77" xfId="30" applyFont="1" applyBorder="1"/>
    <xf numFmtId="0" fontId="145" fillId="0" borderId="168" xfId="30"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30" applyFont="1" applyFill="1" applyBorder="1"/>
    <xf numFmtId="0" fontId="58" fillId="27" borderId="77" xfId="30" applyFont="1" applyFill="1" applyBorder="1"/>
    <xf numFmtId="0" fontId="66" fillId="0" borderId="165" xfId="30" applyFont="1" applyBorder="1" applyAlignment="1">
      <alignment horizontal="center" wrapText="1"/>
    </xf>
    <xf numFmtId="0" fontId="66" fillId="0" borderId="166" xfId="30" applyFont="1" applyBorder="1" applyAlignment="1">
      <alignment horizontal="center" wrapText="1"/>
    </xf>
    <xf numFmtId="0" fontId="102" fillId="0" borderId="181" xfId="30" applyFont="1" applyBorder="1" applyAlignment="1">
      <alignment horizontal="center"/>
    </xf>
    <xf numFmtId="0" fontId="102" fillId="0" borderId="78" xfId="30" applyFont="1" applyBorder="1" applyAlignment="1">
      <alignment horizontal="center"/>
    </xf>
    <xf numFmtId="0" fontId="102" fillId="0" borderId="99" xfId="30" applyFont="1" applyBorder="1" applyAlignment="1">
      <alignment horizontal="center"/>
    </xf>
    <xf numFmtId="0" fontId="58" fillId="0" borderId="183" xfId="30" applyFont="1" applyBorder="1"/>
    <xf numFmtId="0" fontId="58" fillId="0" borderId="184" xfId="30" applyFont="1" applyBorder="1"/>
    <xf numFmtId="0" fontId="58" fillId="0" borderId="188" xfId="30" applyFont="1" applyBorder="1" applyAlignment="1">
      <alignment wrapText="1"/>
    </xf>
    <xf numFmtId="0" fontId="58" fillId="0" borderId="189" xfId="30" applyFont="1" applyBorder="1" applyAlignment="1">
      <alignment wrapText="1"/>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30" applyFont="1" applyBorder="1" applyAlignment="1">
      <alignment horizontal="center"/>
    </xf>
    <xf numFmtId="0" fontId="142" fillId="0" borderId="176" xfId="30" applyFont="1" applyBorder="1" applyAlignment="1">
      <alignment horizontal="center"/>
    </xf>
    <xf numFmtId="0" fontId="142" fillId="0" borderId="177" xfId="30" applyFont="1" applyBorder="1" applyAlignment="1">
      <alignment horizontal="center"/>
    </xf>
    <xf numFmtId="0" fontId="58" fillId="0" borderId="167" xfId="30" applyFont="1" applyBorder="1" applyAlignment="1">
      <alignment wrapText="1"/>
    </xf>
    <xf numFmtId="0" fontId="58" fillId="0" borderId="0" xfId="30" applyFont="1" applyAlignment="1">
      <alignment wrapText="1"/>
    </xf>
    <xf numFmtId="0" fontId="58" fillId="0" borderId="168" xfId="30"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B93FAB21-4A27-4AD1-9806-E6AA089C6F34}"/>
    <cellStyle name="Normal 3 2 2 3" xfId="24" xr:uid="{9EFE0E0D-B667-4147-BA92-0484114874C6}"/>
    <cellStyle name="Normal 3 2 3" xfId="26" xr:uid="{63A4DAE1-50C4-497E-8A64-F49AB9D2CFCC}"/>
    <cellStyle name="Normal 3 2 4" xfId="21" xr:uid="{D7FF45E8-8BEC-4E2B-883A-0B7C58473C04}"/>
    <cellStyle name="Normal 3 3" xfId="25" xr:uid="{609F9FFD-B8E6-4A53-88CD-43060A696DEA}"/>
    <cellStyle name="Normal 3 4" xfId="20" xr:uid="{5E2E78D3-1AF8-43C5-9623-0A29CE47B88D}"/>
    <cellStyle name="Normal 4" xfId="16" xr:uid="{00000000-0005-0000-0000-000008000000}"/>
    <cellStyle name="Normal 4 2" xfId="27" xr:uid="{CCA15FCE-8786-4A1A-A74B-4F3CD3B06607}"/>
    <cellStyle name="Normal 4 3" xfId="22" xr:uid="{3EF9DB0B-0C3B-419B-A318-5679331D7C5F}"/>
    <cellStyle name="Normal 5" xfId="17" xr:uid="{00000000-0005-0000-0000-000009000000}"/>
    <cellStyle name="Normal 5 2" xfId="19" xr:uid="{00000000-0005-0000-0000-00000A000000}"/>
    <cellStyle name="Normal 5 2 2" xfId="28" xr:uid="{035D5A39-EDAF-488E-825F-A072ECA61443}"/>
    <cellStyle name="Normal 5 3" xfId="23" xr:uid="{53DA1AB1-D8B7-4F57-806E-A06A24668984}"/>
    <cellStyle name="Normal 6" xfId="30" xr:uid="{A9D0325B-67C7-4A5F-8783-4E44F363DA0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498709</xdr:colOff>
      <xdr:row>47</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85109" cy="7743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24" t="str">
        <f>"Due to ISBE on "</f>
        <v xml:space="preserve">Due to ISBE on </v>
      </c>
      <c r="B2" s="2038">
        <f>+'AFR20'!F4</f>
        <v>44151</v>
      </c>
      <c r="C2" s="2038"/>
      <c r="D2" s="2039"/>
      <c r="I2" s="2117" t="s">
        <v>2006</v>
      </c>
      <c r="J2" s="2116"/>
      <c r="K2" s="2116"/>
      <c r="L2" s="2116"/>
      <c r="M2" s="2116"/>
      <c r="N2" s="2116"/>
      <c r="O2" s="2116"/>
      <c r="P2" s="2116"/>
      <c r="Q2" s="2116"/>
      <c r="R2" s="2116"/>
      <c r="S2" s="2116"/>
    </row>
    <row r="3" spans="1:32" ht="12" customHeight="1" x14ac:dyDescent="0.2">
      <c r="A3" s="1827"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2030</v>
      </c>
      <c r="C5" s="26" t="s">
        <v>904</v>
      </c>
      <c r="D5" s="81"/>
      <c r="E5" s="81"/>
      <c r="H5" s="38"/>
      <c r="I5" s="2124" t="s">
        <v>675</v>
      </c>
      <c r="J5" s="2069"/>
      <c r="K5" s="2069"/>
      <c r="L5" s="2069"/>
      <c r="M5" s="2069"/>
      <c r="N5" s="2069"/>
      <c r="O5" s="2069"/>
      <c r="P5" s="2069"/>
      <c r="Q5" s="2069"/>
      <c r="R5" s="2069"/>
      <c r="S5" s="2069"/>
      <c r="AF5" s="1820"/>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2030</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47071221026</v>
      </c>
      <c r="B13" s="2086"/>
      <c r="C13" s="2086"/>
      <c r="D13" s="2086"/>
      <c r="E13" s="2086"/>
      <c r="F13" s="2086"/>
      <c r="G13" s="2086"/>
      <c r="H13" s="2087"/>
      <c r="I13" s="31"/>
      <c r="J13" s="30"/>
      <c r="K13" s="28"/>
      <c r="L13" s="30"/>
      <c r="M13" s="30"/>
      <c r="N13" s="30"/>
      <c r="O13" s="30"/>
      <c r="P13" s="30"/>
      <c r="Q13" s="30"/>
      <c r="R13" s="30"/>
      <c r="S13" s="30"/>
      <c r="T13" s="2090" t="s">
        <v>2021</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3" t="s">
        <v>2031</v>
      </c>
      <c r="B15" s="2088"/>
      <c r="C15" s="2088"/>
      <c r="D15" s="2088"/>
      <c r="E15" s="2088"/>
      <c r="F15" s="2088"/>
      <c r="G15" s="2088"/>
      <c r="H15" s="2089"/>
      <c r="T15" s="2051" t="s">
        <v>2022</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2092</v>
      </c>
      <c r="B17" s="2113"/>
      <c r="C17" s="2113"/>
      <c r="D17" s="2113"/>
      <c r="E17" s="2113"/>
      <c r="F17" s="2113"/>
      <c r="G17" s="2113"/>
      <c r="H17" s="2114"/>
      <c r="T17" s="2100" t="s">
        <v>2023</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2032</v>
      </c>
      <c r="B19" s="2084"/>
      <c r="C19" s="2084"/>
      <c r="D19" s="2084"/>
      <c r="E19" s="2084"/>
      <c r="F19" s="2084"/>
      <c r="G19" s="2084"/>
      <c r="H19" s="2082"/>
      <c r="I19" s="30"/>
      <c r="J19" s="96"/>
      <c r="K19" s="40"/>
      <c r="L19" s="38"/>
      <c r="M19" s="109" t="s">
        <v>312</v>
      </c>
      <c r="P19" s="27"/>
      <c r="Q19" s="27"/>
      <c r="R19" s="27"/>
      <c r="S19" s="31"/>
      <c r="T19" s="2083" t="s">
        <v>2024</v>
      </c>
      <c r="U19" s="2081"/>
      <c r="V19" s="2081"/>
      <c r="W19" s="2082"/>
      <c r="X19" s="2098" t="s">
        <v>2025</v>
      </c>
      <c r="Y19" s="2099"/>
      <c r="Z19" s="2096">
        <v>61081</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2033</v>
      </c>
      <c r="B21" s="2081"/>
      <c r="C21" s="2081"/>
      <c r="D21" s="2081"/>
      <c r="E21" s="2081"/>
      <c r="F21" s="2081"/>
      <c r="G21" s="2081"/>
      <c r="H21" s="2082"/>
      <c r="I21" s="2106" t="s">
        <v>673</v>
      </c>
      <c r="J21" s="2069"/>
      <c r="K21" s="2069"/>
      <c r="L21" s="2069"/>
      <c r="M21" s="2069"/>
      <c r="N21" s="2069"/>
      <c r="O21" s="2069"/>
      <c r="P21" s="2069"/>
      <c r="Q21" s="2069"/>
      <c r="R21" s="2069"/>
      <c r="S21" s="2070"/>
      <c r="T21" s="2048" t="s">
        <v>2029</v>
      </c>
      <c r="U21" s="2049"/>
      <c r="V21" s="2049"/>
      <c r="W21" s="2049"/>
      <c r="X21" s="2062" t="s">
        <v>2026</v>
      </c>
      <c r="Y21" s="2063"/>
      <c r="Z21" s="2063"/>
      <c r="AA21" s="2064"/>
    </row>
    <row r="22" spans="1:27" ht="13.5" customHeight="1" x14ac:dyDescent="0.2">
      <c r="A22" s="84" t="s">
        <v>528</v>
      </c>
      <c r="B22" s="56"/>
      <c r="C22" s="56"/>
      <c r="D22" s="56"/>
      <c r="E22" s="56"/>
      <c r="F22" s="56"/>
      <c r="G22" s="56"/>
      <c r="H22" s="57"/>
      <c r="I22" s="2107" t="s">
        <v>1415</v>
      </c>
      <c r="J22" s="2108"/>
      <c r="K22" s="2108"/>
      <c r="L22" s="2108"/>
      <c r="M22" s="2108"/>
      <c r="N22" s="2108"/>
      <c r="O22" s="2108"/>
      <c r="P22" s="2108"/>
      <c r="Q22" s="2108"/>
      <c r="R22" s="2108"/>
      <c r="S22" s="2109"/>
      <c r="T22" s="82" t="s">
        <v>1502</v>
      </c>
      <c r="U22" s="48"/>
      <c r="V22" s="69"/>
      <c r="W22" s="48"/>
      <c r="X22" s="155" t="s">
        <v>1309</v>
      </c>
      <c r="Z22" s="43"/>
      <c r="AA22" s="44"/>
    </row>
    <row r="23" spans="1:27" ht="13.5" customHeight="1" x14ac:dyDescent="0.2">
      <c r="A23" s="2103" t="s">
        <v>2034</v>
      </c>
      <c r="B23" s="2104"/>
      <c r="C23" s="2104"/>
      <c r="D23" s="2104"/>
      <c r="E23" s="2104"/>
      <c r="F23" s="2104"/>
      <c r="G23" s="2104"/>
      <c r="H23" s="2105"/>
      <c r="T23" s="2043" t="s">
        <v>2027</v>
      </c>
      <c r="U23" s="2044"/>
      <c r="V23" s="2044"/>
      <c r="W23" s="2044"/>
      <c r="X23" s="2059">
        <v>44530</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2019-2020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c r="B25" s="2081"/>
      <c r="C25" s="2081"/>
      <c r="D25" s="2081"/>
      <c r="E25" s="2081"/>
      <c r="F25" s="2081"/>
      <c r="G25" s="2081"/>
      <c r="H25" s="2082"/>
      <c r="I25" s="110"/>
      <c r="J25" s="2147"/>
      <c r="K25" s="2147"/>
      <c r="L25" s="2147"/>
      <c r="M25" s="2147"/>
      <c r="N25" s="2147"/>
      <c r="O25" s="2147"/>
      <c r="P25" s="2147"/>
      <c r="Q25" s="2147"/>
      <c r="R25" s="2147"/>
      <c r="S25" s="2148"/>
      <c r="T25" s="2040" t="s">
        <v>2028</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8" t="s">
        <v>1497</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2030</v>
      </c>
      <c r="C29" s="121" t="s">
        <v>815</v>
      </c>
      <c r="D29" s="111"/>
      <c r="E29" s="133"/>
      <c r="F29" s="137" t="s">
        <v>1307</v>
      </c>
      <c r="G29" s="111"/>
      <c r="I29" s="51"/>
      <c r="J29" s="99"/>
      <c r="K29" s="28" t="s">
        <v>572</v>
      </c>
      <c r="L29" s="144" t="s">
        <v>2030</v>
      </c>
      <c r="M29" s="40" t="s">
        <v>99</v>
      </c>
      <c r="N29" s="32" t="s">
        <v>1509</v>
      </c>
      <c r="O29" s="32"/>
      <c r="P29" s="32"/>
      <c r="Q29" s="32"/>
      <c r="R29" s="32"/>
      <c r="S29" s="120"/>
      <c r="T29" s="6"/>
      <c r="U29" s="6"/>
      <c r="V29" s="6"/>
      <c r="W29" s="6"/>
      <c r="X29" s="6"/>
      <c r="Y29" s="6"/>
      <c r="Z29" s="6"/>
      <c r="AA29" s="129"/>
    </row>
    <row r="30" spans="1:27" ht="13.5" customHeight="1" x14ac:dyDescent="0.2">
      <c r="A30" s="149"/>
      <c r="B30" s="133" t="s">
        <v>2030</v>
      </c>
      <c r="C30" s="121" t="s">
        <v>1156</v>
      </c>
      <c r="D30" s="28"/>
      <c r="E30" s="28"/>
      <c r="F30" s="136"/>
      <c r="G30" s="111"/>
      <c r="H30" s="111"/>
      <c r="I30" s="51"/>
      <c r="J30" s="99"/>
      <c r="K30" s="28" t="s">
        <v>572</v>
      </c>
      <c r="L30" s="144" t="s">
        <v>2030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2030</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2035</v>
      </c>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2034</v>
      </c>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2036</v>
      </c>
      <c r="B42" s="2130"/>
      <c r="C42" s="2131"/>
      <c r="D42" s="2144" t="s">
        <v>2037</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2" t="s">
        <v>1058</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1594</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75" colorId="8" zoomScaleNormal="100" workbookViewId="0">
      <selection activeCell="L31" sqref="L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2030</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2038</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3" t="s">
        <v>1992</v>
      </c>
      <c r="B85" s="2183"/>
      <c r="C85" s="2183"/>
      <c r="D85" s="2184"/>
      <c r="E85" s="1537"/>
      <c r="F85" s="1537"/>
      <c r="G85" s="1537"/>
      <c r="H85" s="1537"/>
      <c r="I85" s="1894"/>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5" t="s">
        <v>1992</v>
      </c>
      <c r="B88" s="2186"/>
      <c r="C88" s="2186"/>
      <c r="D88" s="2187"/>
      <c r="E88" s="1537"/>
      <c r="F88" s="1537"/>
      <c r="G88" s="1537"/>
      <c r="H88" s="1537"/>
      <c r="I88" s="1894"/>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5"/>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2021</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C508-5D7A-40F8-91A7-872753E2CE66}">
  <sheetPr>
    <tabColor rgb="FF92D050"/>
  </sheetPr>
  <dimension ref="A1"/>
  <sheetViews>
    <sheetView topLeftCell="A25" workbookViewId="0">
      <selection activeCell="L31" sqref="L3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2"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113541713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2.4299999999999999E-2</v>
      </c>
      <c r="E10" s="333" t="s">
        <v>998</v>
      </c>
      <c r="F10" s="332">
        <v>5.0199800000000003E-3</v>
      </c>
      <c r="G10" s="333" t="s">
        <v>998</v>
      </c>
      <c r="H10" s="332">
        <v>2.0079899999999999E-3</v>
      </c>
      <c r="I10" s="333" t="s">
        <v>999</v>
      </c>
      <c r="J10" s="1417">
        <f>ROUND(D10+F10+H10,5)</f>
        <v>3.1329999999999997E-2</v>
      </c>
      <c r="K10" s="217"/>
      <c r="L10" s="332">
        <v>5.0000000000000001E-4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6988307</v>
      </c>
      <c r="E16" s="1540"/>
      <c r="F16" s="1539">
        <f>SUM('Acct Summary 7-8'!C17,'Acct Summary 7-8'!D17,'Acct Summary 7-8'!F17)</f>
        <v>7420166</v>
      </c>
      <c r="G16" s="1540"/>
      <c r="H16" s="1539">
        <f>SUM(D16-F16)</f>
        <v>-431859</v>
      </c>
      <c r="I16" s="1541"/>
      <c r="J16" s="1539">
        <f>SUM('Acct Summary 7-8'!C81,'Acct Summary 7-8'!D81,'Acct Summary 7-8'!F81,'Acct Summary 7-8'!I81)</f>
        <v>5607649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15668756.394000001</v>
      </c>
      <c r="I31" s="345"/>
      <c r="J31" s="217"/>
      <c r="K31" s="217"/>
      <c r="L31" s="217"/>
      <c r="M31" s="217"/>
    </row>
    <row r="32" spans="1:13" ht="13.35" customHeight="1" x14ac:dyDescent="0.2">
      <c r="B32" s="346" t="s">
        <v>2030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4784346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1399</v>
      </c>
      <c r="B3" s="2208"/>
      <c r="C3" s="2208"/>
      <c r="D3" s="2208"/>
      <c r="E3" s="2208"/>
      <c r="F3" s="2208"/>
      <c r="G3" s="2208"/>
      <c r="H3" s="2208"/>
      <c r="I3" s="2208"/>
      <c r="J3" s="2208"/>
      <c r="K3" s="2208"/>
      <c r="L3" s="2208"/>
      <c r="M3" s="2208"/>
      <c r="N3" s="2208"/>
      <c r="O3" s="2208"/>
      <c r="P3" s="2208"/>
      <c r="Q3" s="2208"/>
      <c r="R3" s="2208"/>
    </row>
    <row r="4" spans="1:18" x14ac:dyDescent="0.2">
      <c r="A4" s="2209" t="s">
        <v>1540</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Forrestville Valley CUSD 221</v>
      </c>
      <c r="E7" s="368"/>
      <c r="G7" s="247"/>
      <c r="H7" s="364"/>
      <c r="I7" s="364"/>
      <c r="J7" s="364"/>
      <c r="K7" s="364"/>
      <c r="L7" s="307"/>
      <c r="M7" s="307"/>
      <c r="N7" s="307"/>
      <c r="O7" s="307"/>
      <c r="P7" s="307"/>
    </row>
    <row r="8" spans="1:18" ht="12.75" x14ac:dyDescent="0.2">
      <c r="A8" s="307"/>
      <c r="B8" s="307"/>
      <c r="C8" s="366" t="s">
        <v>1117</v>
      </c>
      <c r="D8" s="369">
        <f>COVER!A13</f>
        <v>47071221026</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5607649</v>
      </c>
      <c r="I12" s="380"/>
      <c r="J12" s="380"/>
      <c r="K12" s="1552">
        <f>TRUNC((H12/H13*100000),5)/100000</f>
        <v>0.80243312139999989</v>
      </c>
      <c r="L12" s="381"/>
      <c r="M12" s="337" t="s">
        <v>1136</v>
      </c>
      <c r="N12" s="337"/>
      <c r="O12" s="1555">
        <v>0.35</v>
      </c>
      <c r="P12" s="213"/>
      <c r="Q12" s="213"/>
    </row>
    <row r="13" spans="1:18" s="382" customFormat="1" ht="12.75" x14ac:dyDescent="0.2">
      <c r="A13" s="213"/>
      <c r="B13" s="377"/>
      <c r="C13" s="2205" t="s">
        <v>1315</v>
      </c>
      <c r="D13" s="2206"/>
      <c r="E13" s="213"/>
      <c r="F13" s="383" t="s">
        <v>788</v>
      </c>
      <c r="G13" s="378"/>
      <c r="H13" s="1544">
        <f>SUM('Acct Summary 7-8'!C8+'Acct Summary 7-8'!D8+'Acct Summary 7-8'!F8+'Acct Summary 7-8'!I8)+H14</f>
        <v>6988307</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7420166</v>
      </c>
      <c r="I17" s="380"/>
      <c r="J17" s="389"/>
      <c r="K17" s="1552">
        <f>TRUNC((H17/H18*100000),5)/100000</f>
        <v>1.0617973708999999</v>
      </c>
      <c r="L17" s="381"/>
      <c r="M17" s="390" t="s">
        <v>1163</v>
      </c>
      <c r="O17" s="1558" t="str">
        <f>IF(AND(O16="2", J20 &gt; 2),"1",IF(AND(O16 = "1", J20 &gt; 2),"2",IF(AND(O16="1", J20 &gt;1),"1","0")))</f>
        <v>0</v>
      </c>
      <c r="P17" s="213"/>
    </row>
    <row r="18" spans="1:18" s="382" customFormat="1" ht="11.25" x14ac:dyDescent="0.2">
      <c r="A18" s="213"/>
      <c r="B18" s="377"/>
      <c r="C18" s="2205" t="s">
        <v>1308</v>
      </c>
      <c r="D18" s="2206"/>
      <c r="E18" s="213"/>
      <c r="F18" s="391" t="s">
        <v>789</v>
      </c>
      <c r="G18" s="378"/>
      <c r="H18" s="1544">
        <f>SUM('Acct Summary 7-8'!C8+'Acct Summary 7-8'!D8+'Acct Summary 7-8'!F8+'Acct Summary 7-8'!I8)+H19</f>
        <v>6988307</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11.366715300000001</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202" t="s">
        <v>1398</v>
      </c>
      <c r="D24" s="2202"/>
      <c r="E24" s="213"/>
      <c r="F24" s="213" t="s">
        <v>442</v>
      </c>
      <c r="G24" s="378"/>
      <c r="H24" s="1544">
        <f>SUM('Assets-Liab 5-6'!C4+'Assets-Liab 5-6'!D4+'Assets-Liab 5-6'!F4+'Assets-Liab 5-6'!I4+'Assets-Liab 5-6'!C5+'Assets-Liab 5-6'!D5+'Assets-Liab 5-6'!F5+'Assets-Liab 5-6'!I5)</f>
        <v>5504306</v>
      </c>
      <c r="I24" s="394"/>
      <c r="J24" s="394"/>
      <c r="K24" s="1548">
        <f>TRUNC(((H24/H25*100000)/100000),2)</f>
        <v>267.04000000000002</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20611.572219999998</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3023672.5880499999</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3</v>
      </c>
      <c r="P31" s="211"/>
    </row>
    <row r="32" spans="1:18" s="382" customFormat="1" ht="11.25" x14ac:dyDescent="0.2">
      <c r="A32" s="213"/>
      <c r="B32" s="377"/>
      <c r="C32" s="213" t="s">
        <v>842</v>
      </c>
      <c r="D32" s="213"/>
      <c r="E32" s="213"/>
      <c r="F32" s="213"/>
      <c r="G32" s="378"/>
      <c r="H32" s="1544">
        <f>'FP Info 3'!H37</f>
        <v>4784346</v>
      </c>
      <c r="I32" s="392"/>
      <c r="J32" s="392"/>
      <c r="K32" s="1548">
        <f>TRUNC(100-((((H32/H33*100))*100)/100),2)</f>
        <v>69.459999999999994</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15668756.394000001</v>
      </c>
      <c r="I33" s="392"/>
      <c r="J33" s="392"/>
      <c r="K33" s="379"/>
      <c r="L33" s="213"/>
      <c r="M33" s="401" t="s">
        <v>1137</v>
      </c>
      <c r="N33" s="401"/>
      <c r="O33" s="1561">
        <f>(O31*O32)</f>
        <v>0.30000000000000004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3.55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pageSetUpPr fitToPage="1"/>
  </sheetPr>
  <dimension ref="A1:N44"/>
  <sheetViews>
    <sheetView showGridLines="0" defaultGridColor="0" view="pageBreakPreview" topLeftCell="B1" colorId="8" zoomScale="60" zoomScaleNormal="110" workbookViewId="0">
      <selection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299"/>
      <c r="D3" s="1300"/>
      <c r="E3" s="1300"/>
      <c r="F3" s="1300"/>
      <c r="G3" s="1300"/>
      <c r="H3" s="1300"/>
      <c r="I3" s="1300"/>
      <c r="J3" s="1300"/>
      <c r="K3" s="1300"/>
      <c r="L3" s="1300"/>
      <c r="M3" s="1301"/>
      <c r="N3" s="1302"/>
    </row>
    <row r="4" spans="1:14" ht="13.5" customHeight="1" x14ac:dyDescent="0.2">
      <c r="A4" s="427" t="s">
        <v>1635</v>
      </c>
      <c r="B4" s="428"/>
      <c r="C4" s="1565">
        <v>2006320</v>
      </c>
      <c r="D4" s="1566">
        <v>588869</v>
      </c>
      <c r="E4" s="1566">
        <v>36739</v>
      </c>
      <c r="F4" s="1566">
        <v>670437</v>
      </c>
      <c r="G4" s="1566">
        <v>249223</v>
      </c>
      <c r="H4" s="1566">
        <v>254418</v>
      </c>
      <c r="I4" s="1566">
        <v>423138</v>
      </c>
      <c r="J4" s="1567">
        <v>0</v>
      </c>
      <c r="K4" s="1566">
        <v>752504</v>
      </c>
      <c r="L4" s="1566">
        <v>131230</v>
      </c>
      <c r="M4" s="1568"/>
      <c r="N4" s="1569"/>
    </row>
    <row r="5" spans="1:14" x14ac:dyDescent="0.2">
      <c r="A5" s="427" t="s">
        <v>985</v>
      </c>
      <c r="B5" s="429">
        <v>120</v>
      </c>
      <c r="C5" s="1565">
        <v>891896</v>
      </c>
      <c r="D5" s="1566">
        <v>359529</v>
      </c>
      <c r="E5" s="1566">
        <v>198147</v>
      </c>
      <c r="F5" s="1566">
        <v>226632</v>
      </c>
      <c r="G5" s="1566">
        <v>141179</v>
      </c>
      <c r="H5" s="1566">
        <v>893379</v>
      </c>
      <c r="I5" s="1566">
        <v>337485</v>
      </c>
      <c r="J5" s="1567">
        <v>171582</v>
      </c>
      <c r="K5" s="1570">
        <v>205004</v>
      </c>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v>103343</v>
      </c>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3001559</v>
      </c>
      <c r="D13" s="1580">
        <f t="shared" ref="D13:L13" si="0">SUM(D4:D12)</f>
        <v>948398</v>
      </c>
      <c r="E13" s="1580">
        <f t="shared" si="0"/>
        <v>234886</v>
      </c>
      <c r="F13" s="1580">
        <f t="shared" si="0"/>
        <v>897069</v>
      </c>
      <c r="G13" s="1580">
        <f t="shared" si="0"/>
        <v>390402</v>
      </c>
      <c r="H13" s="1580">
        <f t="shared" si="0"/>
        <v>1147797</v>
      </c>
      <c r="I13" s="1580">
        <f t="shared" si="0"/>
        <v>760623</v>
      </c>
      <c r="J13" s="1580">
        <f t="shared" si="0"/>
        <v>171582</v>
      </c>
      <c r="K13" s="1580">
        <f t="shared" si="0"/>
        <v>957508</v>
      </c>
      <c r="L13" s="1580">
        <f t="shared" si="0"/>
        <v>131230</v>
      </c>
      <c r="M13" s="1568"/>
      <c r="N13" s="1569"/>
    </row>
    <row r="14" spans="1:14" ht="18" customHeight="1" thickTop="1" x14ac:dyDescent="0.2">
      <c r="A14" s="2214" t="s">
        <v>146</v>
      </c>
      <c r="B14" s="2215"/>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77950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23893017</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4008353</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234886</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4549460</v>
      </c>
    </row>
    <row r="23" spans="1:14" ht="13.5" customHeight="1" thickBot="1" x14ac:dyDescent="0.25">
      <c r="A23" s="1419" t="s">
        <v>638</v>
      </c>
      <c r="B23" s="1422"/>
      <c r="C23" s="1568"/>
      <c r="D23" s="1568"/>
      <c r="E23" s="1568"/>
      <c r="F23" s="1568"/>
      <c r="G23" s="1568"/>
      <c r="H23" s="1568"/>
      <c r="I23" s="1568"/>
      <c r="J23" s="1568"/>
      <c r="K23" s="1568"/>
      <c r="L23" s="1568"/>
      <c r="M23" s="1587">
        <f>SUM(M15:M22)</f>
        <v>27979320</v>
      </c>
      <c r="N23" s="1587">
        <f>SUM(N21:N22)</f>
        <v>4784346</v>
      </c>
    </row>
    <row r="24" spans="1:14" ht="18" customHeight="1" thickTop="1" x14ac:dyDescent="0.2">
      <c r="A24" s="2216" t="s">
        <v>594</v>
      </c>
      <c r="B24" s="2217"/>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v>103343</v>
      </c>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131230</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103343</v>
      </c>
      <c r="K34" s="1593">
        <f t="shared" si="1"/>
        <v>0</v>
      </c>
      <c r="L34" s="1594">
        <f>SUM(L33)</f>
        <v>131230</v>
      </c>
      <c r="M34" s="1568"/>
      <c r="N34" s="1578"/>
    </row>
    <row r="35" spans="1:14" ht="18" customHeight="1" thickTop="1" x14ac:dyDescent="0.2">
      <c r="A35" s="2218" t="s">
        <v>526</v>
      </c>
      <c r="B35" s="2219"/>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4784346</v>
      </c>
    </row>
    <row r="37" spans="1:14" ht="13.5" thickBot="1" x14ac:dyDescent="0.25">
      <c r="A37" s="1419" t="s">
        <v>648</v>
      </c>
      <c r="B37" s="1422"/>
      <c r="C37" s="1575"/>
      <c r="D37" s="1575"/>
      <c r="E37" s="1575"/>
      <c r="F37" s="1575"/>
      <c r="G37" s="1575"/>
      <c r="H37" s="1575"/>
      <c r="I37" s="1575"/>
      <c r="J37" s="1575"/>
      <c r="K37" s="1575"/>
      <c r="L37" s="1578"/>
      <c r="M37" s="1568"/>
      <c r="N37" s="1587">
        <f>SUM(N36:N36)</f>
        <v>4784346</v>
      </c>
    </row>
    <row r="38" spans="1:14" s="307" customFormat="1" ht="13.5" customHeight="1" thickTop="1" x14ac:dyDescent="0.2">
      <c r="A38" s="438" t="s">
        <v>417</v>
      </c>
      <c r="B38" s="432">
        <v>714</v>
      </c>
      <c r="C38" s="1566"/>
      <c r="D38" s="1566"/>
      <c r="E38" s="1566"/>
      <c r="F38" s="1566"/>
      <c r="G38" s="1566"/>
      <c r="H38" s="1566"/>
      <c r="I38" s="1566"/>
      <c r="J38" s="1567"/>
      <c r="K38" s="1566"/>
      <c r="L38" s="1579"/>
      <c r="M38" s="1597"/>
      <c r="N38" s="1597"/>
    </row>
    <row r="39" spans="1:14" s="307" customFormat="1" ht="13.5" customHeight="1" x14ac:dyDescent="0.2">
      <c r="A39" s="438" t="s">
        <v>339</v>
      </c>
      <c r="B39" s="432">
        <v>730</v>
      </c>
      <c r="C39" s="1566">
        <v>3001559</v>
      </c>
      <c r="D39" s="1566">
        <v>948398</v>
      </c>
      <c r="E39" s="1566">
        <v>234886</v>
      </c>
      <c r="F39" s="1566">
        <v>897069</v>
      </c>
      <c r="G39" s="1566">
        <v>390402</v>
      </c>
      <c r="H39" s="1566">
        <v>1147797</v>
      </c>
      <c r="I39" s="1566">
        <v>760623</v>
      </c>
      <c r="J39" s="1567">
        <v>68239</v>
      </c>
      <c r="K39" s="1566">
        <v>957508</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27979320</v>
      </c>
      <c r="N40" s="1597"/>
    </row>
    <row r="41" spans="1:14" ht="13.5" customHeight="1" thickBot="1" x14ac:dyDescent="0.25">
      <c r="A41" s="1419" t="s">
        <v>650</v>
      </c>
      <c r="B41" s="1398"/>
      <c r="C41" s="1587">
        <f>(SUM(C34,C37,C38,C39))</f>
        <v>3001559</v>
      </c>
      <c r="D41" s="1587">
        <f t="shared" ref="D41:L41" si="2">SUM(D34,D37,D38:D39)</f>
        <v>948398</v>
      </c>
      <c r="E41" s="1587">
        <f t="shared" si="2"/>
        <v>234886</v>
      </c>
      <c r="F41" s="1587">
        <f t="shared" si="2"/>
        <v>897069</v>
      </c>
      <c r="G41" s="1587">
        <f t="shared" si="2"/>
        <v>390402</v>
      </c>
      <c r="H41" s="1587">
        <f t="shared" si="2"/>
        <v>1147797</v>
      </c>
      <c r="I41" s="1587">
        <f t="shared" si="2"/>
        <v>760623</v>
      </c>
      <c r="J41" s="1587">
        <f t="shared" si="2"/>
        <v>171582</v>
      </c>
      <c r="K41" s="1587">
        <f t="shared" si="2"/>
        <v>957508</v>
      </c>
      <c r="L41" s="1587">
        <f t="shared" si="2"/>
        <v>131230</v>
      </c>
      <c r="M41" s="1587">
        <f>SUM(M40)</f>
        <v>27979320</v>
      </c>
      <c r="N41" s="1587">
        <f>SUM(N37)</f>
        <v>4784346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50" firstPageNumber="5" orientation="landscape" useFirstPageNumber="1" r:id="rId1"/>
  <headerFooter alignWithMargins="0">
    <oddHeader>&amp;L&amp;8Page &amp;P&amp;C&amp;"Arial,Bold"&amp;9BASIC FINANCIAL STATEMENTS
STATEMENT OF ASSETS AND LIABILITIES ARISING FROM CASH TRANSACTIONS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topLeftCell="A16" colorId="8" zoomScaleNormal="110" zoomScaleSheetLayoutView="100" workbookViewId="0">
      <selection activeCell="L31" sqref="L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1167</v>
      </c>
      <c r="B3" s="2241"/>
      <c r="C3" s="1304"/>
      <c r="D3" s="1305"/>
      <c r="E3" s="1305"/>
      <c r="F3" s="1305"/>
      <c r="G3" s="1305"/>
      <c r="H3" s="1305"/>
      <c r="I3" s="1305"/>
      <c r="J3" s="1305"/>
      <c r="K3" s="1306"/>
      <c r="L3" s="446"/>
    </row>
    <row r="4" spans="1:13" ht="15.75" customHeight="1" x14ac:dyDescent="0.2">
      <c r="A4" s="1530" t="s">
        <v>1485</v>
      </c>
      <c r="B4" s="1531">
        <v>1000</v>
      </c>
      <c r="C4" s="1599">
        <f>'Revenues 9-14'!C109</f>
        <v>2972725</v>
      </c>
      <c r="D4" s="1599">
        <f>'Revenues 9-14'!D109</f>
        <v>467686</v>
      </c>
      <c r="E4" s="1599">
        <f>'Revenues 9-14'!E109</f>
        <v>911690</v>
      </c>
      <c r="F4" s="1599">
        <f>'Revenues 9-14'!F109</f>
        <v>200016</v>
      </c>
      <c r="G4" s="1599">
        <f>'Revenues 9-14'!G109</f>
        <v>162872</v>
      </c>
      <c r="H4" s="1599">
        <f>'Revenues 9-14'!H109</f>
        <v>25984</v>
      </c>
      <c r="I4" s="1599">
        <f>'Revenues 9-14'!I109</f>
        <v>58387</v>
      </c>
      <c r="J4" s="1599">
        <f>'Revenues 9-14'!J109</f>
        <v>684361</v>
      </c>
      <c r="K4" s="1599">
        <f>'Revenues 9-14'!K109</f>
        <v>58597</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2476890</v>
      </c>
      <c r="D6" s="1600">
        <f>'Revenues 9-14'!D170</f>
        <v>0</v>
      </c>
      <c r="E6" s="1600">
        <f>'Revenues 9-14'!E170</f>
        <v>0</v>
      </c>
      <c r="F6" s="1600">
        <f>'Revenues 9-14'!F170</f>
        <v>394616</v>
      </c>
      <c r="G6" s="1600">
        <f>'Revenues 9-14'!G170</f>
        <v>0</v>
      </c>
      <c r="H6" s="1600">
        <f>'Revenues 9-14'!H170</f>
        <v>0</v>
      </c>
      <c r="I6" s="1600">
        <f>'Revenues 9-14'!I170</f>
        <v>0</v>
      </c>
      <c r="J6" s="1600">
        <f>'Revenues 9-14'!J170</f>
        <v>0</v>
      </c>
      <c r="K6" s="1600">
        <f>'Revenues 9-14'!K170</f>
        <v>50000</v>
      </c>
      <c r="L6" s="325"/>
      <c r="M6" s="448"/>
    </row>
    <row r="7" spans="1:13" ht="15.75" customHeight="1" x14ac:dyDescent="0.2">
      <c r="A7" s="1307" t="s">
        <v>1488</v>
      </c>
      <c r="B7" s="1309">
        <v>4000</v>
      </c>
      <c r="C7" s="1600">
        <f>'Revenues 9-14'!C267</f>
        <v>417987</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5867602</v>
      </c>
      <c r="D8" s="1587">
        <f t="shared" ref="D8:K8" si="0">SUM(D4:D7)</f>
        <v>467686</v>
      </c>
      <c r="E8" s="1587">
        <f t="shared" si="0"/>
        <v>911690</v>
      </c>
      <c r="F8" s="1587">
        <f t="shared" si="0"/>
        <v>594632</v>
      </c>
      <c r="G8" s="1587">
        <f t="shared" si="0"/>
        <v>162872</v>
      </c>
      <c r="H8" s="1587">
        <f t="shared" si="0"/>
        <v>25984</v>
      </c>
      <c r="I8" s="1587">
        <f t="shared" si="0"/>
        <v>58387</v>
      </c>
      <c r="J8" s="1587">
        <f t="shared" si="0"/>
        <v>684361</v>
      </c>
      <c r="K8" s="1587">
        <f t="shared" si="0"/>
        <v>108597</v>
      </c>
      <c r="L8" s="325"/>
    </row>
    <row r="9" spans="1:13" ht="15.75" thickTop="1" x14ac:dyDescent="0.2">
      <c r="A9" s="449" t="s">
        <v>1637</v>
      </c>
      <c r="B9" s="450">
        <v>3998</v>
      </c>
      <c r="C9" s="1579">
        <v>3099362</v>
      </c>
      <c r="D9" s="1606"/>
      <c r="E9" s="1579"/>
      <c r="F9" s="1579"/>
      <c r="G9" s="1607"/>
      <c r="H9" s="1579"/>
      <c r="I9" s="1602" t="s">
        <v>1161</v>
      </c>
      <c r="J9" s="1576"/>
      <c r="K9" s="1579"/>
      <c r="L9" s="325"/>
    </row>
    <row r="10" spans="1:13" s="452" customFormat="1" ht="13.5" thickBot="1" x14ac:dyDescent="0.25">
      <c r="A10" s="1419" t="s">
        <v>1165</v>
      </c>
      <c r="B10" s="1400"/>
      <c r="C10" s="1587">
        <f>SUM(C8:C9)</f>
        <v>8966964</v>
      </c>
      <c r="D10" s="1587">
        <f t="shared" ref="D10:K10" si="1">SUM(D8:D9)</f>
        <v>467686</v>
      </c>
      <c r="E10" s="1587">
        <f t="shared" si="1"/>
        <v>911690</v>
      </c>
      <c r="F10" s="1587">
        <f t="shared" si="1"/>
        <v>594632</v>
      </c>
      <c r="G10" s="1587">
        <f t="shared" si="1"/>
        <v>162872</v>
      </c>
      <c r="H10" s="1587">
        <f t="shared" si="1"/>
        <v>25984</v>
      </c>
      <c r="I10" s="1587">
        <f t="shared" si="1"/>
        <v>58387</v>
      </c>
      <c r="J10" s="1587">
        <f t="shared" si="1"/>
        <v>684361</v>
      </c>
      <c r="K10" s="1587">
        <f t="shared" si="1"/>
        <v>108597</v>
      </c>
      <c r="L10" s="451"/>
    </row>
    <row r="11" spans="1:13" s="452" customFormat="1" ht="16.7" customHeight="1" thickTop="1" x14ac:dyDescent="0.2">
      <c r="A11" s="2214" t="s">
        <v>1168</v>
      </c>
      <c r="B11" s="2215"/>
      <c r="C11" s="1595"/>
      <c r="D11" s="1596"/>
      <c r="E11" s="1596"/>
      <c r="F11" s="1596"/>
      <c r="G11" s="1596"/>
      <c r="H11" s="1596"/>
      <c r="I11" s="1596"/>
      <c r="J11" s="1596"/>
      <c r="K11" s="1608"/>
      <c r="L11" s="451"/>
    </row>
    <row r="12" spans="1:13" ht="15.75" customHeight="1" x14ac:dyDescent="0.2">
      <c r="A12" s="1307" t="s">
        <v>453</v>
      </c>
      <c r="B12" s="1309">
        <v>1000</v>
      </c>
      <c r="C12" s="1599">
        <f>'Expenditures 15-22'!K33</f>
        <v>4268472</v>
      </c>
      <c r="D12" s="1609" t="s">
        <v>1161</v>
      </c>
      <c r="E12" s="1568" t="s">
        <v>1161</v>
      </c>
      <c r="F12" s="1568" t="s">
        <v>1161</v>
      </c>
      <c r="G12" s="1599">
        <f>'Expenditures 15-22'!K229</f>
        <v>60278</v>
      </c>
      <c r="H12" s="1610"/>
      <c r="I12" s="1568" t="s">
        <v>1161</v>
      </c>
      <c r="J12" s="1568" t="s">
        <v>1161</v>
      </c>
      <c r="K12" s="1610" t="s">
        <v>1161</v>
      </c>
      <c r="L12" s="325"/>
    </row>
    <row r="13" spans="1:13" ht="15.75" customHeight="1" x14ac:dyDescent="0.2">
      <c r="A13" s="1307" t="s">
        <v>454</v>
      </c>
      <c r="B13" s="1309">
        <v>2000</v>
      </c>
      <c r="C13" s="1600">
        <f>'Expenditures 15-22'!K74</f>
        <v>1359632</v>
      </c>
      <c r="D13" s="1600">
        <f>'Expenditures 15-22'!K129</f>
        <v>719172</v>
      </c>
      <c r="E13" s="1569" t="s">
        <v>1161</v>
      </c>
      <c r="F13" s="1600">
        <f>'Expenditures 15-22'!K184</f>
        <v>625624</v>
      </c>
      <c r="G13" s="1600">
        <f>'Expenditures 15-22'!K279</f>
        <v>91665</v>
      </c>
      <c r="H13" s="1600">
        <f>'Expenditures 15-22'!K303</f>
        <v>63090</v>
      </c>
      <c r="I13" s="1568" t="s">
        <v>1161</v>
      </c>
      <c r="J13" s="1600">
        <f>'Expenditures 15-22'!K330</f>
        <v>781318</v>
      </c>
      <c r="K13" s="1611">
        <f>'Expenditures 15-22'!K352</f>
        <v>81111</v>
      </c>
      <c r="L13" s="325"/>
    </row>
    <row r="14" spans="1:13" ht="15.75" customHeight="1" x14ac:dyDescent="0.2">
      <c r="A14" s="1307" t="s">
        <v>446</v>
      </c>
      <c r="B14" s="1309">
        <v>3000</v>
      </c>
      <c r="C14" s="1600">
        <f>'Expenditures 15-22'!K75</f>
        <v>16392</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419362</v>
      </c>
      <c r="D15" s="1600">
        <f>'Expenditures 15-22'!K139</f>
        <v>11512</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1091524</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6063858</v>
      </c>
      <c r="D17" s="1587">
        <f t="shared" si="2"/>
        <v>730684</v>
      </c>
      <c r="E17" s="1587">
        <f t="shared" si="2"/>
        <v>1091524</v>
      </c>
      <c r="F17" s="1587">
        <f t="shared" si="2"/>
        <v>625624</v>
      </c>
      <c r="G17" s="1587">
        <f t="shared" si="2"/>
        <v>151943</v>
      </c>
      <c r="H17" s="1587">
        <f t="shared" si="2"/>
        <v>63090</v>
      </c>
      <c r="I17" s="1568"/>
      <c r="J17" s="1587">
        <f>SUM(J12:J16)</f>
        <v>781318</v>
      </c>
      <c r="K17" s="1587">
        <f>SUM(K12:K16)</f>
        <v>81111</v>
      </c>
      <c r="L17" s="325"/>
    </row>
    <row r="18" spans="1:12" ht="15" customHeight="1" thickTop="1" x14ac:dyDescent="0.2">
      <c r="A18" s="1423" t="s">
        <v>1638</v>
      </c>
      <c r="B18" s="1424">
        <v>4180</v>
      </c>
      <c r="C18" s="1599">
        <f t="shared" ref="C18:H18" si="3">C9</f>
        <v>3099362</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9163220</v>
      </c>
      <c r="D19" s="1587">
        <f t="shared" si="4"/>
        <v>730684</v>
      </c>
      <c r="E19" s="1587">
        <f t="shared" si="4"/>
        <v>1091524</v>
      </c>
      <c r="F19" s="1587">
        <f t="shared" si="4"/>
        <v>625624</v>
      </c>
      <c r="G19" s="1587">
        <f t="shared" si="4"/>
        <v>151943</v>
      </c>
      <c r="H19" s="1587">
        <f t="shared" si="4"/>
        <v>63090</v>
      </c>
      <c r="I19" s="1568"/>
      <c r="J19" s="1587">
        <f>SUM(J17:J18)</f>
        <v>781318</v>
      </c>
      <c r="K19" s="1587">
        <f>SUM(K17:K18)</f>
        <v>81111</v>
      </c>
      <c r="L19" s="325"/>
    </row>
    <row r="20" spans="1:12" ht="16.5" thickTop="1" thickBot="1" x14ac:dyDescent="0.25">
      <c r="A20" s="2230" t="s">
        <v>1639</v>
      </c>
      <c r="B20" s="2231"/>
      <c r="C20" s="1615">
        <f>C8-C17</f>
        <v>-196256</v>
      </c>
      <c r="D20" s="1615">
        <f t="shared" ref="D20:K20" si="5">D8-D17</f>
        <v>-262998</v>
      </c>
      <c r="E20" s="1615">
        <f t="shared" si="5"/>
        <v>-179834</v>
      </c>
      <c r="F20" s="1615">
        <f t="shared" si="5"/>
        <v>-30992</v>
      </c>
      <c r="G20" s="1615">
        <f t="shared" si="5"/>
        <v>10929</v>
      </c>
      <c r="H20" s="1615">
        <f t="shared" si="5"/>
        <v>-37106</v>
      </c>
      <c r="I20" s="1615">
        <f t="shared" si="5"/>
        <v>58387</v>
      </c>
      <c r="J20" s="1615">
        <f t="shared" si="5"/>
        <v>-96957</v>
      </c>
      <c r="K20" s="1615">
        <f t="shared" si="5"/>
        <v>27486</v>
      </c>
      <c r="L20" s="325"/>
    </row>
    <row r="21" spans="1:12" ht="16.7" customHeight="1" thickTop="1" x14ac:dyDescent="0.2">
      <c r="A21" s="2242" t="s">
        <v>591</v>
      </c>
      <c r="B21" s="2243"/>
      <c r="C21" s="1595"/>
      <c r="D21" s="1596"/>
      <c r="E21" s="1596"/>
      <c r="F21" s="1596"/>
      <c r="G21" s="1596"/>
      <c r="H21" s="1596"/>
      <c r="I21" s="1596"/>
      <c r="J21" s="1596"/>
      <c r="K21" s="1608"/>
      <c r="L21" s="453"/>
    </row>
    <row r="22" spans="1:12" ht="15.75" customHeight="1" collapsed="1" x14ac:dyDescent="0.2">
      <c r="A22" s="2238" t="s">
        <v>592</v>
      </c>
      <c r="B22" s="2239"/>
      <c r="C22" s="1575"/>
      <c r="D22" s="1575"/>
      <c r="E22" s="1575"/>
      <c r="F22" s="1575"/>
      <c r="G22" s="1575"/>
      <c r="H22" s="1575"/>
      <c r="I22" s="1575"/>
      <c r="J22" s="1575"/>
      <c r="K22" s="1575"/>
      <c r="L22" s="325"/>
    </row>
    <row r="23" spans="1:12" s="433" customFormat="1" ht="15.75" customHeight="1" x14ac:dyDescent="0.2">
      <c r="A23" s="2234" t="s">
        <v>290</v>
      </c>
      <c r="B23" s="2235"/>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v>162150</v>
      </c>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6" t="s">
        <v>974</v>
      </c>
      <c r="B32" s="2237"/>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4" t="s">
        <v>371</v>
      </c>
      <c r="B44" s="2245"/>
      <c r="C44" s="1617">
        <f>SUM(C24:C43)</f>
        <v>0</v>
      </c>
      <c r="D44" s="1617">
        <f t="shared" ref="D44:K44" si="6">SUM(D24:D43)</f>
        <v>162150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8" t="s">
        <v>108</v>
      </c>
      <c r="B45" s="2239"/>
      <c r="C45" s="1618"/>
      <c r="D45" s="1618"/>
      <c r="E45" s="1618"/>
      <c r="F45" s="1618"/>
      <c r="G45" s="1618"/>
      <c r="H45" s="1618"/>
      <c r="I45" s="1618"/>
      <c r="J45" s="1618"/>
      <c r="K45" s="1618"/>
      <c r="L45" s="325"/>
    </row>
    <row r="46" spans="1:12" s="433" customFormat="1" ht="15.75" customHeight="1" x14ac:dyDescent="0.2">
      <c r="A46" s="2246" t="s">
        <v>109</v>
      </c>
      <c r="B46" s="2247"/>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162150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20" t="s">
        <v>437</v>
      </c>
      <c r="B76" s="2221"/>
      <c r="C76" s="1617">
        <f t="shared" ref="C76:K76" si="7">SUM(C47:C75)</f>
        <v>0</v>
      </c>
      <c r="D76" s="1617">
        <f t="shared" si="7"/>
        <v>0</v>
      </c>
      <c r="E76" s="1617">
        <f t="shared" si="7"/>
        <v>0</v>
      </c>
      <c r="F76" s="1617">
        <f t="shared" si="7"/>
        <v>0</v>
      </c>
      <c r="G76" s="1617">
        <f t="shared" si="7"/>
        <v>0</v>
      </c>
      <c r="H76" s="1617">
        <f t="shared" si="7"/>
        <v>0</v>
      </c>
      <c r="I76" s="1617">
        <f t="shared" si="7"/>
        <v>162150</v>
      </c>
      <c r="J76" s="1617">
        <f t="shared" si="7"/>
        <v>0</v>
      </c>
      <c r="K76" s="1617">
        <f t="shared" si="7"/>
        <v>0</v>
      </c>
      <c r="L76" s="453"/>
    </row>
    <row r="77" spans="1:12" ht="14.25" thickTop="1" thickBot="1" x14ac:dyDescent="0.25">
      <c r="A77" s="2222" t="s">
        <v>1169</v>
      </c>
      <c r="B77" s="2223"/>
      <c r="C77" s="1617">
        <f t="shared" ref="C77:K77" si="8">C44-C76</f>
        <v>0</v>
      </c>
      <c r="D77" s="1617">
        <f t="shared" si="8"/>
        <v>162150</v>
      </c>
      <c r="E77" s="1617">
        <f t="shared" si="8"/>
        <v>0</v>
      </c>
      <c r="F77" s="1617">
        <f t="shared" si="8"/>
        <v>0</v>
      </c>
      <c r="G77" s="1617">
        <f t="shared" si="8"/>
        <v>0</v>
      </c>
      <c r="H77" s="1617">
        <f t="shared" si="8"/>
        <v>0</v>
      </c>
      <c r="I77" s="1617">
        <f t="shared" si="8"/>
        <v>-162150</v>
      </c>
      <c r="J77" s="1617">
        <f t="shared" si="8"/>
        <v>0</v>
      </c>
      <c r="K77" s="1617">
        <f t="shared" si="8"/>
        <v>0</v>
      </c>
      <c r="L77" s="325"/>
    </row>
    <row r="78" spans="1:12" ht="21.75" customHeight="1" thickTop="1" thickBot="1" x14ac:dyDescent="0.25">
      <c r="A78" s="2226" t="s">
        <v>593</v>
      </c>
      <c r="B78" s="2227"/>
      <c r="C78" s="1622">
        <f t="shared" ref="C78:K78" si="9">C20+C77</f>
        <v>-196256</v>
      </c>
      <c r="D78" s="1622">
        <f t="shared" si="9"/>
        <v>-100848</v>
      </c>
      <c r="E78" s="1622">
        <f t="shared" si="9"/>
        <v>-179834</v>
      </c>
      <c r="F78" s="1622">
        <f t="shared" si="9"/>
        <v>-30992</v>
      </c>
      <c r="G78" s="1622">
        <f t="shared" si="9"/>
        <v>10929</v>
      </c>
      <c r="H78" s="1622">
        <f t="shared" si="9"/>
        <v>-37106</v>
      </c>
      <c r="I78" s="1622">
        <f t="shared" si="9"/>
        <v>-103763</v>
      </c>
      <c r="J78" s="1622">
        <f t="shared" si="9"/>
        <v>-96957</v>
      </c>
      <c r="K78" s="1622">
        <f t="shared" si="9"/>
        <v>27486</v>
      </c>
      <c r="L78" s="457"/>
    </row>
    <row r="79" spans="1:12" ht="13.5" thickTop="1" x14ac:dyDescent="0.2">
      <c r="A79" s="1837" t="str">
        <f>"Fund Balances - July 1, "&amp;'AFR20'!E2-1</f>
        <v>Fund Balances - July 1, 2019</v>
      </c>
      <c r="B79" s="458"/>
      <c r="C79" s="1576">
        <v>3197815</v>
      </c>
      <c r="D79" s="1623">
        <v>1049246</v>
      </c>
      <c r="E79" s="1623">
        <v>414720</v>
      </c>
      <c r="F79" s="1623">
        <v>928061</v>
      </c>
      <c r="G79" s="1623">
        <v>379473</v>
      </c>
      <c r="H79" s="1623">
        <v>1184903</v>
      </c>
      <c r="I79" s="1623">
        <v>864386</v>
      </c>
      <c r="J79" s="1623">
        <v>165196</v>
      </c>
      <c r="K79" s="1623">
        <v>930022</v>
      </c>
      <c r="L79" s="325"/>
    </row>
    <row r="80" spans="1:12" x14ac:dyDescent="0.2">
      <c r="A80" s="2232" t="s">
        <v>1775</v>
      </c>
      <c r="B80" s="2233"/>
      <c r="C80" s="1567"/>
      <c r="D80" s="1567"/>
      <c r="E80" s="1567"/>
      <c r="F80" s="1567"/>
      <c r="G80" s="1567"/>
      <c r="H80" s="1567"/>
      <c r="I80" s="1567"/>
      <c r="J80" s="1567"/>
      <c r="K80" s="1567"/>
      <c r="L80" s="325"/>
    </row>
    <row r="81" spans="1:12" ht="13.5" thickBot="1" x14ac:dyDescent="0.25">
      <c r="A81" s="2224" t="str">
        <f>"Fund Balances - June 30, "&amp;'AFR20'!E2</f>
        <v>Fund Balances - June 30, 2020</v>
      </c>
      <c r="B81" s="2225"/>
      <c r="C81" s="1587">
        <f>(SUM(C78:C80))</f>
        <v>3001559</v>
      </c>
      <c r="D81" s="1587">
        <f>SUM(D78:D80)</f>
        <v>948398</v>
      </c>
      <c r="E81" s="1587">
        <f t="shared" ref="E81:K81" si="10">SUM(E78:E80)</f>
        <v>234886</v>
      </c>
      <c r="F81" s="1587">
        <f t="shared" si="10"/>
        <v>897069</v>
      </c>
      <c r="G81" s="1587">
        <f t="shared" si="10"/>
        <v>390402</v>
      </c>
      <c r="H81" s="1587">
        <f t="shared" si="10"/>
        <v>1147797</v>
      </c>
      <c r="I81" s="1587">
        <f t="shared" si="10"/>
        <v>760623</v>
      </c>
      <c r="J81" s="1587">
        <f t="shared" si="10"/>
        <v>68239</v>
      </c>
      <c r="K81" s="1587">
        <f t="shared" si="10"/>
        <v>957508</v>
      </c>
      <c r="L81" s="325"/>
    </row>
    <row r="82" spans="1:12" ht="0.75" customHeight="1" thickTop="1" thickBot="1" x14ac:dyDescent="0.25">
      <c r="A82" s="459" t="s">
        <v>340</v>
      </c>
      <c r="B82" s="460"/>
      <c r="C82" s="461">
        <f>(C81-C79)</f>
        <v>-196256</v>
      </c>
      <c r="D82" s="461">
        <f t="shared" ref="D82:K82" si="11">(D81-D79)</f>
        <v>-100848</v>
      </c>
      <c r="E82" s="461">
        <f t="shared" si="11"/>
        <v>-179834</v>
      </c>
      <c r="F82" s="461">
        <f t="shared" si="11"/>
        <v>-30992</v>
      </c>
      <c r="G82" s="461">
        <f t="shared" si="11"/>
        <v>10929</v>
      </c>
      <c r="H82" s="461">
        <f t="shared" si="11"/>
        <v>-37106</v>
      </c>
      <c r="I82" s="461">
        <f t="shared" si="11"/>
        <v>-103763</v>
      </c>
      <c r="J82" s="461">
        <f t="shared" si="11"/>
        <v>-96957</v>
      </c>
      <c r="K82" s="461">
        <f t="shared" si="11"/>
        <v>27486</v>
      </c>
    </row>
    <row r="83" spans="1:12" ht="14.25" hidden="1" thickTop="1" thickBot="1" x14ac:dyDescent="0.25">
      <c r="A83" s="462" t="s">
        <v>341</v>
      </c>
      <c r="B83" s="428"/>
      <c r="C83" s="463">
        <f>C82/C81</f>
        <v>-6.538468842358254E-2</v>
      </c>
      <c r="D83" s="463">
        <f t="shared" ref="D83:K83" si="12">D82/D81</f>
        <v>-0.10633510403859983</v>
      </c>
      <c r="E83" s="463">
        <f t="shared" si="12"/>
        <v>-0.76562247217799273</v>
      </c>
      <c r="F83" s="463">
        <f t="shared" si="12"/>
        <v>-3.454806709405854E-2</v>
      </c>
      <c r="G83" s="463">
        <f t="shared" si="12"/>
        <v>2.7994221341079196E-2</v>
      </c>
      <c r="H83" s="463">
        <f t="shared" si="12"/>
        <v>-3.2328016191016357E-2</v>
      </c>
      <c r="I83" s="463">
        <f t="shared" si="12"/>
        <v>-0.13641843594001232</v>
      </c>
      <c r="J83" s="463">
        <f t="shared" si="12"/>
        <v>-1.4208443851756327</v>
      </c>
      <c r="K83" s="463">
        <f t="shared" si="12"/>
        <v>2.8705765382639102E-2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topLeftCell="A235" colorId="8" zoomScale="75" zoomScaleNormal="110" zoomScaleSheetLayoutView="75" workbookViewId="0">
      <selection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1782</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2200326</v>
      </c>
      <c r="D5" s="1579">
        <v>452741</v>
      </c>
      <c r="E5" s="1566">
        <v>903128</v>
      </c>
      <c r="F5" s="1624">
        <v>181096</v>
      </c>
      <c r="G5" s="1566">
        <v>42697</v>
      </c>
      <c r="H5" s="1566"/>
      <c r="I5" s="1566">
        <v>45273</v>
      </c>
      <c r="J5" s="1567">
        <v>677178</v>
      </c>
      <c r="K5" s="1566">
        <v>45273</v>
      </c>
    </row>
    <row r="6" spans="1:12" ht="15" x14ac:dyDescent="0.2">
      <c r="A6" s="427" t="s">
        <v>1646</v>
      </c>
      <c r="B6" s="429">
        <v>1130</v>
      </c>
      <c r="C6" s="1566">
        <v>45273</v>
      </c>
      <c r="D6" s="1566"/>
      <c r="E6" s="1573"/>
      <c r="F6" s="1573"/>
      <c r="G6" s="1568"/>
      <c r="H6" s="1568"/>
      <c r="I6" s="1568"/>
      <c r="J6" s="1568"/>
      <c r="K6" s="1568"/>
    </row>
    <row r="7" spans="1:12" x14ac:dyDescent="0.2">
      <c r="A7" s="427" t="s">
        <v>110</v>
      </c>
      <c r="B7" s="471">
        <v>1140</v>
      </c>
      <c r="C7" s="1566">
        <v>36220</v>
      </c>
      <c r="D7" s="1566"/>
      <c r="E7" s="1568"/>
      <c r="F7" s="1567"/>
      <c r="G7" s="1567"/>
      <c r="H7" s="1567"/>
      <c r="I7" s="1568"/>
      <c r="J7" s="1568"/>
      <c r="K7" s="1568"/>
    </row>
    <row r="8" spans="1:12" x14ac:dyDescent="0.2">
      <c r="A8" s="427" t="s">
        <v>410</v>
      </c>
      <c r="B8" s="429">
        <v>1150</v>
      </c>
      <c r="C8" s="1573"/>
      <c r="D8" s="1573"/>
      <c r="E8" s="1575"/>
      <c r="F8" s="1575"/>
      <c r="G8" s="1579">
        <v>111797</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2281819</v>
      </c>
      <c r="D12" s="1626">
        <f t="shared" si="0"/>
        <v>452741</v>
      </c>
      <c r="E12" s="1626">
        <f t="shared" si="0"/>
        <v>903128</v>
      </c>
      <c r="F12" s="1626">
        <f t="shared" si="0"/>
        <v>181096</v>
      </c>
      <c r="G12" s="1626">
        <f t="shared" si="0"/>
        <v>154494</v>
      </c>
      <c r="H12" s="1626">
        <f t="shared" si="0"/>
        <v>0</v>
      </c>
      <c r="I12" s="1626">
        <f t="shared" si="0"/>
        <v>45273</v>
      </c>
      <c r="J12" s="1626">
        <f t="shared" si="0"/>
        <v>677178</v>
      </c>
      <c r="K12" s="1587">
        <f t="shared" si="0"/>
        <v>45273</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205407</v>
      </c>
      <c r="D16" s="1566"/>
      <c r="E16" s="1566"/>
      <c r="F16" s="1566"/>
      <c r="G16" s="1566">
        <v>1771</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205407</v>
      </c>
      <c r="D18" s="1628">
        <f t="shared" ref="D18:K18" si="1">SUM(D14:D17)</f>
        <v>0</v>
      </c>
      <c r="E18" s="1628">
        <f t="shared" si="1"/>
        <v>0</v>
      </c>
      <c r="F18" s="1628">
        <f t="shared" si="1"/>
        <v>0</v>
      </c>
      <c r="G18" s="1628">
        <f t="shared" si="1"/>
        <v>1771</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v>57940</v>
      </c>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57940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v>345</v>
      </c>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v>6018</v>
      </c>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6363</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53758</v>
      </c>
      <c r="D65" s="1566">
        <v>14945</v>
      </c>
      <c r="E65" s="1566">
        <v>8562</v>
      </c>
      <c r="F65" s="1567">
        <v>12309</v>
      </c>
      <c r="G65" s="1566">
        <v>6607</v>
      </c>
      <c r="H65" s="1566">
        <v>18166</v>
      </c>
      <c r="I65" s="1566">
        <v>13114</v>
      </c>
      <c r="J65" s="1567">
        <v>7183</v>
      </c>
      <c r="K65" s="1566">
        <v>11644</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53758</v>
      </c>
      <c r="D67" s="1587">
        <f t="shared" ref="D67:K67" si="2">SUM(D65:D66)</f>
        <v>14945</v>
      </c>
      <c r="E67" s="1587">
        <f t="shared" si="2"/>
        <v>8562</v>
      </c>
      <c r="F67" s="1587">
        <f t="shared" si="2"/>
        <v>12309</v>
      </c>
      <c r="G67" s="1587">
        <f t="shared" si="2"/>
        <v>6607</v>
      </c>
      <c r="H67" s="1587">
        <f t="shared" si="2"/>
        <v>18166</v>
      </c>
      <c r="I67" s="1587">
        <f t="shared" si="2"/>
        <v>13114</v>
      </c>
      <c r="J67" s="1587">
        <f t="shared" si="2"/>
        <v>7183</v>
      </c>
      <c r="K67" s="1587">
        <f t="shared" si="2"/>
        <v>11644</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67783</v>
      </c>
      <c r="D69" s="1568"/>
      <c r="E69" s="1568"/>
      <c r="F69" s="1568"/>
      <c r="G69" s="1568"/>
      <c r="H69" s="1568"/>
      <c r="I69" s="1568"/>
      <c r="J69" s="1568"/>
      <c r="K69" s="1568"/>
    </row>
    <row r="70" spans="1:11" ht="12.75" customHeight="1" x14ac:dyDescent="0.2">
      <c r="A70" s="427" t="s">
        <v>990</v>
      </c>
      <c r="B70" s="429">
        <v>1612</v>
      </c>
      <c r="C70" s="1625">
        <v>6288</v>
      </c>
      <c r="D70" s="1568"/>
      <c r="E70" s="1568"/>
      <c r="F70" s="1568"/>
      <c r="G70" s="1568"/>
      <c r="H70" s="1568"/>
      <c r="I70" s="1568"/>
      <c r="J70" s="1568"/>
      <c r="K70" s="1568"/>
    </row>
    <row r="71" spans="1:11" ht="12.75" customHeight="1" x14ac:dyDescent="0.2">
      <c r="A71" s="427" t="s">
        <v>271</v>
      </c>
      <c r="B71" s="429">
        <v>1613</v>
      </c>
      <c r="C71" s="1625">
        <v>57476</v>
      </c>
      <c r="D71" s="1568"/>
      <c r="E71" s="1568"/>
      <c r="F71" s="1568"/>
      <c r="G71" s="1568"/>
      <c r="H71" s="1568"/>
      <c r="I71" s="1568"/>
      <c r="J71" s="1568"/>
      <c r="K71" s="1568"/>
    </row>
    <row r="72" spans="1:11" ht="12.75" customHeight="1" x14ac:dyDescent="0.2">
      <c r="A72" s="427" t="s">
        <v>24</v>
      </c>
      <c r="B72" s="429">
        <v>1614</v>
      </c>
      <c r="C72" s="1625">
        <v>2541</v>
      </c>
      <c r="D72" s="1568"/>
      <c r="E72" s="1568"/>
      <c r="F72" s="1568"/>
      <c r="G72" s="1568"/>
      <c r="H72" s="1568"/>
      <c r="I72" s="1568"/>
      <c r="J72" s="1568"/>
      <c r="K72" s="1568"/>
    </row>
    <row r="73" spans="1:11" ht="12.75" customHeight="1" x14ac:dyDescent="0.2">
      <c r="A73" s="427" t="s">
        <v>991</v>
      </c>
      <c r="B73" s="429">
        <v>1620</v>
      </c>
      <c r="C73" s="1625">
        <v>1983</v>
      </c>
      <c r="D73" s="1568"/>
      <c r="E73" s="1568"/>
      <c r="F73" s="1568"/>
      <c r="G73" s="1568"/>
      <c r="H73" s="1568"/>
      <c r="I73" s="1568"/>
      <c r="J73" s="1568"/>
      <c r="K73" s="1568"/>
    </row>
    <row r="74" spans="1:11" ht="12.75" customHeight="1" x14ac:dyDescent="0.2">
      <c r="A74" s="427" t="s">
        <v>25</v>
      </c>
      <c r="B74" s="429">
        <v>1690</v>
      </c>
      <c r="C74" s="1625">
        <v>9334</v>
      </c>
      <c r="D74" s="1568"/>
      <c r="E74" s="1568"/>
      <c r="F74" s="1568"/>
      <c r="G74" s="1568"/>
      <c r="H74" s="1568"/>
      <c r="I74" s="1568"/>
      <c r="J74" s="1568"/>
      <c r="K74" s="1568"/>
    </row>
    <row r="75" spans="1:11" ht="12.75" customHeight="1" thickBot="1" x14ac:dyDescent="0.25">
      <c r="A75" s="1399" t="s">
        <v>544</v>
      </c>
      <c r="B75" s="1400"/>
      <c r="C75" s="1587">
        <f>SUM(C69:C74)</f>
        <v>145405</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11352</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28080</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v>24746</v>
      </c>
      <c r="D81" s="1566"/>
      <c r="E81" s="1568"/>
      <c r="F81" s="1568"/>
      <c r="G81" s="1568"/>
      <c r="H81" s="1568"/>
      <c r="I81" s="1568"/>
      <c r="J81" s="1568"/>
      <c r="K81" s="1568"/>
    </row>
    <row r="82" spans="1:11" ht="12.75" customHeight="1" thickBot="1" x14ac:dyDescent="0.25">
      <c r="A82" s="1399" t="s">
        <v>239</v>
      </c>
      <c r="B82" s="1400"/>
      <c r="C82" s="1626">
        <f>SUM(C77:C81)</f>
        <v>64178</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90586</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90586</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v>44087</v>
      </c>
      <c r="D96" s="1625"/>
      <c r="E96" s="1577"/>
      <c r="F96" s="1576"/>
      <c r="G96" s="1576"/>
      <c r="H96" s="1576">
        <v>7818</v>
      </c>
      <c r="I96" s="1576"/>
      <c r="J96" s="1576"/>
      <c r="K96" s="1576"/>
    </row>
    <row r="97" spans="1:12" ht="12.75" customHeight="1" x14ac:dyDescent="0.2">
      <c r="A97" s="1258" t="s">
        <v>242</v>
      </c>
      <c r="B97" s="477">
        <v>1930</v>
      </c>
      <c r="C97" s="1591">
        <v>526</v>
      </c>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12000</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v>9324</v>
      </c>
      <c r="D106" s="1591"/>
      <c r="E106" s="1567"/>
      <c r="F106" s="1567"/>
      <c r="G106" s="1567"/>
      <c r="H106" s="1567"/>
      <c r="I106" s="1610"/>
      <c r="J106" s="1567"/>
      <c r="K106" s="1567"/>
    </row>
    <row r="107" spans="1:12" ht="12.75" customHeight="1" x14ac:dyDescent="0.2">
      <c r="A107" s="427" t="s">
        <v>78</v>
      </c>
      <c r="B107" s="429">
        <v>1999</v>
      </c>
      <c r="C107" s="1625">
        <v>7695</v>
      </c>
      <c r="D107" s="1566"/>
      <c r="E107" s="1566"/>
      <c r="F107" s="1566">
        <v>248</v>
      </c>
      <c r="G107" s="1566"/>
      <c r="H107" s="1566"/>
      <c r="I107" s="1566"/>
      <c r="J107" s="1567"/>
      <c r="K107" s="1566">
        <v>1680</v>
      </c>
    </row>
    <row r="108" spans="1:12" ht="12.75" customHeight="1" thickBot="1" x14ac:dyDescent="0.25">
      <c r="A108" s="1399" t="s">
        <v>484</v>
      </c>
      <c r="B108" s="1401"/>
      <c r="C108" s="1626">
        <f>SUM(C95:C107)</f>
        <v>73632</v>
      </c>
      <c r="D108" s="1626">
        <f t="shared" ref="D108:K108" si="3">SUM(D95:D107)</f>
        <v>0</v>
      </c>
      <c r="E108" s="1626">
        <f t="shared" si="3"/>
        <v>0</v>
      </c>
      <c r="F108" s="1626">
        <f t="shared" si="3"/>
        <v>248</v>
      </c>
      <c r="G108" s="1626">
        <f t="shared" si="3"/>
        <v>0</v>
      </c>
      <c r="H108" s="1626">
        <f t="shared" si="3"/>
        <v>7818</v>
      </c>
      <c r="I108" s="1626">
        <f t="shared" si="3"/>
        <v>0</v>
      </c>
      <c r="J108" s="1626">
        <f t="shared" si="3"/>
        <v>0</v>
      </c>
      <c r="K108" s="1587">
        <f t="shared" si="3"/>
        <v>1680</v>
      </c>
    </row>
    <row r="109" spans="1:12" ht="14.25" thickTop="1" thickBot="1" x14ac:dyDescent="0.25">
      <c r="A109" s="1402" t="s">
        <v>246</v>
      </c>
      <c r="B109" s="1403" t="s">
        <v>566</v>
      </c>
      <c r="C109" s="1634">
        <f t="shared" ref="C109:K109" si="4">SUM(C12,C18,C40,C63,C67,C75,C82,C93,C108,)</f>
        <v>2972725</v>
      </c>
      <c r="D109" s="1634">
        <f t="shared" si="4"/>
        <v>467686</v>
      </c>
      <c r="E109" s="1634">
        <f t="shared" si="4"/>
        <v>911690</v>
      </c>
      <c r="F109" s="1634">
        <f t="shared" si="4"/>
        <v>200016</v>
      </c>
      <c r="G109" s="1634">
        <f t="shared" si="4"/>
        <v>162872</v>
      </c>
      <c r="H109" s="1634">
        <f t="shared" si="4"/>
        <v>25984</v>
      </c>
      <c r="I109" s="1634">
        <f t="shared" si="4"/>
        <v>58387</v>
      </c>
      <c r="J109" s="1634">
        <f t="shared" si="4"/>
        <v>684361</v>
      </c>
      <c r="K109" s="1622">
        <f t="shared" si="4"/>
        <v>58597</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2268959</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v>50000</v>
      </c>
    </row>
    <row r="122" spans="1:11" ht="12.6" customHeight="1" thickBot="1" x14ac:dyDescent="0.25">
      <c r="A122" s="1399" t="s">
        <v>485</v>
      </c>
      <c r="B122" s="1406"/>
      <c r="C122" s="1626">
        <f t="shared" ref="C122:H122" si="5">SUM(C117:C121)</f>
        <v>2268959</v>
      </c>
      <c r="D122" s="1626">
        <f t="shared" si="5"/>
        <v>0</v>
      </c>
      <c r="E122" s="1626">
        <f t="shared" si="5"/>
        <v>0</v>
      </c>
      <c r="F122" s="1626">
        <f t="shared" si="5"/>
        <v>0</v>
      </c>
      <c r="G122" s="1626">
        <f t="shared" si="5"/>
        <v>0</v>
      </c>
      <c r="H122" s="1626">
        <f t="shared" si="5"/>
        <v>0</v>
      </c>
      <c r="I122" s="1568"/>
      <c r="J122" s="1626">
        <f>SUM(J117:J121)</f>
        <v>0</v>
      </c>
      <c r="K122" s="1587">
        <f>SUM(K117:K121)</f>
        <v>50000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80582</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10457</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91039</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v>16931</v>
      </c>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v>5686</v>
      </c>
      <c r="D136" s="1566"/>
      <c r="E136" s="1633"/>
      <c r="F136" s="1568"/>
      <c r="G136" s="1567"/>
      <c r="H136" s="1568"/>
      <c r="I136" s="1568"/>
      <c r="J136" s="1568"/>
      <c r="K136" s="1568"/>
    </row>
    <row r="137" spans="1:11" ht="12.75" customHeight="1" x14ac:dyDescent="0.2">
      <c r="A137" s="427" t="s">
        <v>596</v>
      </c>
      <c r="B137" s="478">
        <v>3235</v>
      </c>
      <c r="C137" s="1591">
        <v>2150</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24767</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1440</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7544</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282249</v>
      </c>
      <c r="G152" s="1567"/>
      <c r="H152" s="1568"/>
      <c r="I152" s="1568"/>
      <c r="J152" s="1568"/>
      <c r="K152" s="1568"/>
    </row>
    <row r="153" spans="1:11" ht="12.75" customHeight="1" x14ac:dyDescent="0.2">
      <c r="A153" s="427" t="s">
        <v>1050</v>
      </c>
      <c r="B153" s="478">
        <v>3510</v>
      </c>
      <c r="C153" s="1625"/>
      <c r="D153" s="1566"/>
      <c r="E153" s="1633"/>
      <c r="F153" s="1566">
        <v>112367</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394616</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83141</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48" t="s">
        <v>395</v>
      </c>
      <c r="B169" s="2249"/>
      <c r="C169" s="1651">
        <f t="shared" ref="C169:K169" si="6">SUM(C132,C141,C145,C146:C150,C155,C156:C167,C168)</f>
        <v>207931</v>
      </c>
      <c r="D169" s="1651">
        <f t="shared" si="6"/>
        <v>0</v>
      </c>
      <c r="E169" s="1651">
        <f t="shared" si="6"/>
        <v>0</v>
      </c>
      <c r="F169" s="1651">
        <f t="shared" si="6"/>
        <v>394616</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2476890</v>
      </c>
      <c r="D170" s="1634">
        <f t="shared" si="7"/>
        <v>0</v>
      </c>
      <c r="E170" s="1634">
        <f t="shared" si="7"/>
        <v>0</v>
      </c>
      <c r="F170" s="1634">
        <f t="shared" si="7"/>
        <v>394616</v>
      </c>
      <c r="G170" s="1634">
        <f t="shared" si="7"/>
        <v>0</v>
      </c>
      <c r="H170" s="1634">
        <f t="shared" si="7"/>
        <v>0</v>
      </c>
      <c r="I170" s="1634">
        <f t="shared" si="7"/>
        <v>0</v>
      </c>
      <c r="J170" s="1634">
        <f t="shared" si="7"/>
        <v>0</v>
      </c>
      <c r="K170" s="1622">
        <f t="shared" si="7"/>
        <v>50000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50" t="s">
        <v>1478</v>
      </c>
      <c r="B172" s="2251"/>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4" t="s">
        <v>1649</v>
      </c>
      <c r="B175" s="2255"/>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8" t="s">
        <v>1648</v>
      </c>
      <c r="B176" s="2259"/>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6" t="s">
        <v>780</v>
      </c>
      <c r="B181" s="2257"/>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2" t="s">
        <v>1783</v>
      </c>
      <c r="B182" s="2253"/>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89450</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16311</v>
      </c>
      <c r="D193" s="1568"/>
      <c r="E193" s="1633"/>
      <c r="F193" s="1568"/>
      <c r="G193" s="1657"/>
      <c r="H193" s="1568"/>
      <c r="I193" s="1568"/>
      <c r="J193" s="1568"/>
      <c r="K193" s="1568"/>
    </row>
    <row r="194" spans="1:11" ht="12.75" customHeight="1" x14ac:dyDescent="0.2">
      <c r="A194" s="427" t="s">
        <v>1437</v>
      </c>
      <c r="B194" s="429">
        <v>4225</v>
      </c>
      <c r="C194" s="1625">
        <v>12707</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118468</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154926</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154926</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9493</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9493</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40407</v>
      </c>
      <c r="D211" s="1566"/>
      <c r="E211" s="1568"/>
      <c r="F211" s="1566"/>
      <c r="G211" s="1566"/>
      <c r="H211" s="1568"/>
      <c r="I211" s="1568"/>
      <c r="J211" s="1568"/>
      <c r="K211" s="1568"/>
    </row>
    <row r="212" spans="1:11" ht="12.75" customHeight="1" x14ac:dyDescent="0.2">
      <c r="A212" s="427" t="s">
        <v>1046</v>
      </c>
      <c r="B212" s="429">
        <v>4605</v>
      </c>
      <c r="C212" s="1625">
        <v>10071</v>
      </c>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50478</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23877</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v>54265</v>
      </c>
      <c r="D264" s="1644"/>
      <c r="E264" s="1568"/>
      <c r="F264" s="1644"/>
      <c r="G264" s="1644"/>
      <c r="H264" s="1568"/>
      <c r="I264" s="1568"/>
      <c r="J264" s="1568"/>
      <c r="K264" s="1568"/>
    </row>
    <row r="265" spans="1:11" s="489" customFormat="1" ht="12.75" customHeight="1" thickTop="1" thickBot="1" x14ac:dyDescent="0.25">
      <c r="A265" s="479" t="s">
        <v>75</v>
      </c>
      <c r="B265" s="475">
        <v>4998</v>
      </c>
      <c r="C265" s="1643">
        <v>6480</v>
      </c>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417987</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417987</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5867602</v>
      </c>
      <c r="D268" s="1634">
        <f t="shared" si="12"/>
        <v>467686</v>
      </c>
      <c r="E268" s="1634">
        <f t="shared" si="12"/>
        <v>911690</v>
      </c>
      <c r="F268" s="1634">
        <f t="shared" si="12"/>
        <v>594632</v>
      </c>
      <c r="G268" s="1634">
        <f t="shared" si="12"/>
        <v>162872</v>
      </c>
      <c r="H268" s="1634">
        <f t="shared" si="12"/>
        <v>25984</v>
      </c>
      <c r="I268" s="1634">
        <f t="shared" si="12"/>
        <v>58387</v>
      </c>
      <c r="J268" s="1634">
        <f t="shared" si="12"/>
        <v>684361</v>
      </c>
      <c r="K268" s="1622">
        <f t="shared" si="12"/>
        <v>108597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topLeftCell="A307" colorId="8" zoomScale="110" zoomScaleNormal="110" workbookViewId="0">
      <selection activeCell="L31" sqref="L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6" t="s">
        <v>294</v>
      </c>
      <c r="B3" s="2267"/>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2388617</v>
      </c>
      <c r="D5" s="1566">
        <v>494171</v>
      </c>
      <c r="E5" s="1566">
        <v>26124</v>
      </c>
      <c r="F5" s="1566">
        <v>70422</v>
      </c>
      <c r="G5" s="1566"/>
      <c r="H5" s="1566"/>
      <c r="I5" s="1567"/>
      <c r="J5" s="1567"/>
      <c r="K5" s="1665">
        <f>SUM(C5:J5)</f>
        <v>2979334</v>
      </c>
      <c r="L5" s="1566">
        <v>3058433</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v>517415</v>
      </c>
      <c r="D8" s="1566">
        <v>112769</v>
      </c>
      <c r="E8" s="1566">
        <v>1887</v>
      </c>
      <c r="F8" s="1566">
        <v>7813</v>
      </c>
      <c r="G8" s="1566"/>
      <c r="H8" s="1566"/>
      <c r="I8" s="1567"/>
      <c r="J8" s="1567"/>
      <c r="K8" s="1665">
        <f t="shared" si="0"/>
        <v>639884</v>
      </c>
      <c r="L8" s="1566">
        <v>671015</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v>97506</v>
      </c>
      <c r="D10" s="1566">
        <v>17828</v>
      </c>
      <c r="E10" s="1566"/>
      <c r="F10" s="1566"/>
      <c r="G10" s="1566"/>
      <c r="H10" s="1566"/>
      <c r="I10" s="1567"/>
      <c r="J10" s="1567"/>
      <c r="K10" s="1665">
        <f t="shared" si="0"/>
        <v>115334</v>
      </c>
      <c r="L10" s="1566">
        <v>101961</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v>500</v>
      </c>
    </row>
    <row r="13" spans="1:14" x14ac:dyDescent="0.2">
      <c r="A13" s="1267" t="s">
        <v>718</v>
      </c>
      <c r="B13" s="503">
        <v>1400</v>
      </c>
      <c r="C13" s="1566">
        <v>65913</v>
      </c>
      <c r="D13" s="1566">
        <v>25749</v>
      </c>
      <c r="E13" s="1566"/>
      <c r="F13" s="1566">
        <v>6803</v>
      </c>
      <c r="G13" s="1566"/>
      <c r="H13" s="1566"/>
      <c r="I13" s="1567"/>
      <c r="J13" s="1567"/>
      <c r="K13" s="1665">
        <f t="shared" si="0"/>
        <v>98465</v>
      </c>
      <c r="L13" s="1566">
        <v>97270</v>
      </c>
    </row>
    <row r="14" spans="1:14" x14ac:dyDescent="0.2">
      <c r="A14" s="1267" t="s">
        <v>957</v>
      </c>
      <c r="B14" s="503">
        <v>1500</v>
      </c>
      <c r="C14" s="1566">
        <v>316123</v>
      </c>
      <c r="D14" s="1566">
        <v>47090</v>
      </c>
      <c r="E14" s="1566">
        <v>25022</v>
      </c>
      <c r="F14" s="1566">
        <v>39817</v>
      </c>
      <c r="G14" s="1566"/>
      <c r="H14" s="1566">
        <v>7403</v>
      </c>
      <c r="I14" s="1567"/>
      <c r="J14" s="1567"/>
      <c r="K14" s="1665">
        <f t="shared" si="0"/>
        <v>435455</v>
      </c>
      <c r="L14" s="1566">
        <v>477525</v>
      </c>
    </row>
    <row r="15" spans="1:14" x14ac:dyDescent="0.2">
      <c r="A15" s="1267" t="s">
        <v>958</v>
      </c>
      <c r="B15" s="503">
        <v>1600</v>
      </c>
      <c r="C15" s="1566"/>
      <c r="D15" s="1566"/>
      <c r="E15" s="1566"/>
      <c r="F15" s="1566"/>
      <c r="G15" s="1566"/>
      <c r="H15" s="1566"/>
      <c r="I15" s="1567"/>
      <c r="J15" s="1567"/>
      <c r="K15" s="1665">
        <f t="shared" si="0"/>
        <v>0</v>
      </c>
      <c r="L15" s="1566">
        <v>24500</v>
      </c>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3385574</v>
      </c>
      <c r="D33" s="1667">
        <f t="shared" ref="D33:L33" si="1">SUM(D5:D32)</f>
        <v>697607</v>
      </c>
      <c r="E33" s="1667">
        <f t="shared" si="1"/>
        <v>53033</v>
      </c>
      <c r="F33" s="1667">
        <f t="shared" si="1"/>
        <v>124855</v>
      </c>
      <c r="G33" s="1667">
        <f t="shared" si="1"/>
        <v>0</v>
      </c>
      <c r="H33" s="1667">
        <f t="shared" si="1"/>
        <v>7403</v>
      </c>
      <c r="I33" s="1667">
        <f t="shared" si="1"/>
        <v>0</v>
      </c>
      <c r="J33" s="1667">
        <f t="shared" si="1"/>
        <v>0</v>
      </c>
      <c r="K33" s="1667">
        <f t="shared" si="1"/>
        <v>4268472</v>
      </c>
      <c r="L33" s="1667">
        <f t="shared" si="1"/>
        <v>4431204</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9436</v>
      </c>
      <c r="D36" s="1579">
        <v>137</v>
      </c>
      <c r="E36" s="1579"/>
      <c r="F36" s="1579">
        <v>57</v>
      </c>
      <c r="G36" s="1579"/>
      <c r="H36" s="1579"/>
      <c r="I36" s="1567"/>
      <c r="J36" s="1567"/>
      <c r="K36" s="1665">
        <f t="shared" ref="K36:K41" si="2">SUM(C36:J36)</f>
        <v>9630</v>
      </c>
      <c r="L36" s="1566">
        <v>10000</v>
      </c>
    </row>
    <row r="37" spans="1:14" x14ac:dyDescent="0.2">
      <c r="A37" s="1267" t="s">
        <v>1083</v>
      </c>
      <c r="B37" s="503">
        <v>2120</v>
      </c>
      <c r="C37" s="1566">
        <v>85802</v>
      </c>
      <c r="D37" s="1566">
        <v>8790</v>
      </c>
      <c r="E37" s="1566">
        <v>1285</v>
      </c>
      <c r="F37" s="1566">
        <v>1057</v>
      </c>
      <c r="G37" s="1566"/>
      <c r="H37" s="1566"/>
      <c r="I37" s="1567"/>
      <c r="J37" s="1567"/>
      <c r="K37" s="1665">
        <f t="shared" si="2"/>
        <v>96934</v>
      </c>
      <c r="L37" s="1566">
        <v>106336</v>
      </c>
    </row>
    <row r="38" spans="1:14" x14ac:dyDescent="0.2">
      <c r="A38" s="1267" t="s">
        <v>196</v>
      </c>
      <c r="B38" s="503">
        <v>2130</v>
      </c>
      <c r="C38" s="1566">
        <v>11882</v>
      </c>
      <c r="D38" s="1566">
        <v>30</v>
      </c>
      <c r="E38" s="1566">
        <v>493</v>
      </c>
      <c r="F38" s="1566">
        <v>1780</v>
      </c>
      <c r="G38" s="1566"/>
      <c r="H38" s="1566"/>
      <c r="I38" s="1567"/>
      <c r="J38" s="1567"/>
      <c r="K38" s="1665">
        <f t="shared" si="2"/>
        <v>14185</v>
      </c>
      <c r="L38" s="1566">
        <v>15353</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1653</v>
      </c>
      <c r="B41" s="503">
        <v>2190</v>
      </c>
      <c r="C41" s="1566">
        <v>1500</v>
      </c>
      <c r="D41" s="1566"/>
      <c r="E41" s="1566"/>
      <c r="F41" s="1566"/>
      <c r="G41" s="1566"/>
      <c r="H41" s="1566"/>
      <c r="I41" s="1567"/>
      <c r="J41" s="1567"/>
      <c r="K41" s="1665">
        <f t="shared" si="2"/>
        <v>1500</v>
      </c>
      <c r="L41" s="1566">
        <v>4756</v>
      </c>
    </row>
    <row r="42" spans="1:14" ht="12.75" customHeight="1" thickBot="1" x14ac:dyDescent="0.25">
      <c r="A42" s="1373" t="s">
        <v>556</v>
      </c>
      <c r="B42" s="1374" t="s">
        <v>711</v>
      </c>
      <c r="C42" s="1667">
        <f>SUM(C36:C41)</f>
        <v>108620</v>
      </c>
      <c r="D42" s="1667">
        <f t="shared" ref="D42:L42" si="3">SUM(D36:D41)</f>
        <v>8957</v>
      </c>
      <c r="E42" s="1667">
        <f t="shared" si="3"/>
        <v>1778</v>
      </c>
      <c r="F42" s="1667">
        <f t="shared" si="3"/>
        <v>2894</v>
      </c>
      <c r="G42" s="1667">
        <f t="shared" si="3"/>
        <v>0</v>
      </c>
      <c r="H42" s="1667">
        <f t="shared" si="3"/>
        <v>0</v>
      </c>
      <c r="I42" s="1667">
        <f t="shared" si="3"/>
        <v>0</v>
      </c>
      <c r="J42" s="1667">
        <f t="shared" si="3"/>
        <v>0</v>
      </c>
      <c r="K42" s="1667">
        <f t="shared" si="3"/>
        <v>122249</v>
      </c>
      <c r="L42" s="1667">
        <f t="shared" si="3"/>
        <v>136445</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23695</v>
      </c>
      <c r="D44" s="1579">
        <v>4478</v>
      </c>
      <c r="E44" s="1579">
        <v>1887</v>
      </c>
      <c r="F44" s="1579"/>
      <c r="G44" s="1579"/>
      <c r="H44" s="1579"/>
      <c r="I44" s="1567"/>
      <c r="J44" s="1567"/>
      <c r="K44" s="1671">
        <f>SUM(C44:J44)</f>
        <v>30060</v>
      </c>
      <c r="L44" s="1579">
        <v>42654</v>
      </c>
    </row>
    <row r="45" spans="1:14" x14ac:dyDescent="0.2">
      <c r="A45" s="1267" t="s">
        <v>810</v>
      </c>
      <c r="B45" s="503">
        <v>2220</v>
      </c>
      <c r="C45" s="1566"/>
      <c r="D45" s="1566"/>
      <c r="E45" s="1566">
        <v>106553</v>
      </c>
      <c r="F45" s="1566">
        <v>99638</v>
      </c>
      <c r="G45" s="1566">
        <v>40248</v>
      </c>
      <c r="H45" s="1566"/>
      <c r="I45" s="1567"/>
      <c r="J45" s="1567"/>
      <c r="K45" s="1671">
        <f>SUM(C45:J45)</f>
        <v>246439</v>
      </c>
      <c r="L45" s="1566">
        <v>238143</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23695</v>
      </c>
      <c r="D47" s="1667">
        <f t="shared" ref="D47:K47" si="4">SUM(D44:D46)</f>
        <v>4478</v>
      </c>
      <c r="E47" s="1667">
        <f t="shared" si="4"/>
        <v>108440</v>
      </c>
      <c r="F47" s="1667">
        <f t="shared" si="4"/>
        <v>99638</v>
      </c>
      <c r="G47" s="1667">
        <f t="shared" si="4"/>
        <v>40248</v>
      </c>
      <c r="H47" s="1667">
        <f t="shared" si="4"/>
        <v>0</v>
      </c>
      <c r="I47" s="1667">
        <f t="shared" si="4"/>
        <v>0</v>
      </c>
      <c r="J47" s="1667">
        <f t="shared" si="4"/>
        <v>0</v>
      </c>
      <c r="K47" s="1667">
        <f t="shared" si="4"/>
        <v>276499</v>
      </c>
      <c r="L47" s="1667">
        <f>SUM(L44:L46)</f>
        <v>280797</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2300</v>
      </c>
      <c r="D49" s="1579">
        <v>27136</v>
      </c>
      <c r="E49" s="1579">
        <v>2623</v>
      </c>
      <c r="F49" s="1579"/>
      <c r="G49" s="1579"/>
      <c r="H49" s="1579">
        <v>5994</v>
      </c>
      <c r="I49" s="1567"/>
      <c r="J49" s="1567"/>
      <c r="K49" s="1671">
        <f>SUM(C49:J49)</f>
        <v>38053</v>
      </c>
      <c r="L49" s="1579">
        <v>50400</v>
      </c>
    </row>
    <row r="50" spans="1:14" x14ac:dyDescent="0.2">
      <c r="A50" s="1267" t="s">
        <v>813</v>
      </c>
      <c r="B50" s="503">
        <v>2320</v>
      </c>
      <c r="C50" s="1566">
        <v>70044</v>
      </c>
      <c r="D50" s="1566">
        <v>14581</v>
      </c>
      <c r="E50" s="1566">
        <v>1304</v>
      </c>
      <c r="F50" s="1566">
        <v>10</v>
      </c>
      <c r="G50" s="1566"/>
      <c r="H50" s="1566">
        <v>1677</v>
      </c>
      <c r="I50" s="1567"/>
      <c r="J50" s="1567"/>
      <c r="K50" s="1671">
        <f>SUM(C50:J50)</f>
        <v>87616</v>
      </c>
      <c r="L50" s="1566">
        <v>105464</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72344</v>
      </c>
      <c r="D53" s="1667">
        <f t="shared" ref="D53:L53" si="5">SUM(D49:D52)</f>
        <v>41717</v>
      </c>
      <c r="E53" s="1667">
        <f t="shared" si="5"/>
        <v>3927</v>
      </c>
      <c r="F53" s="1667">
        <f t="shared" si="5"/>
        <v>10</v>
      </c>
      <c r="G53" s="1667">
        <f t="shared" si="5"/>
        <v>0</v>
      </c>
      <c r="H53" s="1667">
        <f t="shared" si="5"/>
        <v>7671</v>
      </c>
      <c r="I53" s="1667">
        <f t="shared" si="5"/>
        <v>0</v>
      </c>
      <c r="J53" s="1667">
        <f t="shared" si="5"/>
        <v>0</v>
      </c>
      <c r="K53" s="1667">
        <f t="shared" si="5"/>
        <v>125669</v>
      </c>
      <c r="L53" s="1667">
        <f t="shared" si="5"/>
        <v>155864</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215473</v>
      </c>
      <c r="D55" s="1579">
        <v>48107</v>
      </c>
      <c r="E55" s="1579">
        <v>1745</v>
      </c>
      <c r="F55" s="1579">
        <v>1870</v>
      </c>
      <c r="G55" s="1579">
        <v>1020</v>
      </c>
      <c r="H55" s="1579">
        <v>1317</v>
      </c>
      <c r="I55" s="1567"/>
      <c r="J55" s="1567"/>
      <c r="K55" s="1671">
        <f>SUM(C55:J55)</f>
        <v>269532</v>
      </c>
      <c r="L55" s="1579">
        <v>274358</v>
      </c>
    </row>
    <row r="56" spans="1:14" ht="12.75" customHeight="1" x14ac:dyDescent="0.2">
      <c r="A56" s="1271" t="s">
        <v>373</v>
      </c>
      <c r="B56" s="512">
        <v>2490</v>
      </c>
      <c r="C56" s="1566">
        <v>24596</v>
      </c>
      <c r="D56" s="1566">
        <v>3778</v>
      </c>
      <c r="E56" s="1566">
        <v>220</v>
      </c>
      <c r="F56" s="1566"/>
      <c r="G56" s="1566"/>
      <c r="H56" s="1566"/>
      <c r="I56" s="1567"/>
      <c r="J56" s="1567"/>
      <c r="K56" s="1671">
        <f>SUM(C56:J56)</f>
        <v>28594</v>
      </c>
      <c r="L56" s="1566">
        <v>38323</v>
      </c>
    </row>
    <row r="57" spans="1:14" s="321" customFormat="1" ht="12.75" customHeight="1" thickBot="1" x14ac:dyDescent="0.25">
      <c r="A57" s="1373" t="s">
        <v>261</v>
      </c>
      <c r="B57" s="1375" t="s">
        <v>34</v>
      </c>
      <c r="C57" s="1672">
        <f>SUM(C55:C56)</f>
        <v>240069</v>
      </c>
      <c r="D57" s="1672">
        <f t="shared" ref="D57:K57" si="6">SUM(D55:D56)</f>
        <v>51885</v>
      </c>
      <c r="E57" s="1672">
        <f t="shared" si="6"/>
        <v>1965</v>
      </c>
      <c r="F57" s="1672">
        <f t="shared" si="6"/>
        <v>1870</v>
      </c>
      <c r="G57" s="1672">
        <f t="shared" si="6"/>
        <v>1020</v>
      </c>
      <c r="H57" s="1672">
        <f t="shared" si="6"/>
        <v>1317</v>
      </c>
      <c r="I57" s="1672">
        <f t="shared" si="6"/>
        <v>0</v>
      </c>
      <c r="J57" s="1672">
        <f t="shared" si="6"/>
        <v>0</v>
      </c>
      <c r="K57" s="1672">
        <f t="shared" si="6"/>
        <v>298126</v>
      </c>
      <c r="L57" s="1667">
        <f>SUM(L55:L56)</f>
        <v>312681</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57457</v>
      </c>
      <c r="D60" s="1566">
        <v>11059</v>
      </c>
      <c r="E60" s="1566">
        <v>10724</v>
      </c>
      <c r="F60" s="1566">
        <v>8158</v>
      </c>
      <c r="G60" s="1566">
        <v>2892</v>
      </c>
      <c r="H60" s="1566"/>
      <c r="I60" s="1567"/>
      <c r="J60" s="1567"/>
      <c r="K60" s="1671">
        <f t="shared" si="7"/>
        <v>90290</v>
      </c>
      <c r="L60" s="1566">
        <v>85403</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v>65254</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136713</v>
      </c>
      <c r="D63" s="1566">
        <v>20776</v>
      </c>
      <c r="E63" s="1566">
        <v>31437</v>
      </c>
      <c r="F63" s="1566">
        <v>196644</v>
      </c>
      <c r="G63" s="1566">
        <v>822</v>
      </c>
      <c r="H63" s="1566"/>
      <c r="I63" s="1567"/>
      <c r="J63" s="1567"/>
      <c r="K63" s="1671">
        <f t="shared" si="7"/>
        <v>386392</v>
      </c>
      <c r="L63" s="1566">
        <v>334574</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194170</v>
      </c>
      <c r="D65" s="1667">
        <f t="shared" ref="D65:L65" si="8">SUM(D59:D64)</f>
        <v>31835</v>
      </c>
      <c r="E65" s="1667">
        <f t="shared" si="8"/>
        <v>42161</v>
      </c>
      <c r="F65" s="1667">
        <f t="shared" si="8"/>
        <v>204802</v>
      </c>
      <c r="G65" s="1667">
        <f t="shared" si="8"/>
        <v>3714</v>
      </c>
      <c r="H65" s="1667">
        <f t="shared" si="8"/>
        <v>0</v>
      </c>
      <c r="I65" s="1667">
        <f t="shared" si="8"/>
        <v>0</v>
      </c>
      <c r="J65" s="1667">
        <f t="shared" si="8"/>
        <v>0</v>
      </c>
      <c r="K65" s="1667">
        <f t="shared" si="8"/>
        <v>476682</v>
      </c>
      <c r="L65" s="1667">
        <f t="shared" si="8"/>
        <v>485231</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v>60407</v>
      </c>
      <c r="F69" s="1566"/>
      <c r="G69" s="1566"/>
      <c r="H69" s="1566"/>
      <c r="I69" s="1567"/>
      <c r="J69" s="1567"/>
      <c r="K69" s="1671">
        <f>SUM(C69:J69)</f>
        <v>60407</v>
      </c>
      <c r="L69" s="1566">
        <v>67250</v>
      </c>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60407</v>
      </c>
      <c r="F72" s="1667">
        <f t="shared" si="9"/>
        <v>0</v>
      </c>
      <c r="G72" s="1667">
        <f t="shared" si="9"/>
        <v>0</v>
      </c>
      <c r="H72" s="1667">
        <f t="shared" si="9"/>
        <v>0</v>
      </c>
      <c r="I72" s="1667">
        <f t="shared" si="9"/>
        <v>0</v>
      </c>
      <c r="J72" s="1667">
        <f t="shared" si="9"/>
        <v>0</v>
      </c>
      <c r="K72" s="1667">
        <f t="shared" si="9"/>
        <v>60407</v>
      </c>
      <c r="L72" s="1667">
        <f>SUM(L67:L71)</f>
        <v>67250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638898</v>
      </c>
      <c r="D74" s="1674">
        <f t="shared" ref="D74:K74" si="10">SUM(D42,D47,D53,D57,D65,D72,D73)</f>
        <v>138872</v>
      </c>
      <c r="E74" s="1674">
        <f t="shared" si="10"/>
        <v>218678</v>
      </c>
      <c r="F74" s="1674">
        <f t="shared" si="10"/>
        <v>309214</v>
      </c>
      <c r="G74" s="1674">
        <f t="shared" si="10"/>
        <v>44982</v>
      </c>
      <c r="H74" s="1674">
        <f t="shared" si="10"/>
        <v>8988</v>
      </c>
      <c r="I74" s="1674">
        <f t="shared" si="10"/>
        <v>0</v>
      </c>
      <c r="J74" s="1674">
        <f t="shared" si="10"/>
        <v>0</v>
      </c>
      <c r="K74" s="1674">
        <f t="shared" si="10"/>
        <v>1359632</v>
      </c>
      <c r="L74" s="1674">
        <f>SUM(L42,L47,L53,L57,L65,L72,L73)</f>
        <v>1438268</v>
      </c>
    </row>
    <row r="75" spans="1:14" s="254" customFormat="1" ht="15.75" customHeight="1" thickTop="1" thickBot="1" x14ac:dyDescent="0.25">
      <c r="A75" s="1341" t="s">
        <v>47</v>
      </c>
      <c r="B75" s="1342" t="s">
        <v>571</v>
      </c>
      <c r="C75" s="1642">
        <v>16392</v>
      </c>
      <c r="D75" s="1642"/>
      <c r="E75" s="1642"/>
      <c r="F75" s="1642"/>
      <c r="G75" s="1642"/>
      <c r="H75" s="1642"/>
      <c r="I75" s="1620"/>
      <c r="J75" s="1620"/>
      <c r="K75" s="1667">
        <f>SUM(C75:J75)</f>
        <v>16392</v>
      </c>
      <c r="L75" s="1644">
        <v>16931</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v>40000</v>
      </c>
    </row>
    <row r="79" spans="1:14" x14ac:dyDescent="0.2">
      <c r="A79" s="1267" t="s">
        <v>301</v>
      </c>
      <c r="B79" s="503">
        <v>4120</v>
      </c>
      <c r="C79" s="1666"/>
      <c r="D79" s="1666"/>
      <c r="E79" s="1566"/>
      <c r="F79" s="1666"/>
      <c r="G79" s="1666"/>
      <c r="H79" s="1566">
        <v>388380</v>
      </c>
      <c r="I79" s="1575"/>
      <c r="J79" s="1575"/>
      <c r="K79" s="1665">
        <f t="shared" si="11"/>
        <v>388380</v>
      </c>
      <c r="L79" s="1566">
        <v>389277</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v>30982</v>
      </c>
      <c r="I81" s="1575"/>
      <c r="J81" s="1575"/>
      <c r="K81" s="1665">
        <f t="shared" si="11"/>
        <v>30982</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0</v>
      </c>
      <c r="F84" s="1666"/>
      <c r="G84" s="1666"/>
      <c r="H84" s="1667">
        <f>SUM(H78:H83)</f>
        <v>419362</v>
      </c>
      <c r="I84" s="1575"/>
      <c r="J84" s="1575"/>
      <c r="K84" s="1667">
        <f>SUM(K78:K83)</f>
        <v>419362</v>
      </c>
      <c r="L84" s="1667">
        <f>SUM(L78:L83)</f>
        <v>429277</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419362</v>
      </c>
      <c r="I102" s="1575"/>
      <c r="J102" s="1575"/>
      <c r="K102" s="1674">
        <f>SUM(K84,K92,K100,K101)</f>
        <v>419362</v>
      </c>
      <c r="L102" s="1674">
        <f>SUM(L84,L92,L100,L101)</f>
        <v>429277</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2000</v>
      </c>
      <c r="M113" s="502"/>
      <c r="N113" s="502"/>
    </row>
    <row r="114" spans="1:14" ht="12.75" customHeight="1" thickTop="1" thickBot="1" x14ac:dyDescent="0.25">
      <c r="A114" s="1373" t="s">
        <v>48</v>
      </c>
      <c r="B114" s="1381"/>
      <c r="C114" s="1667">
        <f>SUM(C33,C74,C75,C102,C112,C113)</f>
        <v>4040864</v>
      </c>
      <c r="D114" s="1667">
        <f t="shared" ref="D114:K114" si="13">SUM(D33,D74,D75,D102,D112,D113)</f>
        <v>836479</v>
      </c>
      <c r="E114" s="1667">
        <f t="shared" si="13"/>
        <v>271711</v>
      </c>
      <c r="F114" s="1667">
        <f t="shared" si="13"/>
        <v>434069</v>
      </c>
      <c r="G114" s="1667">
        <f t="shared" si="13"/>
        <v>44982</v>
      </c>
      <c r="H114" s="1667">
        <f>SUM(H33,H74,H75,H102,H112,H113)</f>
        <v>435753</v>
      </c>
      <c r="I114" s="1667">
        <f t="shared" si="13"/>
        <v>0</v>
      </c>
      <c r="J114" s="1667">
        <f t="shared" si="13"/>
        <v>0</v>
      </c>
      <c r="K114" s="1667">
        <f t="shared" si="13"/>
        <v>6063858</v>
      </c>
      <c r="L114" s="1667">
        <f>SUM(L33,L74,L75,L102,L112,L113)</f>
        <v>6317680</v>
      </c>
    </row>
    <row r="115" spans="1:14" ht="13.5" thickTop="1" x14ac:dyDescent="0.2">
      <c r="A115" s="2285" t="s">
        <v>989</v>
      </c>
      <c r="B115" s="2286"/>
      <c r="C115" s="1668"/>
      <c r="D115" s="1668"/>
      <c r="E115" s="1668"/>
      <c r="F115" s="1668"/>
      <c r="G115" s="1668"/>
      <c r="H115" s="1668"/>
      <c r="I115" s="1668"/>
      <c r="J115" s="1668"/>
      <c r="K115" s="1682">
        <f>'Revenues 9-14'!C268-'Expenditures 15-22'!K114</f>
        <v>-196256</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3" t="s">
        <v>293</v>
      </c>
      <c r="B117" s="2264"/>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v>7532</v>
      </c>
      <c r="D120" s="1566">
        <v>2284</v>
      </c>
      <c r="E120" s="1566"/>
      <c r="F120" s="1566"/>
      <c r="G120" s="1566"/>
      <c r="H120" s="1566"/>
      <c r="I120" s="1567"/>
      <c r="J120" s="1567"/>
      <c r="K120" s="1665">
        <f>SUM(C120:J120)</f>
        <v>9816</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v>21471</v>
      </c>
      <c r="D122" s="1566">
        <v>3950</v>
      </c>
      <c r="E122" s="1566"/>
      <c r="F122" s="1566"/>
      <c r="G122" s="1566"/>
      <c r="H122" s="1566"/>
      <c r="I122" s="1567"/>
      <c r="J122" s="1567"/>
      <c r="K122" s="1667">
        <f>SUM(C122:J122)</f>
        <v>25421</v>
      </c>
      <c r="L122" s="1566">
        <v>23174</v>
      </c>
    </row>
    <row r="123" spans="1:14" ht="14.25" thickTop="1" thickBot="1" x14ac:dyDescent="0.25">
      <c r="A123" s="1267" t="s">
        <v>4</v>
      </c>
      <c r="B123" s="503">
        <v>2530</v>
      </c>
      <c r="C123" s="1566"/>
      <c r="D123" s="1566"/>
      <c r="E123" s="1566"/>
      <c r="F123" s="1566"/>
      <c r="G123" s="1566">
        <v>110536</v>
      </c>
      <c r="H123" s="1566"/>
      <c r="I123" s="1567"/>
      <c r="J123" s="1567"/>
      <c r="K123" s="1667">
        <f>SUM(C123:J123)</f>
        <v>110536</v>
      </c>
      <c r="L123" s="1566">
        <v>85537</v>
      </c>
    </row>
    <row r="124" spans="1:14" ht="14.25" thickTop="1" thickBot="1" x14ac:dyDescent="0.25">
      <c r="A124" s="1267" t="s">
        <v>195</v>
      </c>
      <c r="B124" s="503">
        <v>2540</v>
      </c>
      <c r="C124" s="1566">
        <v>137967</v>
      </c>
      <c r="D124" s="1566">
        <v>29167</v>
      </c>
      <c r="E124" s="1566">
        <v>148024</v>
      </c>
      <c r="F124" s="1566">
        <v>133076</v>
      </c>
      <c r="G124" s="1566">
        <v>125076</v>
      </c>
      <c r="H124" s="1566"/>
      <c r="I124" s="1567"/>
      <c r="J124" s="1567"/>
      <c r="K124" s="1667">
        <f>SUM(C124:J124)</f>
        <v>573310</v>
      </c>
      <c r="L124" s="1566">
        <v>690836</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159438</v>
      </c>
      <c r="D127" s="1667">
        <f t="shared" ref="D127:L127" si="14">SUM(D122:D126)</f>
        <v>33117</v>
      </c>
      <c r="E127" s="1667">
        <f t="shared" si="14"/>
        <v>148024</v>
      </c>
      <c r="F127" s="1667">
        <f t="shared" si="14"/>
        <v>133076</v>
      </c>
      <c r="G127" s="1667">
        <f t="shared" si="14"/>
        <v>235612</v>
      </c>
      <c r="H127" s="1667">
        <f t="shared" si="14"/>
        <v>0</v>
      </c>
      <c r="I127" s="1667">
        <f t="shared" si="14"/>
        <v>0</v>
      </c>
      <c r="J127" s="1667">
        <f t="shared" si="14"/>
        <v>0</v>
      </c>
      <c r="K127" s="1667">
        <f t="shared" si="14"/>
        <v>709267</v>
      </c>
      <c r="L127" s="1667">
        <f t="shared" si="14"/>
        <v>799547</v>
      </c>
    </row>
    <row r="128" spans="1:14" ht="12.75" customHeight="1" thickTop="1" x14ac:dyDescent="0.2">
      <c r="A128" s="1274" t="s">
        <v>973</v>
      </c>
      <c r="B128" s="531" t="s">
        <v>570</v>
      </c>
      <c r="C128" s="1688"/>
      <c r="D128" s="1688"/>
      <c r="E128" s="1688"/>
      <c r="F128" s="1688">
        <v>89</v>
      </c>
      <c r="G128" s="1688"/>
      <c r="H128" s="1688"/>
      <c r="I128" s="1623"/>
      <c r="J128" s="1623"/>
      <c r="K128" s="1689">
        <f>SUM(C128:J128)</f>
        <v>89</v>
      </c>
      <c r="L128" s="1688"/>
    </row>
    <row r="129" spans="1:14" ht="12.75" customHeight="1" thickBot="1" x14ac:dyDescent="0.25">
      <c r="A129" s="1382" t="s">
        <v>806</v>
      </c>
      <c r="B129" s="1383" t="s">
        <v>565</v>
      </c>
      <c r="C129" s="1674">
        <f>SUM(C120,C127,C128)</f>
        <v>166970</v>
      </c>
      <c r="D129" s="1674">
        <f t="shared" ref="D129:L129" si="15">SUM(D120,D127,D128)</f>
        <v>35401</v>
      </c>
      <c r="E129" s="1674">
        <f t="shared" si="15"/>
        <v>148024</v>
      </c>
      <c r="F129" s="1674">
        <f t="shared" si="15"/>
        <v>133165</v>
      </c>
      <c r="G129" s="1674">
        <f t="shared" si="15"/>
        <v>235612</v>
      </c>
      <c r="H129" s="1674">
        <f t="shared" si="15"/>
        <v>0</v>
      </c>
      <c r="I129" s="1674">
        <f t="shared" si="15"/>
        <v>0</v>
      </c>
      <c r="J129" s="1674">
        <f t="shared" si="15"/>
        <v>0</v>
      </c>
      <c r="K129" s="1674">
        <f t="shared" si="15"/>
        <v>719172</v>
      </c>
      <c r="L129" s="1674">
        <f t="shared" si="15"/>
        <v>799547</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v>3512</v>
      </c>
      <c r="I134" s="1575"/>
      <c r="J134" s="1666"/>
      <c r="K134" s="1671">
        <f>SUM(E134,H134)</f>
        <v>3512</v>
      </c>
      <c r="L134" s="1579">
        <v>3512</v>
      </c>
    </row>
    <row r="135" spans="1:14" x14ac:dyDescent="0.2">
      <c r="A135" s="1267" t="s">
        <v>692</v>
      </c>
      <c r="B135" s="503">
        <v>4140</v>
      </c>
      <c r="C135" s="1666"/>
      <c r="D135" s="1666"/>
      <c r="E135" s="1567"/>
      <c r="F135" s="1666"/>
      <c r="G135" s="1666"/>
      <c r="H135" s="1566">
        <v>8000</v>
      </c>
      <c r="I135" s="1575"/>
      <c r="J135" s="1666"/>
      <c r="K135" s="1671">
        <f>SUM(E135,H135)</f>
        <v>8000</v>
      </c>
      <c r="L135" s="1566">
        <v>8000</v>
      </c>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11512</v>
      </c>
      <c r="I137" s="1575"/>
      <c r="J137" s="1666"/>
      <c r="K137" s="1667">
        <f>SUM(K133:K136)</f>
        <v>11512</v>
      </c>
      <c r="L137" s="1667">
        <f>SUM(L133:L136)</f>
        <v>11512</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11512</v>
      </c>
      <c r="I139" s="1575"/>
      <c r="J139" s="1666"/>
      <c r="K139" s="1671">
        <f>SUM(K137,K138)</f>
        <v>11512</v>
      </c>
      <c r="L139" s="1680">
        <f>SUM(L137,L138)</f>
        <v>11512</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5" t="s">
        <v>616</v>
      </c>
      <c r="B151" s="2257"/>
      <c r="C151" s="1667">
        <f>SUM(C129,C130,C139,C149,C150)</f>
        <v>166970</v>
      </c>
      <c r="D151" s="1667">
        <f t="shared" ref="D151:K151" si="16">SUM(D129,D130,D139,D149,D150)</f>
        <v>35401</v>
      </c>
      <c r="E151" s="1667">
        <f t="shared" si="16"/>
        <v>148024</v>
      </c>
      <c r="F151" s="1667">
        <f t="shared" si="16"/>
        <v>133165</v>
      </c>
      <c r="G151" s="1667">
        <f t="shared" si="16"/>
        <v>235612</v>
      </c>
      <c r="H151" s="1667">
        <f t="shared" si="16"/>
        <v>11512</v>
      </c>
      <c r="I151" s="1667">
        <f t="shared" si="16"/>
        <v>0</v>
      </c>
      <c r="J151" s="1667">
        <f t="shared" si="16"/>
        <v>0</v>
      </c>
      <c r="K151" s="1667">
        <f t="shared" si="16"/>
        <v>730684</v>
      </c>
      <c r="L151" s="1667">
        <f>SUM(L129,L130,L139,L149,L150)</f>
        <v>811059</v>
      </c>
    </row>
    <row r="152" spans="1:14" ht="12.75" customHeight="1" thickTop="1" x14ac:dyDescent="0.2">
      <c r="A152" s="2278" t="s">
        <v>1170</v>
      </c>
      <c r="B152" s="2279"/>
      <c r="C152" s="1668"/>
      <c r="D152" s="1668"/>
      <c r="E152" s="1668"/>
      <c r="F152" s="1668"/>
      <c r="G152" s="1668"/>
      <c r="H152" s="1668"/>
      <c r="I152" s="1668"/>
      <c r="J152" s="1666"/>
      <c r="K152" s="1682">
        <f>'Revenues 9-14'!D268-'Expenditures 15-22'!K151</f>
        <v>-262998</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3" t="s">
        <v>617</v>
      </c>
      <c r="B154" s="2265"/>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891498</v>
      </c>
      <c r="I169" s="1666"/>
      <c r="J169" s="1666"/>
      <c r="K169" s="1665">
        <f>SUM(C169:H169)</f>
        <v>891498</v>
      </c>
      <c r="L169" s="1688">
        <v>1091050</v>
      </c>
    </row>
    <row r="170" spans="1:14" ht="33.75" customHeight="1" x14ac:dyDescent="0.2">
      <c r="A170" s="543" t="s">
        <v>1654</v>
      </c>
      <c r="B170" s="545" t="s">
        <v>31</v>
      </c>
      <c r="C170" s="1666"/>
      <c r="D170" s="1666"/>
      <c r="E170" s="1666"/>
      <c r="F170" s="1666"/>
      <c r="G170" s="1666"/>
      <c r="H170" s="1639">
        <v>199552</v>
      </c>
      <c r="I170" s="1666"/>
      <c r="J170" s="1666"/>
      <c r="K170" s="1665">
        <f>SUM(C170:J170)</f>
        <v>199552</v>
      </c>
      <c r="L170" s="1639"/>
    </row>
    <row r="171" spans="1:14" ht="15.75" customHeight="1" x14ac:dyDescent="0.2">
      <c r="A171" s="507" t="s">
        <v>761</v>
      </c>
      <c r="B171" s="546" t="s">
        <v>84</v>
      </c>
      <c r="C171" s="1666"/>
      <c r="D171" s="1666"/>
      <c r="E171" s="1566"/>
      <c r="F171" s="1666"/>
      <c r="G171" s="1666"/>
      <c r="H171" s="1639">
        <v>474</v>
      </c>
      <c r="I171" s="1575"/>
      <c r="J171" s="1666"/>
      <c r="K171" s="1665">
        <f>SUM(C171:J171)</f>
        <v>474</v>
      </c>
      <c r="L171" s="1639">
        <v>300</v>
      </c>
    </row>
    <row r="172" spans="1:14" ht="12.75" customHeight="1" thickBot="1" x14ac:dyDescent="0.25">
      <c r="A172" s="1373" t="s">
        <v>633</v>
      </c>
      <c r="B172" s="1374" t="s">
        <v>489</v>
      </c>
      <c r="C172" s="1666"/>
      <c r="D172" s="1666"/>
      <c r="E172" s="1674">
        <f>SUM(E168,E169,E170,E171)</f>
        <v>0</v>
      </c>
      <c r="F172" s="1666"/>
      <c r="G172" s="1666"/>
      <c r="H172" s="1674">
        <f>SUM(H168,H169,H170,H171)</f>
        <v>1091524</v>
      </c>
      <c r="I172" s="1677"/>
      <c r="J172" s="1666"/>
      <c r="K172" s="1674">
        <f>SUM(K168,K169,K170,K171)</f>
        <v>1091524</v>
      </c>
      <c r="L172" s="1674">
        <f>SUM(L168,L169,L170,L171)</f>
        <v>1091350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1091524</v>
      </c>
      <c r="I174" s="1677"/>
      <c r="J174" s="1666"/>
      <c r="K174" s="1674">
        <f>SUM(K160,K172,K173)</f>
        <v>1091524</v>
      </c>
      <c r="L174" s="1674">
        <f>SUM(L160,L172,L173)</f>
        <v>1091350</v>
      </c>
    </row>
    <row r="175" spans="1:14" ht="13.5" thickTop="1" x14ac:dyDescent="0.2">
      <c r="A175" s="2285" t="s">
        <v>989</v>
      </c>
      <c r="B175" s="2286"/>
      <c r="C175" s="1666"/>
      <c r="D175" s="1666"/>
      <c r="E175" s="1666"/>
      <c r="F175" s="1666"/>
      <c r="G175" s="1666"/>
      <c r="H175" s="1668"/>
      <c r="I175" s="1666"/>
      <c r="J175" s="1666"/>
      <c r="K175" s="1682">
        <f>'Revenues 9-14'!E268-'Expenditures 15-22'!K174</f>
        <v>-179834</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251833</v>
      </c>
      <c r="D182" s="1566">
        <v>43626</v>
      </c>
      <c r="E182" s="1566">
        <v>41071</v>
      </c>
      <c r="F182" s="1566">
        <v>73270</v>
      </c>
      <c r="G182" s="1566">
        <v>73858</v>
      </c>
      <c r="H182" s="1566">
        <v>141966</v>
      </c>
      <c r="I182" s="1567"/>
      <c r="J182" s="1567"/>
      <c r="K182" s="1665">
        <f>SUM(C182:J182)</f>
        <v>625624</v>
      </c>
      <c r="L182" s="1566">
        <v>670509</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251833</v>
      </c>
      <c r="D184" s="1674">
        <f t="shared" ref="D184:J184" si="17">SUM(D180,D182,D183)</f>
        <v>43626</v>
      </c>
      <c r="E184" s="1674">
        <f t="shared" si="17"/>
        <v>41071</v>
      </c>
      <c r="F184" s="1674">
        <f t="shared" si="17"/>
        <v>73270</v>
      </c>
      <c r="G184" s="1674">
        <f t="shared" si="17"/>
        <v>73858</v>
      </c>
      <c r="H184" s="1674">
        <f t="shared" si="17"/>
        <v>141966</v>
      </c>
      <c r="I184" s="1674">
        <f t="shared" si="17"/>
        <v>0</v>
      </c>
      <c r="J184" s="1674">
        <f t="shared" si="17"/>
        <v>0</v>
      </c>
      <c r="K184" s="1674">
        <f>SUM(K180,K182,K183)</f>
        <v>625624</v>
      </c>
      <c r="L184" s="1674">
        <f>SUM(L180, L182:L183)</f>
        <v>670509</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251833</v>
      </c>
      <c r="D210" s="1667">
        <f>SUM(D184,D185)</f>
        <v>43626</v>
      </c>
      <c r="E210" s="1667">
        <f>SUM(E184,E185,E196)</f>
        <v>41071</v>
      </c>
      <c r="F210" s="1667">
        <f>SUM(F184,F185)</f>
        <v>73270</v>
      </c>
      <c r="G210" s="1667">
        <f>SUM(G184,G185)</f>
        <v>73858</v>
      </c>
      <c r="H210" s="1667">
        <f>SUM(H184,H185,H196,H208,H209)</f>
        <v>141966</v>
      </c>
      <c r="I210" s="1667">
        <f>SUM(I184,I185)</f>
        <v>0</v>
      </c>
      <c r="J210" s="1667">
        <f>SUM(J184,J185)</f>
        <v>0</v>
      </c>
      <c r="K210" s="1665">
        <f>SUM(K184,K185,K196,K208,K209)</f>
        <v>625624</v>
      </c>
      <c r="L210" s="1667">
        <f>SUM(L184,L185,L196,L208,L209)</f>
        <v>670509</v>
      </c>
    </row>
    <row r="211" spans="1:14" ht="13.5" thickTop="1" x14ac:dyDescent="0.2">
      <c r="A211" s="2285" t="s">
        <v>989</v>
      </c>
      <c r="B211" s="2286"/>
      <c r="C211" s="1668"/>
      <c r="D211" s="1668"/>
      <c r="E211" s="1668"/>
      <c r="F211" s="1668"/>
      <c r="G211" s="1668"/>
      <c r="H211" s="1668"/>
      <c r="I211" s="1666"/>
      <c r="J211" s="1666"/>
      <c r="K211" s="1682">
        <f>'Revenues 9-14'!F268-'Expenditures 15-22'!K210</f>
        <v>-30992</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0" t="s">
        <v>959</v>
      </c>
      <c r="B213" s="2281"/>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31879</v>
      </c>
      <c r="E215" s="1666"/>
      <c r="F215" s="1666"/>
      <c r="G215" s="1666"/>
      <c r="H215" s="1666"/>
      <c r="I215" s="1666"/>
      <c r="J215" s="1666"/>
      <c r="K215" s="1665">
        <f>D215</f>
        <v>31879</v>
      </c>
      <c r="L215" s="1566">
        <v>23279</v>
      </c>
    </row>
    <row r="216" spans="1:14" x14ac:dyDescent="0.2">
      <c r="A216" s="1267" t="s">
        <v>162</v>
      </c>
      <c r="B216" s="503" t="s">
        <v>961</v>
      </c>
      <c r="C216" s="1666"/>
      <c r="D216" s="1567"/>
      <c r="E216" s="1666"/>
      <c r="F216" s="1666"/>
      <c r="G216" s="1666"/>
      <c r="H216" s="1666"/>
      <c r="I216" s="1666"/>
      <c r="J216" s="1666"/>
      <c r="K216" s="1665">
        <f t="shared" ref="K216:K228" si="19">D216</f>
        <v>0</v>
      </c>
      <c r="L216" s="1566">
        <v>10060</v>
      </c>
    </row>
    <row r="217" spans="1:14" x14ac:dyDescent="0.2">
      <c r="A217" s="1267" t="s">
        <v>163</v>
      </c>
      <c r="B217" s="503">
        <v>1200</v>
      </c>
      <c r="C217" s="1666"/>
      <c r="D217" s="1566">
        <v>19307</v>
      </c>
      <c r="E217" s="1666"/>
      <c r="F217" s="1666"/>
      <c r="G217" s="1666"/>
      <c r="H217" s="1666"/>
      <c r="I217" s="1666"/>
      <c r="J217" s="1666"/>
      <c r="K217" s="1665">
        <f t="shared" si="19"/>
        <v>19307</v>
      </c>
      <c r="L217" s="1566">
        <v>23385</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v>1400</v>
      </c>
      <c r="E219" s="1666"/>
      <c r="F219" s="1666"/>
      <c r="G219" s="1666"/>
      <c r="H219" s="1666"/>
      <c r="I219" s="1666"/>
      <c r="J219" s="1666"/>
      <c r="K219" s="1665">
        <f t="shared" si="19"/>
        <v>1400</v>
      </c>
      <c r="L219" s="1566">
        <v>1262</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v>1153</v>
      </c>
      <c r="E222" s="1666"/>
      <c r="F222" s="1666"/>
      <c r="G222" s="1666"/>
      <c r="H222" s="1666"/>
      <c r="I222" s="1666"/>
      <c r="J222" s="1666"/>
      <c r="K222" s="1665">
        <f t="shared" si="19"/>
        <v>1153</v>
      </c>
      <c r="L222" s="1566">
        <v>1205</v>
      </c>
    </row>
    <row r="223" spans="1:14" x14ac:dyDescent="0.2">
      <c r="A223" s="1267" t="s">
        <v>957</v>
      </c>
      <c r="B223" s="503">
        <v>1500</v>
      </c>
      <c r="C223" s="1666"/>
      <c r="D223" s="1566">
        <v>6539</v>
      </c>
      <c r="E223" s="1666"/>
      <c r="F223" s="1666"/>
      <c r="G223" s="1666"/>
      <c r="H223" s="1666"/>
      <c r="I223" s="1666"/>
      <c r="J223" s="1666"/>
      <c r="K223" s="1665">
        <f t="shared" si="19"/>
        <v>6539</v>
      </c>
      <c r="L223" s="1566">
        <v>6760</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60278</v>
      </c>
      <c r="E229" s="1666"/>
      <c r="F229" s="1666"/>
      <c r="G229" s="1666"/>
      <c r="H229" s="1666"/>
      <c r="I229" s="1666"/>
      <c r="J229" s="1666"/>
      <c r="K229" s="1667">
        <f>SUM(K215:K228)</f>
        <v>60278</v>
      </c>
      <c r="L229" s="1667">
        <f>SUM(L215:L228)</f>
        <v>65951</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137</v>
      </c>
      <c r="E232" s="1666"/>
      <c r="F232" s="1666"/>
      <c r="G232" s="1666"/>
      <c r="H232" s="1666"/>
      <c r="I232" s="1666"/>
      <c r="J232" s="1666"/>
      <c r="K232" s="1665">
        <f t="shared" ref="K232:K237" si="20">D232</f>
        <v>137</v>
      </c>
      <c r="L232" s="1566">
        <v>137</v>
      </c>
    </row>
    <row r="233" spans="1:12" x14ac:dyDescent="0.2">
      <c r="A233" s="1267" t="s">
        <v>1083</v>
      </c>
      <c r="B233" s="503">
        <v>2120</v>
      </c>
      <c r="C233" s="1666"/>
      <c r="D233" s="1566">
        <v>3566</v>
      </c>
      <c r="E233" s="1666"/>
      <c r="F233" s="1666"/>
      <c r="G233" s="1666"/>
      <c r="H233" s="1666"/>
      <c r="I233" s="1666"/>
      <c r="J233" s="1666"/>
      <c r="K233" s="1665">
        <f t="shared" si="20"/>
        <v>3566</v>
      </c>
      <c r="L233" s="1566">
        <v>3844</v>
      </c>
    </row>
    <row r="234" spans="1:12" x14ac:dyDescent="0.2">
      <c r="A234" s="1267" t="s">
        <v>196</v>
      </c>
      <c r="B234" s="503">
        <v>2130</v>
      </c>
      <c r="C234" s="1666"/>
      <c r="D234" s="1566">
        <v>1181</v>
      </c>
      <c r="E234" s="1666"/>
      <c r="F234" s="1666"/>
      <c r="G234" s="1666"/>
      <c r="H234" s="1666"/>
      <c r="I234" s="1666"/>
      <c r="J234" s="1666"/>
      <c r="K234" s="1665">
        <f t="shared" si="20"/>
        <v>1181</v>
      </c>
      <c r="L234" s="1566">
        <v>1250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v>460</v>
      </c>
      <c r="E237" s="1666"/>
      <c r="F237" s="1666"/>
      <c r="G237" s="1666"/>
      <c r="H237" s="1666"/>
      <c r="I237" s="1666"/>
      <c r="J237" s="1666"/>
      <c r="K237" s="1665">
        <f t="shared" si="20"/>
        <v>460</v>
      </c>
      <c r="L237" s="1566">
        <v>529</v>
      </c>
    </row>
    <row r="238" spans="1:12" ht="12.75" customHeight="1" thickBot="1" x14ac:dyDescent="0.25">
      <c r="A238" s="1373" t="s">
        <v>556</v>
      </c>
      <c r="B238" s="1376" t="s">
        <v>711</v>
      </c>
      <c r="C238" s="1666"/>
      <c r="D238" s="1667">
        <f>SUM(D232:D237)</f>
        <v>5344</v>
      </c>
      <c r="E238" s="1666"/>
      <c r="F238" s="1666"/>
      <c r="G238" s="1666"/>
      <c r="H238" s="1666"/>
      <c r="I238" s="1666"/>
      <c r="J238" s="1666"/>
      <c r="K238" s="1667">
        <f>SUM(K232:K237)</f>
        <v>5344</v>
      </c>
      <c r="L238" s="1667">
        <f>SUM(L232:L237)</f>
        <v>5760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361</v>
      </c>
      <c r="E240" s="1666"/>
      <c r="F240" s="1666"/>
      <c r="G240" s="1666"/>
      <c r="H240" s="1666"/>
      <c r="I240" s="1666"/>
      <c r="J240" s="1666"/>
      <c r="K240" s="1671">
        <f>D240</f>
        <v>361</v>
      </c>
      <c r="L240" s="1579">
        <v>421</v>
      </c>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361</v>
      </c>
      <c r="E243" s="1666"/>
      <c r="F243" s="1666"/>
      <c r="G243" s="1666"/>
      <c r="H243" s="1666"/>
      <c r="I243" s="1666"/>
      <c r="J243" s="1666"/>
      <c r="K243" s="1667">
        <f>SUM(K240:K242)</f>
        <v>361</v>
      </c>
      <c r="L243" s="1667">
        <f>SUM(L240:L242)</f>
        <v>421</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176</v>
      </c>
      <c r="E245" s="1666"/>
      <c r="F245" s="1666"/>
      <c r="G245" s="1666"/>
      <c r="H245" s="1666"/>
      <c r="I245" s="1666"/>
      <c r="J245" s="1666"/>
      <c r="K245" s="1671">
        <f>D245</f>
        <v>176</v>
      </c>
      <c r="L245" s="1579">
        <v>176</v>
      </c>
    </row>
    <row r="246" spans="1:12" x14ac:dyDescent="0.2">
      <c r="A246" s="1267" t="s">
        <v>813</v>
      </c>
      <c r="B246" s="503">
        <v>2320</v>
      </c>
      <c r="C246" s="1666"/>
      <c r="D246" s="1566">
        <v>4311</v>
      </c>
      <c r="E246" s="1666"/>
      <c r="F246" s="1666"/>
      <c r="G246" s="1666"/>
      <c r="H246" s="1666"/>
      <c r="I246" s="1666"/>
      <c r="J246" s="1666"/>
      <c r="K246" s="1671">
        <f t="shared" ref="K246:K256" si="21">D246</f>
        <v>4311</v>
      </c>
      <c r="L246" s="1566">
        <v>5159</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v>20930</v>
      </c>
      <c r="E254" s="1666"/>
      <c r="F254" s="1666"/>
      <c r="G254" s="1666"/>
      <c r="H254" s="1666"/>
      <c r="I254" s="1666"/>
      <c r="J254" s="1666"/>
      <c r="K254" s="1671">
        <f t="shared" si="21"/>
        <v>20930</v>
      </c>
      <c r="L254" s="1566">
        <v>24234</v>
      </c>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25417</v>
      </c>
      <c r="E257" s="1666"/>
      <c r="F257" s="1666"/>
      <c r="G257" s="1666"/>
      <c r="H257" s="1666"/>
      <c r="I257" s="1666"/>
      <c r="J257" s="1666"/>
      <c r="K257" s="1667">
        <f>SUM(K245:K256)</f>
        <v>25417</v>
      </c>
      <c r="L257" s="1667">
        <f>SUM(L245:L256)</f>
        <v>29569</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12754</v>
      </c>
      <c r="E259" s="1666"/>
      <c r="F259" s="1666"/>
      <c r="G259" s="1666"/>
      <c r="H259" s="1666"/>
      <c r="I259" s="1666"/>
      <c r="J259" s="1666"/>
      <c r="K259" s="1671">
        <f>D259</f>
        <v>12754</v>
      </c>
      <c r="L259" s="1579">
        <v>14457</v>
      </c>
    </row>
    <row r="260" spans="1:14" s="493" customFormat="1" x14ac:dyDescent="0.2">
      <c r="A260" s="1285" t="s">
        <v>1784</v>
      </c>
      <c r="B260" s="512">
        <v>2490</v>
      </c>
      <c r="C260" s="1666"/>
      <c r="D260" s="1566">
        <v>357</v>
      </c>
      <c r="E260" s="1666"/>
      <c r="F260" s="1666"/>
      <c r="G260" s="1666"/>
      <c r="H260" s="1666"/>
      <c r="I260" s="1666"/>
      <c r="J260" s="1666"/>
      <c r="K260" s="1671">
        <f>D260</f>
        <v>357</v>
      </c>
      <c r="L260" s="1566">
        <v>428</v>
      </c>
      <c r="M260" s="205"/>
      <c r="N260" s="205"/>
    </row>
    <row r="261" spans="1:14" ht="12.75" customHeight="1" thickBot="1" x14ac:dyDescent="0.25">
      <c r="A261" s="1387" t="s">
        <v>261</v>
      </c>
      <c r="B261" s="1392" t="s">
        <v>34</v>
      </c>
      <c r="C261" s="1666"/>
      <c r="D261" s="1667">
        <f>SUM(D259:D260)</f>
        <v>13111</v>
      </c>
      <c r="E261" s="1666"/>
      <c r="F261" s="1666"/>
      <c r="G261" s="1666"/>
      <c r="H261" s="1666"/>
      <c r="I261" s="1666"/>
      <c r="J261" s="1666"/>
      <c r="K261" s="1667">
        <f>SUM(K259:K260)</f>
        <v>13111</v>
      </c>
      <c r="L261" s="1667">
        <f>SUM(L259:L260)</f>
        <v>14885</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v>1937</v>
      </c>
      <c r="E263" s="1666"/>
      <c r="F263" s="1666"/>
      <c r="G263" s="1666"/>
      <c r="H263" s="1666"/>
      <c r="I263" s="1666"/>
      <c r="J263" s="1666"/>
      <c r="K263" s="1671">
        <f>D263</f>
        <v>1937</v>
      </c>
      <c r="L263" s="1579">
        <v>2381</v>
      </c>
    </row>
    <row r="264" spans="1:14" x14ac:dyDescent="0.2">
      <c r="A264" s="1267" t="s">
        <v>460</v>
      </c>
      <c r="B264" s="559">
        <v>2520</v>
      </c>
      <c r="C264" s="1666"/>
      <c r="D264" s="1566">
        <v>5078</v>
      </c>
      <c r="E264" s="1666"/>
      <c r="F264" s="1666"/>
      <c r="G264" s="1666"/>
      <c r="H264" s="1666"/>
      <c r="I264" s="1666"/>
      <c r="J264" s="1666"/>
      <c r="K264" s="1671">
        <f t="shared" ref="K264:K269" si="22">D264</f>
        <v>5078</v>
      </c>
      <c r="L264" s="1566">
        <v>6370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12856</v>
      </c>
      <c r="E266" s="1666"/>
      <c r="F266" s="1666"/>
      <c r="G266" s="1666"/>
      <c r="H266" s="1666"/>
      <c r="I266" s="1666"/>
      <c r="J266" s="1666"/>
      <c r="K266" s="1671">
        <f t="shared" si="22"/>
        <v>12856</v>
      </c>
      <c r="L266" s="1566">
        <v>12834</v>
      </c>
    </row>
    <row r="267" spans="1:14" x14ac:dyDescent="0.2">
      <c r="A267" s="1267" t="s">
        <v>947</v>
      </c>
      <c r="B267" s="503">
        <v>2550</v>
      </c>
      <c r="C267" s="1666"/>
      <c r="D267" s="1566">
        <v>20717</v>
      </c>
      <c r="E267" s="1666"/>
      <c r="F267" s="1666"/>
      <c r="G267" s="1666"/>
      <c r="H267" s="1666"/>
      <c r="I267" s="1666"/>
      <c r="J267" s="1666"/>
      <c r="K267" s="1671">
        <f t="shared" si="22"/>
        <v>20717</v>
      </c>
      <c r="L267" s="1566">
        <v>20736</v>
      </c>
    </row>
    <row r="268" spans="1:14" x14ac:dyDescent="0.2">
      <c r="A268" s="1267" t="s">
        <v>100</v>
      </c>
      <c r="B268" s="503">
        <v>2560</v>
      </c>
      <c r="C268" s="1666"/>
      <c r="D268" s="1566">
        <v>6844</v>
      </c>
      <c r="E268" s="1666"/>
      <c r="F268" s="1666"/>
      <c r="G268" s="1666"/>
      <c r="H268" s="1666"/>
      <c r="I268" s="1666"/>
      <c r="J268" s="1666"/>
      <c r="K268" s="1671">
        <f t="shared" si="22"/>
        <v>6844</v>
      </c>
      <c r="L268" s="1566">
        <v>8214</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47432</v>
      </c>
      <c r="E270" s="1666"/>
      <c r="F270" s="1666"/>
      <c r="G270" s="1666"/>
      <c r="H270" s="1666"/>
      <c r="I270" s="1666"/>
      <c r="J270" s="1666"/>
      <c r="K270" s="1667">
        <f>SUM(K263:K269)</f>
        <v>47432</v>
      </c>
      <c r="L270" s="1667">
        <f>SUM(L263:L269)</f>
        <v>50535</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91665</v>
      </c>
      <c r="E279" s="1666"/>
      <c r="F279" s="1666"/>
      <c r="G279" s="1666"/>
      <c r="H279" s="1666"/>
      <c r="I279" s="1666"/>
      <c r="J279" s="1666"/>
      <c r="K279" s="1674">
        <f>SUM(K238,K243,K257,K261,K270,K277,K278)</f>
        <v>91665</v>
      </c>
      <c r="L279" s="1674">
        <f>SUM(L238,L243,L257,L261,L270,L277,L278)</f>
        <v>101170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6" t="s">
        <v>502</v>
      </c>
      <c r="B295" s="2277"/>
      <c r="C295" s="1666"/>
      <c r="D295" s="1667">
        <f>SUM(D229,D279,D280,D285)</f>
        <v>151943</v>
      </c>
      <c r="E295" s="1666"/>
      <c r="F295" s="1666"/>
      <c r="G295" s="1666"/>
      <c r="H295" s="1667">
        <f>H293</f>
        <v>0</v>
      </c>
      <c r="I295" s="1666"/>
      <c r="J295" s="1666"/>
      <c r="K295" s="1667">
        <f>SUM(K229,K279,K280,K285,K293,K294)</f>
        <v>151943</v>
      </c>
      <c r="L295" s="1667">
        <f>SUM(L229,L279,L280,L285,L293,L294)</f>
        <v>167121</v>
      </c>
    </row>
    <row r="296" spans="1:14" ht="13.5" thickTop="1" x14ac:dyDescent="0.2">
      <c r="A296" s="2285" t="s">
        <v>989</v>
      </c>
      <c r="B296" s="2286"/>
      <c r="C296" s="1666"/>
      <c r="D296" s="1668"/>
      <c r="E296" s="1666"/>
      <c r="F296" s="1666"/>
      <c r="G296" s="1666"/>
      <c r="H296" s="1700"/>
      <c r="I296" s="1666"/>
      <c r="J296" s="1666"/>
      <c r="K296" s="1682">
        <f>'Revenues 9-14'!G268-'Expenditures 15-22'!K295</f>
        <v>10929</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8" t="s">
        <v>142</v>
      </c>
      <c r="B298" s="2262"/>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v>63090</v>
      </c>
      <c r="H301" s="1566"/>
      <c r="I301" s="1567"/>
      <c r="J301" s="1567"/>
      <c r="K301" s="1665">
        <f>SUM(C301:J301)</f>
        <v>63090</v>
      </c>
      <c r="L301" s="1567">
        <v>50000</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63090</v>
      </c>
      <c r="H303" s="1674">
        <f t="shared" si="23"/>
        <v>0</v>
      </c>
      <c r="I303" s="1674">
        <f t="shared" si="23"/>
        <v>0</v>
      </c>
      <c r="J303" s="1674">
        <f t="shared" si="23"/>
        <v>0</v>
      </c>
      <c r="K303" s="1674">
        <f t="shared" si="23"/>
        <v>63090</v>
      </c>
      <c r="L303" s="1674">
        <f t="shared" si="23"/>
        <v>50000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3" t="s">
        <v>275</v>
      </c>
      <c r="B312" s="2274"/>
      <c r="C312" s="1667">
        <f>SUM(C303)</f>
        <v>0</v>
      </c>
      <c r="D312" s="1667">
        <f>SUM(D303)</f>
        <v>0</v>
      </c>
      <c r="E312" s="1667">
        <f>SUM(E303,E310)</f>
        <v>0</v>
      </c>
      <c r="F312" s="1667">
        <f>SUM(F303)</f>
        <v>0</v>
      </c>
      <c r="G312" s="1667">
        <f>SUM(G303)</f>
        <v>63090</v>
      </c>
      <c r="H312" s="1667">
        <f>SUM(H303,H310)</f>
        <v>0</v>
      </c>
      <c r="I312" s="1667">
        <f>SUM(I303)</f>
        <v>0</v>
      </c>
      <c r="J312" s="1667">
        <f>SUM(J303)</f>
        <v>0</v>
      </c>
      <c r="K312" s="1667">
        <f>SUM(K303,K310,K311)</f>
        <v>63090</v>
      </c>
      <c r="L312" s="1667">
        <f>SUM(L303,L310,L311)</f>
        <v>50000</v>
      </c>
      <c r="M312" s="539"/>
      <c r="N312" s="539"/>
    </row>
    <row r="313" spans="1:14" ht="13.5" thickTop="1" x14ac:dyDescent="0.2">
      <c r="A313" s="2269" t="s">
        <v>989</v>
      </c>
      <c r="B313" s="2270"/>
      <c r="C313" s="1670"/>
      <c r="D313" s="1670"/>
      <c r="E313" s="1670"/>
      <c r="F313" s="1670"/>
      <c r="G313" s="1670"/>
      <c r="H313" s="1670"/>
      <c r="I313" s="1670"/>
      <c r="J313" s="1670"/>
      <c r="K313" s="1689">
        <f>'Revenues 9-14'!H268-'Expenditures 15-22'!K312</f>
        <v>-37106</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2" t="s">
        <v>148</v>
      </c>
      <c r="B315" s="2283"/>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4" t="s">
        <v>892</v>
      </c>
      <c r="B317" s="2283"/>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15000</v>
      </c>
      <c r="M321" s="539"/>
      <c r="N321" s="539"/>
    </row>
    <row r="322" spans="1:14" s="548" customFormat="1" x14ac:dyDescent="0.2">
      <c r="A322" s="1282" t="s">
        <v>236</v>
      </c>
      <c r="B322" s="567" t="s">
        <v>282</v>
      </c>
      <c r="C322" s="1567"/>
      <c r="D322" s="1567"/>
      <c r="E322" s="1567">
        <v>133073</v>
      </c>
      <c r="F322" s="1567"/>
      <c r="G322" s="1567"/>
      <c r="H322" s="1567"/>
      <c r="I322" s="1567"/>
      <c r="J322" s="1567"/>
      <c r="K322" s="1665">
        <f t="shared" si="24"/>
        <v>133073</v>
      </c>
      <c r="L322" s="1567">
        <v>127000</v>
      </c>
      <c r="M322" s="539"/>
      <c r="N322" s="539"/>
    </row>
    <row r="323" spans="1:14" s="548" customFormat="1" x14ac:dyDescent="0.2">
      <c r="A323" s="1282" t="s">
        <v>697</v>
      </c>
      <c r="B323" s="567" t="s">
        <v>283</v>
      </c>
      <c r="C323" s="1567"/>
      <c r="D323" s="1567"/>
      <c r="E323" s="1567">
        <v>7665</v>
      </c>
      <c r="F323" s="1567">
        <v>893</v>
      </c>
      <c r="G323" s="1567"/>
      <c r="H323" s="1567"/>
      <c r="I323" s="1567"/>
      <c r="J323" s="1567"/>
      <c r="K323" s="1665">
        <f t="shared" si="24"/>
        <v>8558</v>
      </c>
      <c r="L323" s="1567">
        <v>12770</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v>428044</v>
      </c>
      <c r="D325" s="1567">
        <v>129565</v>
      </c>
      <c r="E325" s="1567">
        <v>26514</v>
      </c>
      <c r="F325" s="1567"/>
      <c r="G325" s="1567"/>
      <c r="H325" s="1567">
        <v>52159</v>
      </c>
      <c r="I325" s="1567"/>
      <c r="J325" s="1567"/>
      <c r="K325" s="1665">
        <f t="shared" si="24"/>
        <v>636282</v>
      </c>
      <c r="L325" s="1567">
        <v>642290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3405</v>
      </c>
      <c r="F327" s="1567"/>
      <c r="G327" s="1567"/>
      <c r="H327" s="1567"/>
      <c r="I327" s="1567"/>
      <c r="J327" s="1567"/>
      <c r="K327" s="1665">
        <f t="shared" si="24"/>
        <v>3405</v>
      </c>
      <c r="L327" s="1567">
        <v>10000</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428044</v>
      </c>
      <c r="D330" s="1667">
        <f t="shared" ref="D330:J330" si="25">SUM(D319:D329)</f>
        <v>129565</v>
      </c>
      <c r="E330" s="1667">
        <f t="shared" si="25"/>
        <v>170657</v>
      </c>
      <c r="F330" s="1667">
        <f t="shared" si="25"/>
        <v>893</v>
      </c>
      <c r="G330" s="1667">
        <f t="shared" si="25"/>
        <v>0</v>
      </c>
      <c r="H330" s="1667">
        <f t="shared" si="25"/>
        <v>52159</v>
      </c>
      <c r="I330" s="1667">
        <f t="shared" si="25"/>
        <v>0</v>
      </c>
      <c r="J330" s="1667">
        <f t="shared" si="25"/>
        <v>0</v>
      </c>
      <c r="K330" s="1667">
        <f>SUM(K319:K329)</f>
        <v>781318</v>
      </c>
      <c r="L330" s="1667">
        <f>SUM(L319:L329)</f>
        <v>807060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428044</v>
      </c>
      <c r="D342" s="1667">
        <f>SUM(D330)</f>
        <v>129565</v>
      </c>
      <c r="E342" s="1667">
        <f>SUM(E330)</f>
        <v>170657</v>
      </c>
      <c r="F342" s="1667">
        <f>SUM(F330)</f>
        <v>893</v>
      </c>
      <c r="G342" s="1667">
        <f>SUM(G330)</f>
        <v>0</v>
      </c>
      <c r="H342" s="1667">
        <f>SUM(H330,H334,H340)</f>
        <v>52159</v>
      </c>
      <c r="I342" s="1667">
        <f>SUM(I330)</f>
        <v>0</v>
      </c>
      <c r="J342" s="1667">
        <f>SUM(J330)</f>
        <v>0</v>
      </c>
      <c r="K342" s="1667">
        <f>SUM(K330,K334,K340)</f>
        <v>781318</v>
      </c>
      <c r="L342" s="1674">
        <f>SUM(L330,L334,L340,L341)</f>
        <v>807060</v>
      </c>
    </row>
    <row r="343" spans="1:14" ht="12.75" customHeight="1" thickTop="1" x14ac:dyDescent="0.2">
      <c r="A343" s="2271" t="s">
        <v>989</v>
      </c>
      <c r="B343" s="2272"/>
      <c r="C343" s="1666"/>
      <c r="D343" s="1666"/>
      <c r="E343" s="1666"/>
      <c r="F343" s="1666"/>
      <c r="G343" s="1666"/>
      <c r="H343" s="1666"/>
      <c r="I343" s="1666"/>
      <c r="J343" s="1666"/>
      <c r="K343" s="1682">
        <f>'Revenues 9-14'!J268-'Expenditures 15-22'!K342</f>
        <v>-96957</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1" t="s">
        <v>960</v>
      </c>
      <c r="B345" s="2262"/>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v>75373</v>
      </c>
      <c r="F348" s="1566"/>
      <c r="G348" s="1566">
        <v>5738</v>
      </c>
      <c r="H348" s="1566"/>
      <c r="I348" s="1567"/>
      <c r="J348" s="1567"/>
      <c r="K348" s="1665">
        <f>SUM(C348:J348)</f>
        <v>81111</v>
      </c>
      <c r="L348" s="1566">
        <v>97100</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75373</v>
      </c>
      <c r="F350" s="1667">
        <f t="shared" si="26"/>
        <v>0</v>
      </c>
      <c r="G350" s="1667">
        <f t="shared" si="26"/>
        <v>5738</v>
      </c>
      <c r="H350" s="1667">
        <f t="shared" si="26"/>
        <v>0</v>
      </c>
      <c r="I350" s="1667">
        <f t="shared" si="26"/>
        <v>0</v>
      </c>
      <c r="J350" s="1667">
        <f t="shared" si="26"/>
        <v>0</v>
      </c>
      <c r="K350" s="1667">
        <f t="shared" si="26"/>
        <v>81111</v>
      </c>
      <c r="L350" s="1667">
        <f t="shared" si="26"/>
        <v>97100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75373</v>
      </c>
      <c r="F352" s="1667">
        <f t="shared" si="27"/>
        <v>0</v>
      </c>
      <c r="G352" s="1667">
        <f t="shared" si="27"/>
        <v>5738</v>
      </c>
      <c r="H352" s="1667">
        <f t="shared" si="27"/>
        <v>0</v>
      </c>
      <c r="I352" s="1667">
        <f t="shared" si="27"/>
        <v>0</v>
      </c>
      <c r="J352" s="1667">
        <f t="shared" si="27"/>
        <v>0</v>
      </c>
      <c r="K352" s="1667">
        <f t="shared" si="27"/>
        <v>81111</v>
      </c>
      <c r="L352" s="1667">
        <f t="shared" si="27"/>
        <v>97100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75373</v>
      </c>
      <c r="F367" s="1667">
        <f t="shared" si="28"/>
        <v>0</v>
      </c>
      <c r="G367" s="1667">
        <f t="shared" si="28"/>
        <v>5738</v>
      </c>
      <c r="H367" s="1667">
        <f t="shared" si="28"/>
        <v>0</v>
      </c>
      <c r="I367" s="1667">
        <f t="shared" si="28"/>
        <v>0</v>
      </c>
      <c r="J367" s="1667">
        <f t="shared" si="28"/>
        <v>0</v>
      </c>
      <c r="K367" s="1667">
        <f t="shared" si="28"/>
        <v>81111</v>
      </c>
      <c r="L367" s="1667">
        <f t="shared" si="28"/>
        <v>97100</v>
      </c>
    </row>
    <row r="368" spans="1:14" ht="13.5" thickTop="1" x14ac:dyDescent="0.2">
      <c r="A368" s="2285" t="s">
        <v>989</v>
      </c>
      <c r="B368" s="2286"/>
      <c r="C368" s="1687"/>
      <c r="D368" s="1687"/>
      <c r="E368" s="1670"/>
      <c r="F368" s="1670"/>
      <c r="G368" s="1670"/>
      <c r="H368" s="1670"/>
      <c r="I368" s="1670"/>
      <c r="J368" s="1669"/>
      <c r="K368" s="1665">
        <f>'Revenues 9-14'!K268-'Expenditures 15-22'!K367</f>
        <v>27486</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L31" sqref="L3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7"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8"/>
      <c r="B3" s="1287"/>
      <c r="C3" s="1288"/>
      <c r="D3" s="1289" t="s">
        <v>254</v>
      </c>
      <c r="E3" s="1288"/>
      <c r="F3" s="1289" t="s">
        <v>255</v>
      </c>
    </row>
    <row r="4" spans="1:8" ht="13.7" customHeight="1" x14ac:dyDescent="0.2">
      <c r="A4" s="579" t="s">
        <v>1147</v>
      </c>
      <c r="B4" s="1714">
        <f>'Revenues 9-14'!C5</f>
        <v>2200326</v>
      </c>
      <c r="C4" s="1715">
        <v>484439</v>
      </c>
      <c r="D4" s="1716">
        <f>B4-C4</f>
        <v>1715887</v>
      </c>
      <c r="E4" s="1715">
        <v>2759064</v>
      </c>
      <c r="F4" s="1716">
        <f>E4-C4</f>
        <v>2274625</v>
      </c>
    </row>
    <row r="5" spans="1:8" ht="13.7" customHeight="1" x14ac:dyDescent="0.2">
      <c r="A5" s="579" t="s">
        <v>865</v>
      </c>
      <c r="B5" s="1717">
        <f>'Revenues 9-14'!D5</f>
        <v>452741</v>
      </c>
      <c r="C5" s="1657">
        <v>99680</v>
      </c>
      <c r="D5" s="1718">
        <f t="shared" ref="D5:D18" si="0">B5-C5</f>
        <v>353061</v>
      </c>
      <c r="E5" s="1657">
        <v>567709</v>
      </c>
      <c r="F5" s="1718">
        <f>E5-C5</f>
        <v>468029</v>
      </c>
    </row>
    <row r="6" spans="1:8" ht="13.7" customHeight="1" x14ac:dyDescent="0.2">
      <c r="A6" s="579" t="s">
        <v>408</v>
      </c>
      <c r="B6" s="1717">
        <f>'Revenues 9-14'!E5</f>
        <v>903128</v>
      </c>
      <c r="C6" s="1657">
        <v>191568</v>
      </c>
      <c r="D6" s="1718">
        <f t="shared" si="0"/>
        <v>711560</v>
      </c>
      <c r="E6" s="1657">
        <v>1091045</v>
      </c>
      <c r="F6" s="1718">
        <f t="shared" ref="F6:F18" si="1">E6-C6</f>
        <v>899477</v>
      </c>
    </row>
    <row r="7" spans="1:8" ht="13.7" customHeight="1" x14ac:dyDescent="0.2">
      <c r="A7" s="579" t="s">
        <v>154</v>
      </c>
      <c r="B7" s="1717">
        <f>'Revenues 9-14'!F5</f>
        <v>181096</v>
      </c>
      <c r="C7" s="1657">
        <v>39872</v>
      </c>
      <c r="D7" s="1718">
        <f t="shared" si="0"/>
        <v>141224</v>
      </c>
      <c r="E7" s="1657">
        <v>227083</v>
      </c>
      <c r="F7" s="1718">
        <f t="shared" si="1"/>
        <v>187211</v>
      </c>
    </row>
    <row r="8" spans="1:8" ht="13.7" customHeight="1" x14ac:dyDescent="0.2">
      <c r="A8" s="579" t="s">
        <v>1171</v>
      </c>
      <c r="B8" s="1717">
        <f>'Revenues 9-14'!G5</f>
        <v>42697</v>
      </c>
      <c r="C8" s="1657">
        <v>7225</v>
      </c>
      <c r="D8" s="1718">
        <f t="shared" si="0"/>
        <v>35472</v>
      </c>
      <c r="E8" s="1657">
        <v>41148</v>
      </c>
      <c r="F8" s="1718">
        <f t="shared" si="1"/>
        <v>33923</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45273</v>
      </c>
      <c r="C10" s="1657">
        <v>9968</v>
      </c>
      <c r="D10" s="1718">
        <f t="shared" si="0"/>
        <v>35305</v>
      </c>
      <c r="E10" s="1657">
        <v>56771</v>
      </c>
      <c r="F10" s="1718">
        <f t="shared" si="1"/>
        <v>46803</v>
      </c>
    </row>
    <row r="11" spans="1:8" x14ac:dyDescent="0.2">
      <c r="A11" s="579" t="s">
        <v>406</v>
      </c>
      <c r="B11" s="1717">
        <f>'Revenues 9-14'!J5</f>
        <v>677178</v>
      </c>
      <c r="C11" s="1657">
        <v>146770</v>
      </c>
      <c r="D11" s="1718">
        <f t="shared" si="0"/>
        <v>530408</v>
      </c>
      <c r="E11" s="1657">
        <v>835905</v>
      </c>
      <c r="F11" s="1718">
        <f t="shared" si="1"/>
        <v>689135</v>
      </c>
    </row>
    <row r="12" spans="1:8" ht="13.7" customHeight="1" x14ac:dyDescent="0.2">
      <c r="A12" s="579" t="s">
        <v>156</v>
      </c>
      <c r="B12" s="1717">
        <f>'Revenues 9-14'!K5</f>
        <v>45273</v>
      </c>
      <c r="C12" s="1657">
        <v>9968</v>
      </c>
      <c r="D12" s="1718">
        <f t="shared" si="0"/>
        <v>35305</v>
      </c>
      <c r="E12" s="1657">
        <v>56771</v>
      </c>
      <c r="F12" s="1718">
        <f t="shared" si="1"/>
        <v>46803</v>
      </c>
    </row>
    <row r="13" spans="1:8" ht="13.7" customHeight="1" x14ac:dyDescent="0.2">
      <c r="A13" s="579" t="s">
        <v>930</v>
      </c>
      <c r="B13" s="1717">
        <f>SUM('Revenues 9-14'!C6:D6)</f>
        <v>45273</v>
      </c>
      <c r="C13" s="1657">
        <v>9968</v>
      </c>
      <c r="D13" s="1718">
        <f t="shared" si="0"/>
        <v>35305</v>
      </c>
      <c r="E13" s="1657">
        <v>56771</v>
      </c>
      <c r="F13" s="1718">
        <f t="shared" si="1"/>
        <v>46803</v>
      </c>
    </row>
    <row r="14" spans="1:8" ht="13.7" customHeight="1" x14ac:dyDescent="0.2">
      <c r="A14" s="579" t="s">
        <v>407</v>
      </c>
      <c r="B14" s="1717">
        <f>SUM('Revenues 9-14'!C7:D7,'Revenues 9-14'!F7:H7)</f>
        <v>36220</v>
      </c>
      <c r="C14" s="1657">
        <v>7974</v>
      </c>
      <c r="D14" s="1718">
        <f t="shared" si="0"/>
        <v>28246</v>
      </c>
      <c r="E14" s="1657">
        <v>45416</v>
      </c>
      <c r="F14" s="1718">
        <f t="shared" si="1"/>
        <v>37442</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111797</v>
      </c>
      <c r="C16" s="1657">
        <v>23040</v>
      </c>
      <c r="D16" s="1718">
        <f t="shared" si="0"/>
        <v>88757</v>
      </c>
      <c r="E16" s="1657">
        <v>131220</v>
      </c>
      <c r="F16" s="1718">
        <f t="shared" si="1"/>
        <v>108180</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4741002</v>
      </c>
      <c r="C19" s="1719">
        <f>SUM(C4:C18)</f>
        <v>1030472</v>
      </c>
      <c r="D19" s="1719">
        <f>SUM(D4:D18)</f>
        <v>3710530</v>
      </c>
      <c r="E19" s="1719">
        <f>SUM(E4:E18)</f>
        <v>5868903</v>
      </c>
      <c r="F19" s="1719">
        <f>SUM(F4:F18)</f>
        <v>4838431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L31" sqref="L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4"/>
      <c r="C1" s="585"/>
    </row>
    <row r="2" spans="1:7" ht="33.75" x14ac:dyDescent="0.2">
      <c r="A2" s="2302" t="s">
        <v>1782</v>
      </c>
      <c r="B2" s="2303"/>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06" t="s">
        <v>1106</v>
      </c>
      <c r="B3" s="2307"/>
      <c r="C3" s="2295"/>
      <c r="D3" s="2296"/>
      <c r="E3" s="2296"/>
      <c r="F3" s="2297"/>
    </row>
    <row r="4" spans="1:7" ht="12.75" customHeight="1" thickBot="1" x14ac:dyDescent="0.25">
      <c r="A4" s="2304" t="s">
        <v>626</v>
      </c>
      <c r="B4" s="2305"/>
      <c r="C4" s="1649"/>
      <c r="D4" s="1649"/>
      <c r="E4" s="1649"/>
      <c r="F4" s="1725">
        <f>SUM(C4+D4)-E4</f>
        <v>0</v>
      </c>
    </row>
    <row r="5" spans="1:7" ht="15.75" customHeight="1" thickTop="1" x14ac:dyDescent="0.2">
      <c r="A5" s="2289" t="s">
        <v>1103</v>
      </c>
      <c r="B5" s="2290"/>
      <c r="C5" s="2298"/>
      <c r="D5" s="2299"/>
      <c r="E5" s="2299"/>
      <c r="F5" s="2300"/>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1" t="s">
        <v>627</v>
      </c>
      <c r="B15" s="2292"/>
      <c r="C15" s="1725">
        <f>SUM(C6:C14)</f>
        <v>0</v>
      </c>
      <c r="D15" s="1725">
        <f>SUM(D6:D14)</f>
        <v>0</v>
      </c>
      <c r="E15" s="1725">
        <f>SUM(E6:E14)</f>
        <v>0</v>
      </c>
      <c r="F15" s="1725">
        <f>SUM(F6:F14)</f>
        <v>0</v>
      </c>
      <c r="G15" s="473"/>
    </row>
    <row r="16" spans="1:7" s="197" customFormat="1" ht="15.75" customHeight="1" thickTop="1" x14ac:dyDescent="0.2">
      <c r="A16" s="2301" t="s">
        <v>1104</v>
      </c>
      <c r="B16" s="2290"/>
      <c r="C16" s="2298"/>
      <c r="D16" s="2299"/>
      <c r="E16" s="2299"/>
      <c r="F16" s="2300"/>
    </row>
    <row r="17" spans="1:11" ht="12.75" customHeight="1" thickBot="1" x14ac:dyDescent="0.25">
      <c r="A17" s="2314" t="s">
        <v>64</v>
      </c>
      <c r="B17" s="2315"/>
      <c r="C17" s="1726"/>
      <c r="D17" s="1657"/>
      <c r="E17" s="1726"/>
      <c r="F17" s="1725">
        <f>SUM(C17+D17)-E17</f>
        <v>0</v>
      </c>
    </row>
    <row r="18" spans="1:11" ht="12.75" customHeight="1" thickTop="1" thickBot="1" x14ac:dyDescent="0.25">
      <c r="A18" s="2314" t="s">
        <v>6</v>
      </c>
      <c r="B18" s="2315"/>
      <c r="C18" s="1726"/>
      <c r="D18" s="1657"/>
      <c r="E18" s="1726"/>
      <c r="F18" s="1725">
        <f>SUM(C18+D18)-E18</f>
        <v>0</v>
      </c>
    </row>
    <row r="19" spans="1:11" ht="12.75" customHeight="1" thickTop="1" thickBot="1" x14ac:dyDescent="0.25">
      <c r="A19" s="2314" t="s">
        <v>385</v>
      </c>
      <c r="B19" s="2315"/>
      <c r="C19" s="1726"/>
      <c r="D19" s="1657"/>
      <c r="E19" s="1726"/>
      <c r="F19" s="1725">
        <f>SUM(C19+D19)-E19</f>
        <v>0</v>
      </c>
    </row>
    <row r="20" spans="1:11" ht="12.75" customHeight="1" thickTop="1" thickBot="1" x14ac:dyDescent="0.25">
      <c r="A20" s="2314" t="s">
        <v>445</v>
      </c>
      <c r="B20" s="2315"/>
      <c r="C20" s="1726"/>
      <c r="D20" s="1657"/>
      <c r="E20" s="1726"/>
      <c r="F20" s="1725">
        <f>SUM(C20+D20)-E20</f>
        <v>0</v>
      </c>
    </row>
    <row r="21" spans="1:11" ht="14.25" thickTop="1" thickBot="1" x14ac:dyDescent="0.25">
      <c r="A21" s="2291" t="s">
        <v>628</v>
      </c>
      <c r="B21" s="2292"/>
      <c r="C21" s="1725">
        <f>SUM(C17:C20)</f>
        <v>0</v>
      </c>
      <c r="D21" s="1725">
        <f>SUM(D17:D20)</f>
        <v>0</v>
      </c>
      <c r="E21" s="1725">
        <f>SUM(E17:E20)</f>
        <v>0</v>
      </c>
      <c r="F21" s="1725">
        <f>SUM(F17:F20)</f>
        <v>0</v>
      </c>
      <c r="G21" s="473"/>
    </row>
    <row r="22" spans="1:11" ht="15.75" customHeight="1" thickTop="1" x14ac:dyDescent="0.2">
      <c r="A22" s="2316" t="s">
        <v>1105</v>
      </c>
      <c r="B22" s="2290"/>
      <c r="C22" s="2298"/>
      <c r="D22" s="2299"/>
      <c r="E22" s="2299"/>
      <c r="F22" s="2300"/>
    </row>
    <row r="23" spans="1:11" ht="13.5" thickBot="1" x14ac:dyDescent="0.25">
      <c r="A23" s="2304" t="s">
        <v>629</v>
      </c>
      <c r="B23" s="2305"/>
      <c r="C23" s="1649"/>
      <c r="D23" s="1649"/>
      <c r="E23" s="1649"/>
      <c r="F23" s="1725">
        <f>SUM(C23+D23)-E23</f>
        <v>0</v>
      </c>
      <c r="G23" s="473"/>
    </row>
    <row r="24" spans="1:11" ht="15.75" customHeight="1" thickTop="1" x14ac:dyDescent="0.2">
      <c r="A24" s="2316" t="s">
        <v>2009</v>
      </c>
      <c r="B24" s="2290"/>
      <c r="C24" s="2298"/>
      <c r="D24" s="2299"/>
      <c r="E24" s="2299"/>
      <c r="F24" s="2300"/>
    </row>
    <row r="25" spans="1:11" ht="13.5" thickBot="1" x14ac:dyDescent="0.25">
      <c r="A25" s="2304" t="s">
        <v>2010</v>
      </c>
      <c r="B25" s="2305"/>
      <c r="C25" s="1649"/>
      <c r="D25" s="1649"/>
      <c r="E25" s="1649"/>
      <c r="F25" s="1725">
        <f>SUM(C25+D25)-E25</f>
        <v>0</v>
      </c>
      <c r="G25" s="473"/>
    </row>
    <row r="26" spans="1:11" ht="15.75" customHeight="1" thickTop="1" x14ac:dyDescent="0.2">
      <c r="A26" s="2289" t="s">
        <v>652</v>
      </c>
      <c r="B26" s="2290"/>
      <c r="C26" s="589"/>
      <c r="D26" s="589"/>
      <c r="E26" s="589"/>
      <c r="F26" s="590"/>
    </row>
    <row r="27" spans="1:11" ht="13.5" thickBot="1" x14ac:dyDescent="0.25">
      <c r="A27" s="2291" t="s">
        <v>1063</v>
      </c>
      <c r="B27" s="2292"/>
      <c r="C27" s="1657"/>
      <c r="D27" s="1657"/>
      <c r="E27" s="1657"/>
      <c r="F27" s="1725">
        <f>SUM(C27+D27)-E27</f>
        <v>0</v>
      </c>
      <c r="G27" s="473"/>
    </row>
    <row r="28" spans="1:11" ht="7.5" customHeight="1" thickTop="1" x14ac:dyDescent="0.2">
      <c r="A28" s="489"/>
    </row>
    <row r="29" spans="1:11" ht="23.25" customHeight="1" x14ac:dyDescent="0.2">
      <c r="A29" s="2317" t="s">
        <v>578</v>
      </c>
      <c r="B29" s="2294"/>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1908" t="s">
        <v>2045</v>
      </c>
      <c r="B31" s="1909">
        <v>38526</v>
      </c>
      <c r="C31" s="1910">
        <v>462359</v>
      </c>
      <c r="D31" s="1911">
        <v>4</v>
      </c>
      <c r="E31" s="1727">
        <v>199552</v>
      </c>
      <c r="F31" s="1727"/>
      <c r="G31" s="1727"/>
      <c r="H31" s="1727">
        <v>199552</v>
      </c>
      <c r="I31" s="1729">
        <f>((E31+F31)-H31)+G31</f>
        <v>0</v>
      </c>
      <c r="J31" s="1727"/>
      <c r="K31" s="596"/>
    </row>
    <row r="32" spans="1:11" ht="12" customHeight="1" x14ac:dyDescent="0.2">
      <c r="A32" s="1912" t="s">
        <v>2046</v>
      </c>
      <c r="B32" s="1913">
        <v>42191</v>
      </c>
      <c r="C32" s="1914">
        <v>4770000</v>
      </c>
      <c r="D32" s="1728">
        <v>3</v>
      </c>
      <c r="E32" s="1727">
        <v>4770000</v>
      </c>
      <c r="F32" s="1727"/>
      <c r="G32" s="1727"/>
      <c r="H32" s="1727"/>
      <c r="I32" s="1729">
        <f>((E32+F32)-H32)+G32</f>
        <v>4770000</v>
      </c>
      <c r="J32" s="1727">
        <v>4535114</v>
      </c>
      <c r="K32" s="596"/>
    </row>
    <row r="33" spans="1:11" ht="12" customHeight="1" x14ac:dyDescent="0.2">
      <c r="A33" s="1912" t="s">
        <v>2047</v>
      </c>
      <c r="B33" s="1913">
        <v>43034</v>
      </c>
      <c r="C33" s="1914"/>
      <c r="D33" s="1728">
        <v>7</v>
      </c>
      <c r="E33" s="1727">
        <v>42613</v>
      </c>
      <c r="F33" s="1727"/>
      <c r="G33" s="1727"/>
      <c r="H33" s="1727">
        <v>28267</v>
      </c>
      <c r="I33" s="1729">
        <f t="shared" ref="I33:I48" si="1">((E33+F33)-H33)+G33</f>
        <v>14346</v>
      </c>
      <c r="J33" s="1727">
        <v>14346</v>
      </c>
      <c r="K33" s="596"/>
    </row>
    <row r="34" spans="1:11" ht="12" customHeight="1" x14ac:dyDescent="0.2">
      <c r="A34" s="1912" t="s">
        <v>2047</v>
      </c>
      <c r="B34" s="1913">
        <v>42758</v>
      </c>
      <c r="C34" s="1915"/>
      <c r="D34" s="1728">
        <v>7</v>
      </c>
      <c r="E34" s="1727">
        <v>11158</v>
      </c>
      <c r="F34" s="1727"/>
      <c r="G34" s="1727"/>
      <c r="H34" s="1727">
        <v>11158</v>
      </c>
      <c r="I34" s="1729">
        <f t="shared" si="1"/>
        <v>0</v>
      </c>
      <c r="J34" s="1727"/>
      <c r="K34" s="597"/>
    </row>
    <row r="35" spans="1:11" ht="12" customHeight="1" x14ac:dyDescent="0.2">
      <c r="A35" s="1912"/>
      <c r="B35" s="1913"/>
      <c r="C35" s="1914"/>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5232359</v>
      </c>
      <c r="D49" s="1735"/>
      <c r="E49" s="1729">
        <f t="shared" ref="E49:J49" si="2">SUM(E31:E48)</f>
        <v>5023323</v>
      </c>
      <c r="F49" s="1729">
        <f t="shared" si="2"/>
        <v>0</v>
      </c>
      <c r="G49" s="1729">
        <f t="shared" si="2"/>
        <v>0</v>
      </c>
      <c r="H49" s="1729">
        <f t="shared" si="2"/>
        <v>238977</v>
      </c>
      <c r="I49" s="1729">
        <f t="shared" si="2"/>
        <v>4784346</v>
      </c>
      <c r="J49" s="1729">
        <f t="shared" si="2"/>
        <v>4549460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c r="G52" s="2311"/>
      <c r="H52" s="596"/>
      <c r="I52" s="596"/>
      <c r="J52" s="600"/>
    </row>
    <row r="53" spans="1:11" ht="11.25" customHeight="1" x14ac:dyDescent="0.2">
      <c r="A53" s="604" t="s">
        <v>907</v>
      </c>
      <c r="B53" s="605" t="s">
        <v>945</v>
      </c>
      <c r="C53" s="600"/>
      <c r="D53" s="597"/>
      <c r="E53" s="603" t="s">
        <v>494</v>
      </c>
      <c r="F53" s="2312"/>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91"/>
      <c r="I1" s="614"/>
      <c r="J1" s="400"/>
    </row>
    <row r="2" spans="1:11" ht="26.25" x14ac:dyDescent="0.2">
      <c r="A2" s="2321" t="s">
        <v>1661</v>
      </c>
      <c r="B2" s="2322"/>
      <c r="C2" s="2322"/>
      <c r="D2" s="2322"/>
      <c r="E2" s="2323"/>
      <c r="F2" s="615" t="s">
        <v>898</v>
      </c>
      <c r="G2" s="616" t="s">
        <v>1658</v>
      </c>
      <c r="H2" s="616" t="s">
        <v>407</v>
      </c>
      <c r="I2" s="616" t="s">
        <v>1150</v>
      </c>
      <c r="J2" s="616" t="s">
        <v>1792</v>
      </c>
      <c r="K2" s="616" t="s">
        <v>137</v>
      </c>
    </row>
    <row r="3" spans="1:11" x14ac:dyDescent="0.2">
      <c r="A3" s="2324" t="str">
        <f>"Cash Basis Fund Balance as of July 1, "&amp;'AFR20'!E2-1</f>
        <v>Cash Basis Fund Balance as of July 1, 2019</v>
      </c>
      <c r="B3" s="2325"/>
      <c r="C3" s="2325"/>
      <c r="D3" s="2325"/>
      <c r="E3" s="2326"/>
      <c r="F3" s="617"/>
      <c r="G3" s="1737"/>
      <c r="H3" s="1737"/>
      <c r="I3" s="1737"/>
      <c r="J3" s="1738"/>
      <c r="K3" s="1738"/>
    </row>
    <row r="4" spans="1:11" x14ac:dyDescent="0.2">
      <c r="A4" s="2327" t="s">
        <v>366</v>
      </c>
      <c r="B4" s="2328"/>
      <c r="C4" s="2328"/>
      <c r="D4" s="2328"/>
      <c r="E4" s="2309"/>
      <c r="F4" s="620"/>
      <c r="G4" s="1739"/>
      <c r="H4" s="1740"/>
      <c r="I4" s="1739"/>
      <c r="J4" s="1741"/>
      <c r="K4" s="1741"/>
    </row>
    <row r="5" spans="1:11" x14ac:dyDescent="0.2">
      <c r="A5" s="2347" t="s">
        <v>1062</v>
      </c>
      <c r="B5" s="2318"/>
      <c r="C5" s="2318"/>
      <c r="D5" s="2318"/>
      <c r="E5" s="2348"/>
      <c r="F5" s="622" t="s">
        <v>843</v>
      </c>
      <c r="G5" s="1742"/>
      <c r="H5" s="1737">
        <v>36220</v>
      </c>
      <c r="I5" s="1743"/>
      <c r="J5" s="1744"/>
      <c r="K5" s="1744"/>
    </row>
    <row r="6" spans="1:11" x14ac:dyDescent="0.2">
      <c r="A6" s="625" t="s">
        <v>715</v>
      </c>
      <c r="B6" s="626"/>
      <c r="C6" s="626"/>
      <c r="D6" s="626"/>
      <c r="E6" s="627"/>
      <c r="F6" s="628" t="s">
        <v>844</v>
      </c>
      <c r="G6" s="1737"/>
      <c r="H6" s="1737">
        <v>725</v>
      </c>
      <c r="I6" s="1737"/>
      <c r="J6" s="1738"/>
      <c r="K6" s="1738"/>
    </row>
    <row r="7" spans="1:11" x14ac:dyDescent="0.2">
      <c r="A7" s="629" t="s">
        <v>244</v>
      </c>
      <c r="B7" s="630"/>
      <c r="C7" s="630"/>
      <c r="D7" s="630"/>
      <c r="E7" s="631"/>
      <c r="F7" s="622" t="s">
        <v>845</v>
      </c>
      <c r="G7" s="1739"/>
      <c r="H7" s="1739"/>
      <c r="I7" s="1739"/>
      <c r="J7" s="1745"/>
      <c r="K7" s="1738">
        <v>12000</v>
      </c>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7544</v>
      </c>
    </row>
    <row r="10" spans="1:11" x14ac:dyDescent="0.2">
      <c r="A10" s="2347" t="s">
        <v>1793</v>
      </c>
      <c r="B10" s="2318"/>
      <c r="C10" s="2318"/>
      <c r="D10" s="2318"/>
      <c r="E10" s="2349"/>
      <c r="F10" s="633" t="s">
        <v>857</v>
      </c>
      <c r="G10" s="1746"/>
      <c r="H10" s="1747"/>
      <c r="I10" s="1737"/>
      <c r="J10" s="1738"/>
      <c r="K10" s="1738"/>
    </row>
    <row r="11" spans="1:11" x14ac:dyDescent="0.2">
      <c r="A11" s="2347" t="s">
        <v>159</v>
      </c>
      <c r="B11" s="2318"/>
      <c r="C11" s="2318"/>
      <c r="D11" s="2318"/>
      <c r="E11" s="2348"/>
      <c r="F11" s="622" t="s">
        <v>847</v>
      </c>
      <c r="G11" s="1742"/>
      <c r="H11" s="1737"/>
      <c r="I11" s="1737"/>
      <c r="J11" s="1738"/>
      <c r="K11" s="1744"/>
    </row>
    <row r="12" spans="1:11" ht="13.5" thickBot="1" x14ac:dyDescent="0.25">
      <c r="A12" s="2335" t="s">
        <v>899</v>
      </c>
      <c r="B12" s="2336"/>
      <c r="C12" s="2336"/>
      <c r="D12" s="2336"/>
      <c r="E12" s="2337"/>
      <c r="F12" s="1426"/>
      <c r="G12" s="1748">
        <f>SUM(G5:G11)</f>
        <v>0</v>
      </c>
      <c r="H12" s="1748">
        <f>SUM(H5:H11)</f>
        <v>36945</v>
      </c>
      <c r="I12" s="1748">
        <f>SUM(I5:I11)</f>
        <v>0</v>
      </c>
      <c r="J12" s="1748">
        <f>SUM(J5:J11)</f>
        <v>0</v>
      </c>
      <c r="K12" s="1748">
        <f>SUM(K5:K11)</f>
        <v>19544</v>
      </c>
    </row>
    <row r="13" spans="1:11" ht="13.5" thickTop="1" x14ac:dyDescent="0.2">
      <c r="A13" s="2329" t="s">
        <v>367</v>
      </c>
      <c r="B13" s="2330"/>
      <c r="C13" s="2330"/>
      <c r="D13" s="2330"/>
      <c r="E13" s="2331"/>
      <c r="F13" s="634"/>
      <c r="G13" s="1749"/>
      <c r="H13" s="1750"/>
      <c r="I13" s="1751"/>
      <c r="J13" s="1751"/>
      <c r="K13" s="1751"/>
    </row>
    <row r="14" spans="1:11" x14ac:dyDescent="0.2">
      <c r="A14" s="2353" t="s">
        <v>453</v>
      </c>
      <c r="B14" s="2353"/>
      <c r="C14" s="2353"/>
      <c r="D14" s="2353"/>
      <c r="E14" s="2354"/>
      <c r="F14" s="635" t="s">
        <v>849</v>
      </c>
      <c r="G14" s="1746"/>
      <c r="H14" s="1737">
        <v>36945</v>
      </c>
      <c r="I14" s="1742"/>
      <c r="J14" s="1744"/>
      <c r="K14" s="1738">
        <v>19544</v>
      </c>
    </row>
    <row r="15" spans="1:11" x14ac:dyDescent="0.2">
      <c r="A15" s="2318" t="s">
        <v>4</v>
      </c>
      <c r="B15" s="2318"/>
      <c r="C15" s="2318"/>
      <c r="D15" s="2318"/>
      <c r="E15" s="2348"/>
      <c r="F15" s="635" t="s">
        <v>850</v>
      </c>
      <c r="G15" s="1742"/>
      <c r="H15" s="1737"/>
      <c r="I15" s="1737"/>
      <c r="J15" s="1738"/>
      <c r="K15" s="1738"/>
    </row>
    <row r="16" spans="1:11" x14ac:dyDescent="0.2">
      <c r="A16" s="2318" t="s">
        <v>295</v>
      </c>
      <c r="B16" s="2318"/>
      <c r="C16" s="2318"/>
      <c r="D16" s="2318"/>
      <c r="E16" s="2348"/>
      <c r="F16" s="635" t="s">
        <v>917</v>
      </c>
      <c r="G16" s="1743"/>
      <c r="H16" s="1739"/>
      <c r="I16" s="1739"/>
      <c r="J16" s="1741"/>
      <c r="K16" s="1741"/>
    </row>
    <row r="17" spans="1:15" x14ac:dyDescent="0.2">
      <c r="A17" s="2342" t="s">
        <v>929</v>
      </c>
      <c r="B17" s="2342"/>
      <c r="C17" s="2342"/>
      <c r="D17" s="2342"/>
      <c r="E17" s="2343"/>
      <c r="F17" s="636"/>
      <c r="G17" s="1752"/>
      <c r="H17" s="1753"/>
      <c r="I17" s="1753"/>
      <c r="J17" s="1754"/>
      <c r="K17" s="1755"/>
    </row>
    <row r="18" spans="1:15" x14ac:dyDescent="0.2">
      <c r="A18" s="2332" t="s">
        <v>365</v>
      </c>
      <c r="B18" s="2333"/>
      <c r="C18" s="2333"/>
      <c r="D18" s="2333"/>
      <c r="E18" s="2334"/>
      <c r="F18" s="635" t="s">
        <v>926</v>
      </c>
      <c r="G18" s="1746"/>
      <c r="H18" s="1746"/>
      <c r="I18" s="1746"/>
      <c r="J18" s="1738"/>
      <c r="K18" s="1756"/>
    </row>
    <row r="19" spans="1:15" ht="21.75" customHeight="1" x14ac:dyDescent="0.2">
      <c r="A19" s="2355" t="s">
        <v>1789</v>
      </c>
      <c r="B19" s="2355"/>
      <c r="C19" s="2355"/>
      <c r="D19" s="2355"/>
      <c r="E19" s="2356"/>
      <c r="F19" s="635" t="s">
        <v>927</v>
      </c>
      <c r="G19" s="1746"/>
      <c r="H19" s="1746"/>
      <c r="I19" s="1746"/>
      <c r="J19" s="1738"/>
      <c r="K19" s="1756"/>
    </row>
    <row r="20" spans="1:15" x14ac:dyDescent="0.2">
      <c r="A20" s="2332" t="s">
        <v>1794</v>
      </c>
      <c r="B20" s="2333"/>
      <c r="C20" s="2333"/>
      <c r="D20" s="2333"/>
      <c r="E20" s="2334"/>
      <c r="F20" s="635" t="s">
        <v>928</v>
      </c>
      <c r="G20" s="1746"/>
      <c r="H20" s="1746"/>
      <c r="I20" s="1746"/>
      <c r="J20" s="1738"/>
      <c r="K20" s="1756"/>
    </row>
    <row r="21" spans="1:15" ht="13.5" thickBot="1" x14ac:dyDescent="0.25">
      <c r="A21" s="2338" t="s">
        <v>633</v>
      </c>
      <c r="B21" s="2338"/>
      <c r="C21" s="2338"/>
      <c r="D21" s="2338"/>
      <c r="E21" s="2338"/>
      <c r="F21" s="1427"/>
      <c r="G21" s="1753"/>
      <c r="H21" s="1757"/>
      <c r="I21" s="1757"/>
      <c r="J21" s="1758">
        <f>SUM(J18:J20)</f>
        <v>0</v>
      </c>
      <c r="K21" s="1754"/>
    </row>
    <row r="22" spans="1:15" ht="13.5" thickTop="1" x14ac:dyDescent="0.2">
      <c r="A22" s="2318" t="s">
        <v>1795</v>
      </c>
      <c r="B22" s="2318"/>
      <c r="C22" s="2318"/>
      <c r="D22" s="2318"/>
      <c r="E22" s="2348"/>
      <c r="F22" s="635" t="s">
        <v>857</v>
      </c>
      <c r="G22" s="1746"/>
      <c r="H22" s="1737"/>
      <c r="I22" s="1737"/>
      <c r="J22" s="1759"/>
      <c r="K22" s="1738"/>
    </row>
    <row r="23" spans="1:15" ht="13.5" thickBot="1" x14ac:dyDescent="0.25">
      <c r="A23" s="2339" t="s">
        <v>900</v>
      </c>
      <c r="B23" s="2338"/>
      <c r="C23" s="2338"/>
      <c r="D23" s="2338"/>
      <c r="E23" s="2338"/>
      <c r="F23" s="1429"/>
      <c r="G23" s="1748">
        <f>SUM(G14:G16,G21,G22)</f>
        <v>0</v>
      </c>
      <c r="H23" s="1748">
        <f>SUM(H14:H16,H21,H22)</f>
        <v>36945</v>
      </c>
      <c r="I23" s="1748">
        <f>SUM(I14:I16,I21,I22)</f>
        <v>0</v>
      </c>
      <c r="J23" s="1748">
        <f>SUM(J14:J16,J21,J22)</f>
        <v>0</v>
      </c>
      <c r="K23" s="1748">
        <f>SUM(K14:K16,K21,K22)</f>
        <v>19544</v>
      </c>
      <c r="M23" s="1839"/>
      <c r="N23" s="1839"/>
      <c r="O23" s="1839"/>
    </row>
    <row r="24" spans="1:15" ht="14.25" thickTop="1" thickBot="1" x14ac:dyDescent="0.25">
      <c r="A24" s="2340" t="str">
        <f>"Ending Cash Basis Fund Balance as of June 30, "&amp;'AFR20'!E2</f>
        <v>Ending Cash Basis Fund Balance as of June 30, 2020</v>
      </c>
      <c r="B24" s="2341"/>
      <c r="C24" s="2341"/>
      <c r="D24" s="2341"/>
      <c r="E24" s="2341"/>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1161</v>
      </c>
      <c r="B33" s="341"/>
      <c r="C33" s="341"/>
      <c r="D33" s="341"/>
      <c r="E33" s="341"/>
      <c r="F33" s="341"/>
      <c r="G33" s="653"/>
      <c r="H33" s="2352"/>
      <c r="I33" s="2351"/>
      <c r="J33" s="2351"/>
      <c r="K33" s="235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1878</v>
      </c>
      <c r="B1" s="2360"/>
      <c r="C1" s="2361"/>
      <c r="D1" s="666"/>
      <c r="E1" s="667"/>
      <c r="F1" s="667"/>
      <c r="G1" s="668"/>
      <c r="H1" s="669"/>
      <c r="I1" s="670"/>
      <c r="J1" s="2357"/>
      <c r="K1" s="2358"/>
      <c r="L1" s="2358"/>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77950</v>
      </c>
      <c r="D5" s="1763"/>
      <c r="E5" s="1763"/>
      <c r="F5" s="1758">
        <f>(C5+D5)-E5</f>
        <v>77950</v>
      </c>
      <c r="G5" s="676"/>
      <c r="H5" s="680"/>
      <c r="I5" s="680"/>
      <c r="J5" s="680"/>
      <c r="K5" s="637"/>
      <c r="L5" s="1435">
        <f>F5-K5</f>
        <v>77950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18821829</v>
      </c>
      <c r="D8" s="1764"/>
      <c r="E8" s="1764"/>
      <c r="F8" s="1758">
        <f>(C8+D8)-E8</f>
        <v>18821829</v>
      </c>
      <c r="G8" s="681">
        <v>50</v>
      </c>
      <c r="H8" s="619">
        <v>10062898</v>
      </c>
      <c r="I8" s="619">
        <v>324720</v>
      </c>
      <c r="J8" s="619"/>
      <c r="K8" s="1435">
        <f>(H8+I8)-J8</f>
        <v>10387618</v>
      </c>
      <c r="L8" s="1435">
        <f>F8-K8</f>
        <v>8434211</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4891824</v>
      </c>
      <c r="D10" s="1765">
        <v>179364</v>
      </c>
      <c r="E10" s="1765"/>
      <c r="F10" s="1766">
        <f>(C10+D10)-E10</f>
        <v>5071188</v>
      </c>
      <c r="G10" s="681">
        <v>20</v>
      </c>
      <c r="H10" s="683">
        <v>1193998</v>
      </c>
      <c r="I10" s="683">
        <v>240713</v>
      </c>
      <c r="J10" s="683"/>
      <c r="K10" s="1435">
        <f>(H10+I10)-J10</f>
        <v>1434711</v>
      </c>
      <c r="L10" s="1435">
        <f>F10-K10</f>
        <v>3636477</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1688147</v>
      </c>
      <c r="D12" s="1764">
        <v>170058</v>
      </c>
      <c r="E12" s="1764"/>
      <c r="F12" s="1758">
        <f>(C12+D12)-E12</f>
        <v>1858205</v>
      </c>
      <c r="G12" s="681">
        <v>10</v>
      </c>
      <c r="H12" s="619">
        <v>1586336</v>
      </c>
      <c r="I12" s="619">
        <v>54839</v>
      </c>
      <c r="J12" s="619"/>
      <c r="K12" s="1435">
        <f>(H12+I12)-J12</f>
        <v>1641175</v>
      </c>
      <c r="L12" s="1435">
        <f>F12-K12</f>
        <v>217030</v>
      </c>
    </row>
    <row r="13" spans="1:14" ht="14.25" thickTop="1" thickBot="1" x14ac:dyDescent="0.25">
      <c r="A13" s="684" t="s">
        <v>1114</v>
      </c>
      <c r="B13" s="679">
        <v>252</v>
      </c>
      <c r="C13" s="1764">
        <v>2076290</v>
      </c>
      <c r="D13" s="1764">
        <v>73858</v>
      </c>
      <c r="E13" s="1764"/>
      <c r="F13" s="1758">
        <f>(C13+D13)-E13</f>
        <v>2150148</v>
      </c>
      <c r="G13" s="681">
        <v>5</v>
      </c>
      <c r="H13" s="619">
        <v>2045659</v>
      </c>
      <c r="I13" s="619">
        <v>24983</v>
      </c>
      <c r="J13" s="619"/>
      <c r="K13" s="1435">
        <f>(H13+I13)-J13</f>
        <v>2070642</v>
      </c>
      <c r="L13" s="1435">
        <f>F13-K13</f>
        <v>79506</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27556040</v>
      </c>
      <c r="D16" s="1758">
        <f>SUM(D3,D5:D6,D8:D10,D12:D15)</f>
        <v>423280</v>
      </c>
      <c r="E16" s="1758">
        <f>SUM(E3,E5:E6,E8:E10,E12:E15)</f>
        <v>0</v>
      </c>
      <c r="F16" s="1758">
        <f>SUM(F3,F5:F6,F8:F10,F12:F15)</f>
        <v>27979320</v>
      </c>
      <c r="G16" s="681"/>
      <c r="H16" s="1428">
        <f>SUM(H3,H6,H8:H10,H12:H14,)</f>
        <v>14888891</v>
      </c>
      <c r="I16" s="1428">
        <f>SUM(I3,I6,I8:I10,I12:I14,)</f>
        <v>645255</v>
      </c>
      <c r="J16" s="1428">
        <f>SUM(J3,J6,J8:J10,J12:J14,)</f>
        <v>0</v>
      </c>
      <c r="K16" s="1428">
        <f>(H16+I16)-J16</f>
        <v>15534146</v>
      </c>
      <c r="L16" s="1428">
        <f>F16-K16</f>
        <v>12445174</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645255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57" activePane="bottomLeft" state="frozen"/>
      <selection activeCell="L31" sqref="L31"/>
      <selection pane="bottomLeft" activeCell="L31" sqref="L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1097</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6063858</v>
      </c>
      <c r="G8" s="701"/>
    </row>
    <row r="9" spans="1:9" x14ac:dyDescent="0.2">
      <c r="A9" s="705" t="s">
        <v>457</v>
      </c>
      <c r="B9" s="706" t="s">
        <v>1851</v>
      </c>
      <c r="C9" s="707"/>
      <c r="D9" s="705" t="s">
        <v>498</v>
      </c>
      <c r="E9" s="704"/>
      <c r="F9" s="1768">
        <f>'Expenditures 15-22'!K151</f>
        <v>730684</v>
      </c>
      <c r="G9" s="708"/>
    </row>
    <row r="10" spans="1:9" x14ac:dyDescent="0.2">
      <c r="A10" s="705" t="s">
        <v>496</v>
      </c>
      <c r="B10" s="706" t="s">
        <v>1852</v>
      </c>
      <c r="C10" s="707"/>
      <c r="D10" s="705" t="s">
        <v>498</v>
      </c>
      <c r="E10" s="704"/>
      <c r="F10" s="1768">
        <f>'Expenditures 15-22'!K174</f>
        <v>1091524</v>
      </c>
      <c r="G10" s="708"/>
    </row>
    <row r="11" spans="1:9" x14ac:dyDescent="0.2">
      <c r="A11" s="705" t="s">
        <v>458</v>
      </c>
      <c r="B11" s="706" t="s">
        <v>1853</v>
      </c>
      <c r="C11" s="707"/>
      <c r="D11" s="705" t="s">
        <v>498</v>
      </c>
      <c r="E11" s="704"/>
      <c r="F11" s="1768">
        <f>'Expenditures 15-22'!K210</f>
        <v>625624</v>
      </c>
      <c r="G11" s="708"/>
    </row>
    <row r="12" spans="1:9" x14ac:dyDescent="0.2">
      <c r="A12" s="705" t="s">
        <v>459</v>
      </c>
      <c r="B12" s="706" t="s">
        <v>1854</v>
      </c>
      <c r="C12" s="707"/>
      <c r="D12" s="705" t="s">
        <v>498</v>
      </c>
      <c r="E12" s="704"/>
      <c r="F12" s="1768">
        <f>'Expenditures 15-22'!K295</f>
        <v>151943</v>
      </c>
      <c r="G12" s="708"/>
    </row>
    <row r="13" spans="1:9" x14ac:dyDescent="0.2">
      <c r="A13" s="705" t="s">
        <v>106</v>
      </c>
      <c r="B13" s="706" t="s">
        <v>1855</v>
      </c>
      <c r="C13" s="707"/>
      <c r="D13" s="705" t="s">
        <v>498</v>
      </c>
      <c r="E13" s="704"/>
      <c r="F13" s="1768">
        <f>'Expenditures 15-22'!K342</f>
        <v>781318</v>
      </c>
      <c r="G13" s="709"/>
    </row>
    <row r="14" spans="1:9" ht="12" customHeight="1" thickBot="1" x14ac:dyDescent="0.25">
      <c r="A14" s="1436"/>
      <c r="B14" s="1437"/>
      <c r="C14" s="1438"/>
      <c r="D14" s="1439" t="s">
        <v>498</v>
      </c>
      <c r="E14" s="1440" t="s">
        <v>952</v>
      </c>
      <c r="F14" s="1769">
        <f>SUM(F8:F13)</f>
        <v>9444951</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6018</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16392</v>
      </c>
      <c r="G52" s="701"/>
    </row>
    <row r="53" spans="1:7" x14ac:dyDescent="0.2">
      <c r="A53" s="705" t="s">
        <v>456</v>
      </c>
      <c r="B53" s="705" t="s">
        <v>1461</v>
      </c>
      <c r="C53" s="724">
        <f>'Expenditures 15-22'!B102</f>
        <v>4000</v>
      </c>
      <c r="D53" s="723" t="str">
        <f>'Expenditures 15-22'!A102</f>
        <v>Total Payments to Other Govt Units</v>
      </c>
      <c r="E53" s="704"/>
      <c r="F53" s="1775">
        <f>'Expenditures 15-22'!K102</f>
        <v>419362</v>
      </c>
      <c r="G53" s="701"/>
    </row>
    <row r="54" spans="1:7" x14ac:dyDescent="0.2">
      <c r="A54" s="705" t="s">
        <v>456</v>
      </c>
      <c r="B54" s="705" t="s">
        <v>1462</v>
      </c>
      <c r="C54" s="724" t="s">
        <v>975</v>
      </c>
      <c r="D54" s="720" t="s">
        <v>1088</v>
      </c>
      <c r="E54" s="704"/>
      <c r="F54" s="1775">
        <f>'Expenditures 15-22'!G114</f>
        <v>44982</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11512</v>
      </c>
      <c r="G57" s="701"/>
    </row>
    <row r="58" spans="1:7" x14ac:dyDescent="0.2">
      <c r="A58" s="705" t="s">
        <v>457</v>
      </c>
      <c r="B58" s="705" t="s">
        <v>1857</v>
      </c>
      <c r="C58" s="721" t="s">
        <v>975</v>
      </c>
      <c r="D58" s="720" t="s">
        <v>1088</v>
      </c>
      <c r="E58" s="704"/>
      <c r="F58" s="1777">
        <f>'Expenditures 15-22'!G151</f>
        <v>235612</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199552</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73858</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1007288</v>
      </c>
      <c r="G77" s="701"/>
    </row>
    <row r="78" spans="1:9" s="728" customFormat="1" ht="12" customHeight="1" thickTop="1" thickBot="1" x14ac:dyDescent="0.25">
      <c r="A78" s="1443"/>
      <c r="B78" s="1441"/>
      <c r="C78" s="1438"/>
      <c r="D78" s="1442" t="s">
        <v>2015</v>
      </c>
      <c r="E78" s="1440"/>
      <c r="F78" s="1781">
        <f>(F14-F77)</f>
        <v>8437663</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751.3</v>
      </c>
      <c r="G79" s="733"/>
      <c r="H79" s="705"/>
      <c r="I79" s="705"/>
    </row>
    <row r="80" spans="1:9" s="728" customFormat="1" ht="12" customHeight="1" thickBot="1" x14ac:dyDescent="0.25">
      <c r="A80" s="1445"/>
      <c r="B80" s="1441"/>
      <c r="C80" s="1438"/>
      <c r="D80" s="1442" t="s">
        <v>2016</v>
      </c>
      <c r="E80" s="1440" t="s">
        <v>952</v>
      </c>
      <c r="F80" s="1783">
        <f>IF(F79&gt;0,F78/F79," Complete Line 79")</f>
        <v>11230.750698788766</v>
      </c>
      <c r="G80" s="705"/>
    </row>
    <row r="81" spans="1:7" s="728" customFormat="1" ht="8.25" customHeight="1" thickTop="1" x14ac:dyDescent="0.2">
      <c r="A81" s="734"/>
      <c r="B81" s="705"/>
      <c r="C81" s="707"/>
      <c r="D81" s="735"/>
      <c r="E81" s="704"/>
      <c r="F81" s="1784"/>
      <c r="G81" s="705"/>
    </row>
    <row r="82" spans="1:7" s="728" customFormat="1" ht="12" thickBot="1" x14ac:dyDescent="0.25">
      <c r="A82" s="2362" t="s">
        <v>1098</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345</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145405</v>
      </c>
      <c r="G95" s="745"/>
    </row>
    <row r="96" spans="1:7" x14ac:dyDescent="0.2">
      <c r="A96" s="741" t="s">
        <v>139</v>
      </c>
      <c r="B96" s="741" t="s">
        <v>174</v>
      </c>
      <c r="C96" s="743">
        <v>1700</v>
      </c>
      <c r="D96" s="751" t="str">
        <f>'Revenues 9-14'!A82</f>
        <v>Total District/School Activity Income</v>
      </c>
      <c r="E96" s="739"/>
      <c r="F96" s="1786">
        <f>SUM('Revenues 9-14'!C82,'Revenues 9-14'!D82)</f>
        <v>64178</v>
      </c>
      <c r="G96" s="745"/>
    </row>
    <row r="97" spans="1:7" x14ac:dyDescent="0.2">
      <c r="A97" s="741" t="s">
        <v>456</v>
      </c>
      <c r="B97" s="741" t="s">
        <v>175</v>
      </c>
      <c r="C97" s="743">
        <f>'Revenues 9-14'!B84</f>
        <v>1811</v>
      </c>
      <c r="D97" s="744" t="str">
        <f>'Revenues 9-14'!A84</f>
        <v>Rentals - Regular Textbooks</v>
      </c>
      <c r="E97" s="739"/>
      <c r="F97" s="1786">
        <f>'Revenues 9-14'!C84</f>
        <v>90586</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9324</v>
      </c>
      <c r="G105" s="745"/>
    </row>
    <row r="106" spans="1:7" x14ac:dyDescent="0.2">
      <c r="A106" s="741" t="s">
        <v>500</v>
      </c>
      <c r="B106" s="741" t="s">
        <v>1913</v>
      </c>
      <c r="C106" s="746">
        <v>3100</v>
      </c>
      <c r="D106" s="752" t="str">
        <f>'Revenues 9-14'!A132</f>
        <v>Total Special Education</v>
      </c>
      <c r="E106" s="739"/>
      <c r="F106" s="1786">
        <f>SUM('Revenues 9-14'!C132:D132,'Revenues 9-14'!F132)</f>
        <v>91039</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24767</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1440</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7544</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394616</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118468</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154926</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9493</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23877</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54265</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6480</v>
      </c>
      <c r="G171" s="760"/>
    </row>
    <row r="172" spans="1:7" x14ac:dyDescent="0.2">
      <c r="A172" s="1522" t="s">
        <v>5</v>
      </c>
      <c r="B172" s="1523" t="s">
        <v>1888</v>
      </c>
      <c r="C172" s="1524">
        <v>3100</v>
      </c>
      <c r="D172" s="1525" t="s">
        <v>1890</v>
      </c>
      <c r="E172" s="739"/>
      <c r="F172" s="1787">
        <v>203610</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1400363</v>
      </c>
    </row>
    <row r="176" spans="1:7" ht="12" customHeight="1" x14ac:dyDescent="0.2">
      <c r="A176" s="1436"/>
      <c r="B176" s="1446"/>
      <c r="C176" s="1447"/>
      <c r="D176" s="1448" t="s">
        <v>2017</v>
      </c>
      <c r="E176" s="1449"/>
      <c r="F176" s="1786">
        <f>'PCTC-OEPP 27-28'!F78-F175</f>
        <v>7037300</v>
      </c>
    </row>
    <row r="177" spans="1:9" ht="12" customHeight="1" x14ac:dyDescent="0.2">
      <c r="A177" s="1436"/>
      <c r="B177" s="1446"/>
      <c r="C177" s="1447"/>
      <c r="D177" s="1448" t="s">
        <v>1797</v>
      </c>
      <c r="E177" s="1449"/>
      <c r="F177" s="1786">
        <f>'Cap Outlay Deprec 26'!I18</f>
        <v>645255</v>
      </c>
    </row>
    <row r="178" spans="1:9" ht="12" customHeight="1" x14ac:dyDescent="0.2">
      <c r="A178" s="1436"/>
      <c r="B178" s="1446"/>
      <c r="C178" s="1447"/>
      <c r="D178" s="1448" t="s">
        <v>2018</v>
      </c>
      <c r="E178" s="1449"/>
      <c r="F178" s="1786">
        <f>F176+F177</f>
        <v>7682555</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751.3</v>
      </c>
      <c r="G179" s="763"/>
      <c r="I179" s="701"/>
    </row>
    <row r="180" spans="1:9" ht="12" customHeight="1" thickBot="1" x14ac:dyDescent="0.25">
      <c r="A180" s="1436"/>
      <c r="B180" s="1450"/>
      <c r="C180" s="1447"/>
      <c r="D180" s="1448" t="s">
        <v>2020</v>
      </c>
      <c r="E180" s="1449" t="s">
        <v>1531</v>
      </c>
      <c r="F180" s="1791">
        <f>F178/F179</f>
        <v>10225.682150938374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topLeftCell="A17" zoomScaleNormal="100" workbookViewId="0">
      <selection activeCell="L31" sqref="L31"/>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3"/>
  </cols>
  <sheetData>
    <row r="1" spans="1:6" ht="15" customHeight="1" x14ac:dyDescent="0.25">
      <c r="A1" s="1850" t="s">
        <v>1810</v>
      </c>
      <c r="B1" s="1851"/>
      <c r="C1" s="1852"/>
      <c r="D1" s="1852"/>
      <c r="E1" s="1852"/>
      <c r="F1" s="1852"/>
    </row>
    <row r="2" spans="1:6" x14ac:dyDescent="0.25">
      <c r="A2" s="1854"/>
      <c r="B2" s="1855"/>
      <c r="C2" s="1901" t="s">
        <v>2006</v>
      </c>
      <c r="D2" s="1854"/>
      <c r="E2" s="1854"/>
      <c r="F2" s="1854"/>
    </row>
    <row r="3" spans="1:6" ht="5.25" customHeight="1" x14ac:dyDescent="0.25">
      <c r="A3" s="1856"/>
      <c r="B3" s="1857"/>
      <c r="C3" s="1856"/>
      <c r="D3" s="1856"/>
      <c r="E3" s="1856"/>
      <c r="F3" s="1856"/>
    </row>
    <row r="4" spans="1:6" ht="18.75" customHeight="1" x14ac:dyDescent="0.25">
      <c r="A4" s="2376" t="s">
        <v>1798</v>
      </c>
      <c r="B4" s="2377"/>
      <c r="C4" s="2377"/>
      <c r="D4" s="2377"/>
      <c r="E4" s="2377"/>
      <c r="F4" s="2378"/>
    </row>
    <row r="5" spans="1:6" x14ac:dyDescent="0.25">
      <c r="A5" s="2379"/>
      <c r="B5" s="2380"/>
      <c r="C5" s="2380"/>
      <c r="D5" s="2380"/>
      <c r="E5" s="2380"/>
      <c r="F5" s="2381"/>
    </row>
    <row r="6" spans="1:6" ht="18.75" x14ac:dyDescent="0.25">
      <c r="A6" s="1858" t="s">
        <v>1799</v>
      </c>
      <c r="B6" s="1859"/>
      <c r="C6" s="1860"/>
      <c r="D6" s="1860"/>
      <c r="E6" s="1860"/>
      <c r="F6" s="1861"/>
    </row>
    <row r="7" spans="1:6" ht="47.25" customHeight="1" x14ac:dyDescent="0.25">
      <c r="A7" s="2382" t="s">
        <v>1988</v>
      </c>
      <c r="B7" s="2383"/>
      <c r="C7" s="2383"/>
      <c r="D7" s="2383"/>
      <c r="E7" s="2383"/>
      <c r="F7" s="2384"/>
    </row>
    <row r="8" spans="1:6" ht="20.25" customHeight="1" x14ac:dyDescent="0.25">
      <c r="A8" s="1892" t="s">
        <v>1990</v>
      </c>
      <c r="B8" s="1893"/>
      <c r="C8" s="1893"/>
      <c r="D8" s="1893"/>
      <c r="E8" s="1862"/>
      <c r="F8" s="1863"/>
    </row>
    <row r="9" spans="1:6" ht="18" customHeight="1" x14ac:dyDescent="0.25">
      <c r="A9" s="1864" t="s">
        <v>1987</v>
      </c>
      <c r="B9" s="1866"/>
      <c r="C9" s="1866"/>
      <c r="D9" s="1866"/>
      <c r="E9" s="1862"/>
      <c r="F9" s="1863"/>
    </row>
    <row r="10" spans="1:6" ht="15.75" customHeight="1" x14ac:dyDescent="0.25">
      <c r="A10" s="2385" t="s">
        <v>1984</v>
      </c>
      <c r="B10" s="2386"/>
      <c r="C10" s="2386"/>
      <c r="D10" s="2386"/>
      <c r="E10" s="2386"/>
      <c r="F10" s="2387"/>
    </row>
    <row r="11" spans="1:6" ht="33" customHeight="1" x14ac:dyDescent="0.25">
      <c r="A11" s="2382" t="s">
        <v>1989</v>
      </c>
      <c r="B11" s="2383"/>
      <c r="C11" s="2383"/>
      <c r="D11" s="2383"/>
      <c r="E11" s="2383"/>
      <c r="F11" s="2384"/>
    </row>
    <row r="12" spans="1:6" ht="15" customHeight="1" x14ac:dyDescent="0.25">
      <c r="A12" s="1864" t="s">
        <v>1985</v>
      </c>
      <c r="B12" s="1865"/>
      <c r="C12" s="1866"/>
      <c r="D12" s="1866"/>
      <c r="E12" s="1866"/>
      <c r="F12" s="1867"/>
    </row>
    <row r="13" spans="1:6" ht="17.25" customHeight="1" x14ac:dyDescent="0.25">
      <c r="A13" s="2382" t="s">
        <v>1986</v>
      </c>
      <c r="B13" s="2383"/>
      <c r="C13" s="2383"/>
      <c r="D13" s="2383"/>
      <c r="E13" s="2383"/>
      <c r="F13" s="2384"/>
    </row>
    <row r="14" spans="1:6" ht="15" customHeight="1" x14ac:dyDescent="0.25">
      <c r="A14" s="1864" t="s">
        <v>1803</v>
      </c>
      <c r="B14" s="1865"/>
      <c r="C14" s="1866"/>
      <c r="D14" s="1866"/>
      <c r="E14" s="1866"/>
      <c r="F14" s="1867"/>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7" t="s">
        <v>1802</v>
      </c>
      <c r="C17" s="1872" t="s">
        <v>1800</v>
      </c>
      <c r="D17" s="1873">
        <v>500000</v>
      </c>
      <c r="E17" s="1873" t="str">
        <f>IF(D17&lt;25000,D17,"25,000")</f>
        <v>25,000</v>
      </c>
      <c r="F17" s="1874">
        <f>IF(D17&gt;=25000,(D17-E17),"0")</f>
        <v>475000</v>
      </c>
    </row>
    <row r="18" spans="1:7" x14ac:dyDescent="0.25">
      <c r="A18" s="1916" t="s">
        <v>2053</v>
      </c>
      <c r="B18" s="1898"/>
      <c r="C18" s="1917" t="s">
        <v>2054</v>
      </c>
      <c r="D18" s="1876">
        <v>0</v>
      </c>
      <c r="E18" s="1896">
        <v>0</v>
      </c>
      <c r="F18" s="1896" t="str">
        <f t="shared" ref="F18:F36" si="0">IF(D18&gt;=25000,(D18-E18),"0")</f>
        <v>0</v>
      </c>
      <c r="G18" s="1877"/>
    </row>
    <row r="19" spans="1:7" x14ac:dyDescent="0.25">
      <c r="A19" s="1878"/>
      <c r="B19" s="1898"/>
      <c r="C19" s="1875"/>
      <c r="D19" s="1876"/>
      <c r="E19" s="1896">
        <f t="shared" ref="E19:E36" si="1">IF(D19&lt;25000,D19,"25,000")</f>
        <v>0</v>
      </c>
      <c r="F19" s="1896" t="str">
        <f t="shared" si="0"/>
        <v>0</v>
      </c>
    </row>
    <row r="20" spans="1:7" x14ac:dyDescent="0.25">
      <c r="A20" s="1878"/>
      <c r="B20" s="1898"/>
      <c r="C20" s="1875"/>
      <c r="D20" s="1876"/>
      <c r="E20" s="1896">
        <f t="shared" si="1"/>
        <v>0</v>
      </c>
      <c r="F20" s="1896" t="str">
        <f t="shared" si="0"/>
        <v>0</v>
      </c>
    </row>
    <row r="21" spans="1:7" x14ac:dyDescent="0.25">
      <c r="A21" s="1878"/>
      <c r="B21" s="1898"/>
      <c r="C21" s="1875"/>
      <c r="D21" s="1876"/>
      <c r="E21" s="1896">
        <f t="shared" si="1"/>
        <v>0</v>
      </c>
      <c r="F21" s="1896" t="str">
        <f t="shared" si="0"/>
        <v>0</v>
      </c>
    </row>
    <row r="22" spans="1:7" x14ac:dyDescent="0.25">
      <c r="A22" s="1878"/>
      <c r="B22" s="1898"/>
      <c r="C22" s="1875"/>
      <c r="D22" s="1876"/>
      <c r="E22" s="1896">
        <f t="shared" si="1"/>
        <v>0</v>
      </c>
      <c r="F22" s="1896" t="str">
        <f t="shared" si="0"/>
        <v>0</v>
      </c>
    </row>
    <row r="23" spans="1:7" x14ac:dyDescent="0.25">
      <c r="A23" s="1878"/>
      <c r="B23" s="1898"/>
      <c r="C23" s="1875"/>
      <c r="D23" s="1876"/>
      <c r="E23" s="1896">
        <f t="shared" si="1"/>
        <v>0</v>
      </c>
      <c r="F23" s="1896" t="str">
        <f t="shared" si="0"/>
        <v>0</v>
      </c>
    </row>
    <row r="24" spans="1:7" x14ac:dyDescent="0.25">
      <c r="A24" s="1878"/>
      <c r="B24" s="1898"/>
      <c r="C24" s="1875"/>
      <c r="D24" s="1876"/>
      <c r="E24" s="1896">
        <f t="shared" si="1"/>
        <v>0</v>
      </c>
      <c r="F24" s="1896" t="str">
        <f t="shared" si="0"/>
        <v>0</v>
      </c>
    </row>
    <row r="25" spans="1:7" x14ac:dyDescent="0.25">
      <c r="A25" s="1878"/>
      <c r="B25" s="1898"/>
      <c r="C25" s="1875"/>
      <c r="D25" s="1876"/>
      <c r="E25" s="1896">
        <f t="shared" si="1"/>
        <v>0</v>
      </c>
      <c r="F25" s="1896" t="str">
        <f t="shared" si="0"/>
        <v>0</v>
      </c>
    </row>
    <row r="26" spans="1:7" x14ac:dyDescent="0.25">
      <c r="A26" s="1878"/>
      <c r="B26" s="1898"/>
      <c r="C26" s="1875"/>
      <c r="D26" s="1876"/>
      <c r="E26" s="1896">
        <f t="shared" si="1"/>
        <v>0</v>
      </c>
      <c r="F26" s="1896" t="str">
        <f t="shared" si="0"/>
        <v>0</v>
      </c>
    </row>
    <row r="27" spans="1:7" x14ac:dyDescent="0.25">
      <c r="A27" s="1878"/>
      <c r="B27" s="1898"/>
      <c r="C27" s="1879"/>
      <c r="D27" s="1876"/>
      <c r="E27" s="1896">
        <f t="shared" si="1"/>
        <v>0</v>
      </c>
      <c r="F27" s="1896" t="str">
        <f t="shared" si="0"/>
        <v>0</v>
      </c>
    </row>
    <row r="28" spans="1:7" x14ac:dyDescent="0.25">
      <c r="A28" s="1878"/>
      <c r="B28" s="1898"/>
      <c r="C28" s="1879"/>
      <c r="D28" s="1876"/>
      <c r="E28" s="1896">
        <f t="shared" si="1"/>
        <v>0</v>
      </c>
      <c r="F28" s="1896" t="str">
        <f t="shared" si="0"/>
        <v>0</v>
      </c>
    </row>
    <row r="29" spans="1:7" x14ac:dyDescent="0.25">
      <c r="A29" s="1878"/>
      <c r="B29" s="1898"/>
      <c r="C29" s="1879"/>
      <c r="D29" s="1876"/>
      <c r="E29" s="1896">
        <f t="shared" si="1"/>
        <v>0</v>
      </c>
      <c r="F29" s="1896" t="str">
        <f t="shared" si="0"/>
        <v>0</v>
      </c>
    </row>
    <row r="30" spans="1:7" x14ac:dyDescent="0.25">
      <c r="A30" s="1878"/>
      <c r="B30" s="1898"/>
      <c r="C30" s="1879"/>
      <c r="D30" s="1876"/>
      <c r="E30" s="1896">
        <f t="shared" si="1"/>
        <v>0</v>
      </c>
      <c r="F30" s="1896" t="str">
        <f t="shared" si="0"/>
        <v>0</v>
      </c>
    </row>
    <row r="31" spans="1:7" x14ac:dyDescent="0.25">
      <c r="A31" s="1878"/>
      <c r="B31" s="1898"/>
      <c r="C31" s="1879"/>
      <c r="D31" s="1876"/>
      <c r="E31" s="1896">
        <f t="shared" si="1"/>
        <v>0</v>
      </c>
      <c r="F31" s="1896" t="str">
        <f t="shared" si="0"/>
        <v>0</v>
      </c>
    </row>
    <row r="32" spans="1:7" x14ac:dyDescent="0.25">
      <c r="A32" s="1878"/>
      <c r="B32" s="1898"/>
      <c r="C32" s="1879"/>
      <c r="D32" s="1876"/>
      <c r="E32" s="1896">
        <f t="shared" si="1"/>
        <v>0</v>
      </c>
      <c r="F32" s="1896" t="str">
        <f t="shared" si="0"/>
        <v>0</v>
      </c>
    </row>
    <row r="33" spans="1:6" x14ac:dyDescent="0.25">
      <c r="A33" s="1878"/>
      <c r="B33" s="1898"/>
      <c r="C33" s="1879"/>
      <c r="D33" s="1876"/>
      <c r="E33" s="1896">
        <f t="shared" si="1"/>
        <v>0</v>
      </c>
      <c r="F33" s="1896" t="str">
        <f t="shared" si="0"/>
        <v>0</v>
      </c>
    </row>
    <row r="34" spans="1:6" x14ac:dyDescent="0.25">
      <c r="A34" s="1878"/>
      <c r="B34" s="1898"/>
      <c r="C34" s="1879"/>
      <c r="D34" s="1876"/>
      <c r="E34" s="1896">
        <f t="shared" si="1"/>
        <v>0</v>
      </c>
      <c r="F34" s="1896" t="str">
        <f t="shared" si="0"/>
        <v>0</v>
      </c>
    </row>
    <row r="35" spans="1:6" x14ac:dyDescent="0.25">
      <c r="A35" s="1878"/>
      <c r="B35" s="1898"/>
      <c r="C35" s="1879"/>
      <c r="D35" s="1876"/>
      <c r="E35" s="1896">
        <f t="shared" si="1"/>
        <v>0</v>
      </c>
      <c r="F35" s="1896" t="str">
        <f t="shared" si="0"/>
        <v>0</v>
      </c>
    </row>
    <row r="36" spans="1:6" x14ac:dyDescent="0.25">
      <c r="A36" s="1878"/>
      <c r="B36" s="1898"/>
      <c r="C36" s="1879"/>
      <c r="D36" s="1876"/>
      <c r="E36" s="1896">
        <f t="shared" si="1"/>
        <v>0</v>
      </c>
      <c r="F36" s="1896" t="str">
        <f t="shared" si="0"/>
        <v>0</v>
      </c>
    </row>
    <row r="37" spans="1:6" x14ac:dyDescent="0.25">
      <c r="A37" s="1878"/>
      <c r="B37" s="1899"/>
      <c r="C37" s="1879"/>
      <c r="D37" s="1876"/>
      <c r="E37" s="1896">
        <f t="shared" ref="E37" si="2">IF(D37&lt;25000,D37,"25,000")</f>
        <v>0</v>
      </c>
      <c r="F37" s="1896" t="str">
        <f t="shared" ref="F37" si="3">IF(D37&gt;=25000,(D37-E37),"0")</f>
        <v>0</v>
      </c>
    </row>
    <row r="38" spans="1:6" x14ac:dyDescent="0.25">
      <c r="A38" s="1880" t="s">
        <v>155</v>
      </c>
      <c r="B38" s="1900"/>
      <c r="C38" s="1881"/>
      <c r="D38" s="1882">
        <f>SUM(D18:D37)</f>
        <v>0</v>
      </c>
      <c r="E38" s="1883">
        <f>SUM(E18:E37)</f>
        <v>0</v>
      </c>
      <c r="F38" s="1884">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1663</v>
      </c>
      <c r="B5" s="2389"/>
      <c r="C5" s="2389"/>
      <c r="D5" s="2389"/>
      <c r="E5" s="2389"/>
      <c r="F5" s="2389"/>
      <c r="G5" s="2390"/>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794">
        <v>18924</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4328750</v>
      </c>
      <c r="F19" s="1795"/>
      <c r="G19" s="1797">
        <f>'Expenditures 15-22'!K33-SUM('Expenditures 15-22'!G33,'Expenditures 15-22'!I33)+'Expenditures 15-22'!D229</f>
        <v>4328750</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137409</v>
      </c>
      <c r="F21" s="1798"/>
      <c r="G21" s="1801">
        <f>'Expenditures 15-22'!K42-SUM('Expenditures 15-22'!G42,'Expenditures 15-22'!I42)+'Expenditures 15-22'!K120-SUM('Expenditures 15-22'!G120,'Expenditures 15-22'!I120)+'Expenditures 15-22'!K180-SUM('Expenditures 15-22'!G180,'Expenditures 15-22'!I180)+'Expenditures 15-22'!D238</f>
        <v>137409</v>
      </c>
      <c r="H21" s="817"/>
      <c r="I21" s="157"/>
    </row>
    <row r="22" spans="1:9" s="542" customFormat="1" ht="12" customHeight="1" x14ac:dyDescent="0.2">
      <c r="A22" s="824" t="s">
        <v>560</v>
      </c>
      <c r="B22" s="825"/>
      <c r="C22" s="823">
        <v>2200</v>
      </c>
      <c r="D22" s="1798"/>
      <c r="E22" s="1800">
        <f>'Expenditures 15-22'!K47-SUM('Expenditures 15-22'!G47,'Expenditures 15-22'!I47)+'Expenditures 15-22'!D243</f>
        <v>236612</v>
      </c>
      <c r="F22" s="1798"/>
      <c r="G22" s="1801">
        <f>'Expenditures 15-22'!K47-SUM('Expenditures 15-22'!G47,'Expenditures 15-22'!I47)+'Expenditures 15-22'!D243</f>
        <v>236612</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932404</v>
      </c>
      <c r="F23" s="1798"/>
      <c r="G23" s="1800">
        <f>'Expenditures 15-22'!K53-SUM('Expenditures 15-22'!G53,'Expenditures 15-22'!I53)+'Expenditures 15-22'!D257+'Expenditures 15-22'!K330-SUM('Expenditures 15-22'!G330,'Expenditures 15-22'!I330)</f>
        <v>932404</v>
      </c>
      <c r="H23" s="817"/>
      <c r="I23" s="157"/>
    </row>
    <row r="24" spans="1:9" s="542" customFormat="1" ht="12" customHeight="1" x14ac:dyDescent="0.2">
      <c r="A24" s="824" t="s">
        <v>562</v>
      </c>
      <c r="B24" s="825"/>
      <c r="C24" s="823">
        <v>2400</v>
      </c>
      <c r="D24" s="1798"/>
      <c r="E24" s="1800">
        <f>'Expenditures 15-22'!K57-SUM('Expenditures 15-22'!G57,'Expenditures 15-22'!I57)+'Expenditures 15-22'!D261</f>
        <v>310217</v>
      </c>
      <c r="F24" s="1798"/>
      <c r="G24" s="1801">
        <f>'Expenditures 15-22'!K57-SUM('Expenditures 15-22'!G57,'Expenditures 15-22'!I57)+'Expenditures 15-22'!D261</f>
        <v>310217</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1937</v>
      </c>
      <c r="E26" s="1800">
        <f>'Expenditures 15-22'!K122-SUM('Expenditures 15-22'!G122,'Expenditures 15-22'!I122)+E7</f>
        <v>25421</v>
      </c>
      <c r="F26" s="1800">
        <f>'Expenditures 15-22'!K59-SUM('Expenditures 15-22'!G59,'Expenditures 15-22'!I59)+'Expenditures 15-22'!D263-E7</f>
        <v>1937</v>
      </c>
      <c r="G26" s="1801">
        <f>'Expenditures 15-22'!K122-SUM('Expenditures 15-22'!G122,'Expenditures 15-22'!I122)+E7</f>
        <v>25421</v>
      </c>
      <c r="H26" s="817"/>
      <c r="I26" s="157"/>
    </row>
    <row r="27" spans="1:9" s="542" customFormat="1" ht="12" customHeight="1" x14ac:dyDescent="0.2">
      <c r="A27" s="824" t="s">
        <v>460</v>
      </c>
      <c r="B27" s="827"/>
      <c r="C27" s="823">
        <v>2520</v>
      </c>
      <c r="D27" s="1800">
        <f>'Expenditures 15-22'!K60-SUM('Expenditures 15-22'!G60,'Expenditures 15-22'!I60)+'Expenditures 15-22'!D264-E8</f>
        <v>92476</v>
      </c>
      <c r="E27" s="1800">
        <f>E8</f>
        <v>0</v>
      </c>
      <c r="F27" s="1800">
        <f>'Expenditures 15-22'!K60-SUM('Expenditures 15-22'!G60,'Expenditures 15-22'!I60)+'Expenditures 15-22'!D264-E8</f>
        <v>92476</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461090</v>
      </c>
      <c r="F28" s="1802">
        <f>'Expenditures 15-22'!K61-SUM('Expenditures 15-22'!G61,'Expenditures 15-22'!I61)+'Expenditures 15-22'!K124-SUM('Expenditures 15-22'!G124,'Expenditures 15-22'!I124)+'Expenditures 15-22'!D266-E9</f>
        <v>461090</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572483</v>
      </c>
      <c r="F29" s="1798"/>
      <c r="G29" s="1801">
        <f>'Expenditures 15-22'!K62-SUM('Expenditures 15-22'!G62,'Expenditures 15-22'!I62)+'Expenditures 15-22'!K125-SUM('Expenditures 15-22'!G125,'Expenditures 15-22'!I125)+'Expenditures 15-22'!K182-SUM('Expenditures 15-22'!G182,'Expenditures 15-22'!I182)+'Expenditures 15-22'!D267</f>
        <v>572483</v>
      </c>
      <c r="H29" s="815"/>
    </row>
    <row r="30" spans="1:9" ht="12" customHeight="1" x14ac:dyDescent="0.2">
      <c r="A30" s="824" t="s">
        <v>100</v>
      </c>
      <c r="B30" s="827"/>
      <c r="C30" s="823">
        <v>2560</v>
      </c>
      <c r="D30" s="1798"/>
      <c r="E30" s="1800">
        <f>'Expenditures 15-22'!K63-SUM('Expenditures 15-22'!G63,'Expenditures 15-22'!I63)+'Expenditures 15-22'!D268-E10</f>
        <v>392414</v>
      </c>
      <c r="F30" s="1798"/>
      <c r="G30" s="1800">
        <f>'Expenditures 15-22'!K63-SUM('Expenditures 15-22'!G63,'Expenditures 15-22'!I63)+'Expenditures 15-22'!D268-E10</f>
        <v>392414</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60407</v>
      </c>
      <c r="F35" s="1798"/>
      <c r="G35" s="1800">
        <f>'Expenditures 15-22'!K69-SUM('Expenditures 15-22'!G69,'Expenditures 15-22'!I69)+'Expenditures 15-22'!D274</f>
        <v>60407</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89</v>
      </c>
      <c r="F38" s="1798"/>
      <c r="G38" s="1800">
        <f>'Expenditures 15-22'!K73-SUM('Expenditures 15-22'!G73,'Expenditures 15-22'!I73)+'Expenditures 15-22'!K128-SUM('Expenditures 15-22'!G128,'Expenditures 15-22'!I128)+'Expenditures 15-22'!K183-SUM('Expenditures 15-22'!G183,'Expenditures 15-22'!I183)+'Expenditures 15-22'!D278</f>
        <v>89</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16392</v>
      </c>
      <c r="F39" s="1798"/>
      <c r="G39" s="1800">
        <f>'Expenditures 15-22'!K75-SUM('Expenditures 15-22'!G75,'Expenditures 15-22'!I75)+'Expenditures 15-22'!K130-SUM('Expenditures 15-22'!G130,'Expenditures 15-22'!I130)+'Expenditures 15-22'!K185-SUM('Expenditures 15-22'!G185,'Expenditures 15-22'!I185)+'Expenditures 15-22'!D280</f>
        <v>16392</v>
      </c>
    </row>
    <row r="40" spans="1:7" ht="12" customHeight="1" x14ac:dyDescent="0.2">
      <c r="A40" s="820" t="s">
        <v>1801</v>
      </c>
      <c r="B40" s="821"/>
      <c r="C40" s="823"/>
      <c r="D40" s="1798"/>
      <c r="E40" s="1802">
        <f>-'Contracts Paid in CY 29'!F38</f>
        <v>0</v>
      </c>
      <c r="F40" s="1798"/>
      <c r="G40" s="1802">
        <f>-'Contracts Paid in CY 29'!F38</f>
        <v>0</v>
      </c>
    </row>
    <row r="41" spans="1:7" ht="12" customHeight="1" x14ac:dyDescent="0.2">
      <c r="A41" s="828" t="s">
        <v>155</v>
      </c>
      <c r="B41" s="829"/>
      <c r="C41" s="830"/>
      <c r="D41" s="1802">
        <f>SUM(D19:D39)</f>
        <v>94413</v>
      </c>
      <c r="E41" s="1802">
        <f>SUM(E19:E40)</f>
        <v>7473688</v>
      </c>
      <c r="F41" s="1802">
        <f>SUM(F19:F39)</f>
        <v>555503</v>
      </c>
      <c r="G41" s="1802">
        <f>SUM(G19:G40)</f>
        <v>7012598</v>
      </c>
    </row>
    <row r="42" spans="1:7" x14ac:dyDescent="0.2">
      <c r="A42" s="817"/>
      <c r="B42" s="157"/>
      <c r="C42" s="831"/>
      <c r="D42" s="2391" t="s">
        <v>519</v>
      </c>
      <c r="E42" s="2392"/>
      <c r="F42" s="832" t="s">
        <v>520</v>
      </c>
      <c r="G42" s="833"/>
    </row>
    <row r="43" spans="1:7" ht="12" customHeight="1" x14ac:dyDescent="0.2">
      <c r="A43" s="817"/>
      <c r="B43" s="157"/>
      <c r="C43" s="831"/>
      <c r="D43" s="1451" t="s">
        <v>470</v>
      </c>
      <c r="E43" s="1803">
        <f>D41</f>
        <v>94413</v>
      </c>
      <c r="F43" s="1451" t="s">
        <v>470</v>
      </c>
      <c r="G43" s="1803">
        <f>F41</f>
        <v>555503</v>
      </c>
    </row>
    <row r="44" spans="1:7" ht="12" customHeight="1" x14ac:dyDescent="0.2">
      <c r="A44" s="817"/>
      <c r="B44" s="157"/>
      <c r="C44" s="831"/>
      <c r="D44" s="1451" t="s">
        <v>471</v>
      </c>
      <c r="E44" s="1803">
        <f>E41</f>
        <v>7473688</v>
      </c>
      <c r="F44" s="1451" t="s">
        <v>471</v>
      </c>
      <c r="G44" s="1803">
        <f>G41</f>
        <v>7012598</v>
      </c>
    </row>
    <row r="45" spans="1:7" ht="12" customHeight="1" x14ac:dyDescent="0.2">
      <c r="A45" s="817"/>
      <c r="B45" s="157"/>
      <c r="C45" s="157"/>
      <c r="D45" s="1452" t="s">
        <v>999</v>
      </c>
      <c r="E45" s="1804">
        <f>(E43/E44)</f>
        <v>1.2632718946790394E-2</v>
      </c>
      <c r="F45" s="1452" t="s">
        <v>999</v>
      </c>
      <c r="G45" s="1804">
        <f>(G43/G44)</f>
        <v>7.9215007048742847E-2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L31" sqref="L31"/>
      <selection pane="bottomLeft" activeCell="L31" sqref="L3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399" t="s">
        <v>1365</v>
      </c>
      <c r="B1" s="2399"/>
      <c r="C1" s="2399"/>
      <c r="D1" s="2399"/>
      <c r="E1" s="2399"/>
      <c r="F1" s="2399"/>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0" t="s">
        <v>1532</v>
      </c>
      <c r="B5" s="2401"/>
      <c r="C5" s="2402"/>
      <c r="D5" s="2402"/>
      <c r="E5" s="2402"/>
      <c r="F5" s="2402"/>
      <c r="G5" s="1500"/>
      <c r="L5" s="1500"/>
      <c r="M5" s="1848"/>
      <c r="N5" s="1848"/>
      <c r="O5" s="1848"/>
    </row>
    <row r="6" spans="1:15" ht="12" customHeight="1" x14ac:dyDescent="0.25">
      <c r="A6" s="1473"/>
      <c r="B6" s="1474"/>
      <c r="C6" s="2403" t="str">
        <f>COVER!A17</f>
        <v xml:space="preserve">   Forrestville Valley CUSD 221</v>
      </c>
      <c r="D6" s="2403"/>
      <c r="E6" s="2403"/>
      <c r="F6" s="1475"/>
      <c r="G6" s="1500"/>
      <c r="L6" s="1500"/>
      <c r="M6" s="1848"/>
      <c r="N6" s="1848"/>
      <c r="O6" s="1848"/>
    </row>
    <row r="7" spans="1:15" ht="11.25" customHeight="1" thickBot="1" x14ac:dyDescent="0.3">
      <c r="A7" s="1473"/>
      <c r="B7" s="1474"/>
      <c r="C7" s="2404">
        <f>COVER!A13</f>
        <v>47071221026</v>
      </c>
      <c r="D7" s="2404"/>
      <c r="E7" s="2404"/>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2030</v>
      </c>
      <c r="D26" s="1488" t="s">
        <v>2030</v>
      </c>
      <c r="E26" s="1491"/>
      <c r="F26" s="1490" t="s">
        <v>2043</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t="s">
        <v>2030</v>
      </c>
      <c r="D31" s="1488" t="s">
        <v>2030</v>
      </c>
      <c r="E31" s="1491"/>
      <c r="F31" s="1490" t="s">
        <v>2044</v>
      </c>
      <c r="G31" s="1500"/>
      <c r="H31" s="1500">
        <f t="shared" si="0"/>
        <v>5</v>
      </c>
      <c r="I31" s="1500">
        <f t="shared" si="1"/>
        <v>5</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10</v>
      </c>
      <c r="I34" s="1500">
        <f>SUM(I11:I32)</f>
        <v>10</v>
      </c>
      <c r="J34" s="1500">
        <f>SUM(J11:J32)</f>
        <v>0</v>
      </c>
      <c r="K34" s="1500">
        <f>SUM(H34:J34)</f>
        <v>20</v>
      </c>
      <c r="L34" s="1500"/>
      <c r="M34" s="1848"/>
      <c r="N34" s="1848"/>
      <c r="O34" s="1848"/>
    </row>
    <row r="35" spans="1:15" ht="12" customHeight="1" x14ac:dyDescent="0.2">
      <c r="A35" s="1493" t="s">
        <v>1378</v>
      </c>
      <c r="B35" s="1494"/>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495"/>
      <c r="B39" s="1495"/>
      <c r="C39" s="1495"/>
      <c r="D39" s="1495"/>
      <c r="E39" s="1495"/>
      <c r="F39" s="1495"/>
    </row>
    <row r="40" spans="1:15" s="1492" customFormat="1" ht="12" customHeight="1" x14ac:dyDescent="0.25">
      <c r="A40" s="1496" t="s">
        <v>1377</v>
      </c>
      <c r="B40" s="1497"/>
      <c r="C40" s="2413"/>
      <c r="D40" s="2413"/>
      <c r="E40" s="2413"/>
      <c r="F40" s="2414"/>
      <c r="H40" s="1501"/>
      <c r="I40" s="1501"/>
      <c r="J40" s="1501"/>
      <c r="K40" s="1501"/>
    </row>
    <row r="41" spans="1:15" s="1492" customFormat="1" ht="12" customHeight="1" x14ac:dyDescent="0.25">
      <c r="A41" s="2415"/>
      <c r="B41" s="2416"/>
      <c r="C41" s="2416"/>
      <c r="D41" s="2416"/>
      <c r="E41" s="2416"/>
      <c r="F41" s="2417"/>
      <c r="H41" s="1501"/>
      <c r="I41" s="1501"/>
      <c r="J41" s="1501"/>
      <c r="K41" s="1501"/>
    </row>
    <row r="42" spans="1:15" s="1492" customFormat="1" ht="12" customHeight="1" x14ac:dyDescent="0.25">
      <c r="A42" s="2415"/>
      <c r="B42" s="2416"/>
      <c r="C42" s="2416"/>
      <c r="D42" s="2416"/>
      <c r="E42" s="2416"/>
      <c r="F42" s="2417"/>
      <c r="H42" s="1501"/>
      <c r="I42" s="1501"/>
      <c r="J42" s="1501"/>
      <c r="K42" s="1501"/>
    </row>
    <row r="43" spans="1:15" s="1492" customFormat="1" ht="15" x14ac:dyDescent="0.25">
      <c r="A43" s="2407"/>
      <c r="B43" s="2408"/>
      <c r="C43" s="2408"/>
      <c r="D43" s="2408"/>
      <c r="E43" s="2408"/>
      <c r="F43" s="2409"/>
      <c r="H43" s="1501"/>
      <c r="I43" s="1501"/>
      <c r="J43" s="1501"/>
      <c r="K43" s="1501"/>
    </row>
    <row r="44" spans="1:15" s="1492" customFormat="1" ht="12" hidden="1" customHeight="1" x14ac:dyDescent="0.25">
      <c r="A44" s="2407"/>
      <c r="B44" s="2408"/>
      <c r="C44" s="2408"/>
      <c r="D44" s="2408"/>
      <c r="E44" s="2408"/>
      <c r="F44" s="240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951-6381-4479-A1DE-7577A1A06CA7}">
  <sheetPr>
    <pageSetUpPr fitToPage="1"/>
  </sheetPr>
  <dimension ref="A1:N72"/>
  <sheetViews>
    <sheetView showGridLines="0" topLeftCell="A19" zoomScaleNormal="100" workbookViewId="0">
      <selection activeCell="F15" sqref="F15"/>
    </sheetView>
  </sheetViews>
  <sheetFormatPr defaultRowHeight="15" x14ac:dyDescent="0.25"/>
  <cols>
    <col min="1" max="1" width="2.7109375" style="1924" customWidth="1"/>
    <col min="2" max="2" width="3" style="1924" customWidth="1"/>
    <col min="3" max="3" width="38" style="1924" customWidth="1"/>
    <col min="4" max="4" width="7.7109375" style="1924" customWidth="1"/>
    <col min="5" max="5" width="10.7109375" style="1924" customWidth="1"/>
    <col min="6" max="6" width="11" style="1924" customWidth="1"/>
    <col min="7" max="8" width="9.140625" style="1924"/>
    <col min="9" max="9" width="10.85546875" style="1924" customWidth="1"/>
    <col min="10" max="10" width="12.42578125" style="1924" customWidth="1"/>
    <col min="11" max="11" width="9.140625" style="1924"/>
    <col min="12" max="12" width="13.140625" style="1924" customWidth="1"/>
    <col min="13" max="13" width="9.140625" style="1924"/>
    <col min="14" max="14" width="17.85546875" style="1924" customWidth="1"/>
    <col min="15" max="16384" width="9.140625" style="1924"/>
  </cols>
  <sheetData>
    <row r="1" spans="1:14" x14ac:dyDescent="0.25">
      <c r="A1" s="1919"/>
      <c r="B1" s="1920"/>
      <c r="C1" s="1920"/>
      <c r="D1" s="1920"/>
      <c r="E1" s="1920"/>
      <c r="F1" s="1920"/>
      <c r="G1" s="1921" t="s">
        <v>402</v>
      </c>
      <c r="H1" s="1922"/>
      <c r="I1" s="1920"/>
      <c r="J1" s="1920"/>
      <c r="K1" s="1920"/>
      <c r="L1" s="1920"/>
      <c r="M1" s="1920"/>
      <c r="N1" s="1923"/>
    </row>
    <row r="2" spans="1:14" x14ac:dyDescent="0.25">
      <c r="A2" s="1925"/>
      <c r="B2" s="847"/>
      <c r="C2" s="847"/>
      <c r="D2" s="847"/>
      <c r="E2" s="847"/>
      <c r="F2" s="847"/>
      <c r="G2" s="1918" t="s">
        <v>2005</v>
      </c>
      <c r="H2" s="1926"/>
      <c r="I2" s="847"/>
      <c r="J2" s="847"/>
      <c r="K2" s="847"/>
      <c r="L2" s="847"/>
      <c r="M2" s="847"/>
      <c r="N2" s="1927"/>
    </row>
    <row r="3" spans="1:14" x14ac:dyDescent="0.25">
      <c r="A3" s="1925"/>
      <c r="B3" s="847"/>
      <c r="C3" s="847"/>
      <c r="D3" s="847"/>
      <c r="E3" s="847"/>
      <c r="F3" s="847"/>
      <c r="G3" s="1918" t="s">
        <v>403</v>
      </c>
      <c r="H3" s="847"/>
      <c r="I3" s="847"/>
      <c r="J3" s="847"/>
      <c r="K3" s="847"/>
      <c r="L3" s="847"/>
      <c r="M3" s="847"/>
      <c r="N3" s="1927"/>
    </row>
    <row r="4" spans="1:14" x14ac:dyDescent="0.25">
      <c r="A4" s="1925"/>
      <c r="B4" s="847"/>
      <c r="C4" s="847"/>
      <c r="D4" s="847"/>
      <c r="E4" s="847"/>
      <c r="F4" s="847"/>
      <c r="G4" s="1918" t="s">
        <v>863</v>
      </c>
      <c r="H4" s="847"/>
      <c r="I4" s="847"/>
      <c r="J4" s="847"/>
      <c r="K4" s="847"/>
      <c r="L4" s="847"/>
      <c r="M4" s="847"/>
      <c r="N4" s="1927"/>
    </row>
    <row r="5" spans="1:14" x14ac:dyDescent="0.25">
      <c r="A5" s="1925"/>
      <c r="B5" s="847"/>
      <c r="C5" s="847"/>
      <c r="D5" s="847"/>
      <c r="E5" s="847"/>
      <c r="F5" s="1918"/>
      <c r="G5" s="1918"/>
      <c r="H5" s="847"/>
      <c r="I5" s="847"/>
      <c r="J5" s="847"/>
      <c r="K5" s="847"/>
      <c r="L5" s="847"/>
      <c r="M5" s="847"/>
      <c r="N5" s="1927"/>
    </row>
    <row r="6" spans="1:14" x14ac:dyDescent="0.25">
      <c r="A6" s="1928" t="s">
        <v>667</v>
      </c>
      <c r="B6" s="1370"/>
      <c r="C6" s="1370"/>
      <c r="D6" s="1370"/>
      <c r="E6" s="1371"/>
      <c r="F6" s="1929"/>
      <c r="G6" s="1918"/>
      <c r="H6" s="847"/>
      <c r="I6" s="1930" t="s">
        <v>1021</v>
      </c>
      <c r="J6" s="2460" t="str">
        <f>COVER!A17</f>
        <v xml:space="preserve">   Forrestville Valley CUSD 221</v>
      </c>
      <c r="K6" s="2460"/>
      <c r="L6" s="2461"/>
      <c r="M6" s="847"/>
      <c r="N6" s="1927"/>
    </row>
    <row r="7" spans="1:14" x14ac:dyDescent="0.25">
      <c r="A7" s="2462" t="s">
        <v>864</v>
      </c>
      <c r="B7" s="2463"/>
      <c r="C7" s="2463"/>
      <c r="D7" s="2463"/>
      <c r="E7" s="2464"/>
      <c r="F7" s="1931"/>
      <c r="G7" s="847"/>
      <c r="H7" s="847"/>
      <c r="I7" s="1930" t="s">
        <v>369</v>
      </c>
      <c r="J7" s="2465">
        <f>COVER!A13</f>
        <v>47071221026</v>
      </c>
      <c r="K7" s="2465"/>
      <c r="L7" s="2465"/>
      <c r="M7" s="847"/>
      <c r="N7" s="1927"/>
    </row>
    <row r="8" spans="1:14" x14ac:dyDescent="0.25">
      <c r="A8" s="1932"/>
      <c r="B8" s="1933"/>
      <c r="C8" s="1933"/>
      <c r="D8" s="1933"/>
      <c r="E8" s="1934"/>
      <c r="F8" s="1935"/>
      <c r="G8" s="1936"/>
      <c r="H8" s="1936"/>
      <c r="I8" s="1936"/>
      <c r="J8" s="1936"/>
      <c r="K8" s="1936"/>
      <c r="L8" s="1936"/>
      <c r="M8" s="847"/>
      <c r="N8" s="1927"/>
    </row>
    <row r="9" spans="1:14" x14ac:dyDescent="0.25">
      <c r="A9" s="1937"/>
      <c r="B9" s="1938"/>
      <c r="C9" s="1938"/>
      <c r="D9" s="1939"/>
      <c r="E9" s="1940" t="s">
        <v>2055</v>
      </c>
      <c r="F9" s="1941"/>
      <c r="G9" s="1941"/>
      <c r="H9" s="1941"/>
      <c r="I9" s="1942" t="s">
        <v>2056</v>
      </c>
      <c r="J9" s="1941"/>
      <c r="K9" s="1941"/>
      <c r="L9" s="1943"/>
      <c r="M9" s="847"/>
      <c r="N9" s="1927"/>
    </row>
    <row r="10" spans="1:14" x14ac:dyDescent="0.25">
      <c r="A10" s="1925"/>
      <c r="B10" s="847"/>
      <c r="C10" s="1918"/>
      <c r="D10" s="1944"/>
      <c r="E10" s="1945" t="s">
        <v>422</v>
      </c>
      <c r="F10" s="1946" t="s">
        <v>423</v>
      </c>
      <c r="G10" s="1947" t="s">
        <v>429</v>
      </c>
      <c r="H10" s="1948"/>
      <c r="I10" s="1946" t="s">
        <v>422</v>
      </c>
      <c r="J10" s="1946" t="s">
        <v>423</v>
      </c>
      <c r="K10" s="1947" t="s">
        <v>429</v>
      </c>
      <c r="L10" s="1946"/>
      <c r="M10" s="847"/>
      <c r="N10" s="1927"/>
    </row>
    <row r="11" spans="1:14" ht="51" x14ac:dyDescent="0.25">
      <c r="A11" s="2466" t="s">
        <v>478</v>
      </c>
      <c r="B11" s="2467"/>
      <c r="C11" s="2468"/>
      <c r="D11" s="1949" t="s">
        <v>866</v>
      </c>
      <c r="E11" s="1949" t="s">
        <v>64</v>
      </c>
      <c r="F11" s="1949" t="s">
        <v>6</v>
      </c>
      <c r="G11" s="1950" t="s">
        <v>2057</v>
      </c>
      <c r="H11" s="1951" t="s">
        <v>155</v>
      </c>
      <c r="I11" s="1949" t="s">
        <v>64</v>
      </c>
      <c r="J11" s="1949" t="s">
        <v>6</v>
      </c>
      <c r="K11" s="1950" t="s">
        <v>2004</v>
      </c>
      <c r="L11" s="1951" t="s">
        <v>155</v>
      </c>
      <c r="M11" s="847"/>
      <c r="N11" s="1927"/>
    </row>
    <row r="12" spans="1:14" x14ac:dyDescent="0.25">
      <c r="A12" s="1952">
        <v>1</v>
      </c>
      <c r="B12" s="1953" t="s">
        <v>813</v>
      </c>
      <c r="C12" s="1954"/>
      <c r="D12" s="1955">
        <v>2320</v>
      </c>
      <c r="E12" s="1956">
        <f>'Expenditures 15-22'!K50</f>
        <v>87616</v>
      </c>
      <c r="F12" s="1957"/>
      <c r="G12" s="1958">
        <v>117551</v>
      </c>
      <c r="H12" s="1959">
        <f t="shared" ref="H12:H18" si="0">SUM(E12:G12)</f>
        <v>205167</v>
      </c>
      <c r="I12" s="1960">
        <v>109458</v>
      </c>
      <c r="J12" s="1957"/>
      <c r="K12" s="1960">
        <v>118871</v>
      </c>
      <c r="L12" s="1959">
        <f t="shared" ref="L12:L18" si="1">SUM(I12:K12)</f>
        <v>228329</v>
      </c>
      <c r="M12" s="847"/>
      <c r="N12" s="1927"/>
    </row>
    <row r="13" spans="1:14" x14ac:dyDescent="0.25">
      <c r="A13" s="1952">
        <v>2</v>
      </c>
      <c r="B13" s="1953" t="s">
        <v>42</v>
      </c>
      <c r="C13" s="1954"/>
      <c r="D13" s="1955">
        <v>2330</v>
      </c>
      <c r="E13" s="1956"/>
      <c r="F13" s="1957"/>
      <c r="G13" s="1958">
        <f>H68</f>
        <v>0</v>
      </c>
      <c r="H13" s="1959">
        <f t="shared" si="0"/>
        <v>0</v>
      </c>
      <c r="I13" s="1960"/>
      <c r="J13" s="1957"/>
      <c r="K13" s="1960"/>
      <c r="L13" s="1959">
        <f t="shared" si="1"/>
        <v>0</v>
      </c>
      <c r="M13" s="847"/>
      <c r="N13" s="1927"/>
    </row>
    <row r="14" spans="1:14" x14ac:dyDescent="0.25">
      <c r="A14" s="1952">
        <v>3</v>
      </c>
      <c r="B14" s="1953" t="s">
        <v>43</v>
      </c>
      <c r="C14" s="1954"/>
      <c r="D14" s="1961">
        <v>2490</v>
      </c>
      <c r="E14" s="1956">
        <f>'Expenditures 15-22'!K56</f>
        <v>28594</v>
      </c>
      <c r="F14" s="1957"/>
      <c r="G14" s="1958">
        <f>I68</f>
        <v>0</v>
      </c>
      <c r="H14" s="1959">
        <f t="shared" si="0"/>
        <v>28594</v>
      </c>
      <c r="I14" s="1960">
        <v>39361</v>
      </c>
      <c r="J14" s="1957"/>
      <c r="K14" s="1960"/>
      <c r="L14" s="1959">
        <f t="shared" si="1"/>
        <v>39361</v>
      </c>
      <c r="M14" s="847"/>
      <c r="N14" s="1927"/>
    </row>
    <row r="15" spans="1:14" x14ac:dyDescent="0.25">
      <c r="A15" s="1952">
        <v>4</v>
      </c>
      <c r="B15" s="1953" t="s">
        <v>1061</v>
      </c>
      <c r="C15" s="1954"/>
      <c r="D15" s="1955">
        <v>2510</v>
      </c>
      <c r="E15" s="1956"/>
      <c r="F15" s="1956">
        <f>'Expenditures 15-22'!K122</f>
        <v>25421</v>
      </c>
      <c r="G15" s="1958">
        <f>J68</f>
        <v>0</v>
      </c>
      <c r="H15" s="1959">
        <f t="shared" si="0"/>
        <v>25421</v>
      </c>
      <c r="I15" s="1960"/>
      <c r="J15" s="1960">
        <v>25956</v>
      </c>
      <c r="K15" s="1960"/>
      <c r="L15" s="1959">
        <f t="shared" si="1"/>
        <v>25956</v>
      </c>
      <c r="M15" s="847"/>
      <c r="N15" s="1927"/>
    </row>
    <row r="16" spans="1:14" x14ac:dyDescent="0.25">
      <c r="A16" s="1952">
        <v>5</v>
      </c>
      <c r="B16" s="1953" t="s">
        <v>101</v>
      </c>
      <c r="C16" s="1954"/>
      <c r="D16" s="1955">
        <v>2570</v>
      </c>
      <c r="E16" s="1956"/>
      <c r="F16" s="1957"/>
      <c r="G16" s="1958">
        <f>K68</f>
        <v>0</v>
      </c>
      <c r="H16" s="1959">
        <f t="shared" si="0"/>
        <v>0</v>
      </c>
      <c r="I16" s="1960"/>
      <c r="J16" s="1957"/>
      <c r="K16" s="1960"/>
      <c r="L16" s="1959">
        <f t="shared" si="1"/>
        <v>0</v>
      </c>
      <c r="M16" s="847"/>
      <c r="N16" s="1927"/>
    </row>
    <row r="17" spans="1:14" x14ac:dyDescent="0.25">
      <c r="A17" s="1952">
        <v>6</v>
      </c>
      <c r="B17" s="1953" t="s">
        <v>1053</v>
      </c>
      <c r="C17" s="1954"/>
      <c r="D17" s="1955">
        <v>2610</v>
      </c>
      <c r="E17" s="1956"/>
      <c r="F17" s="1957"/>
      <c r="G17" s="1958">
        <f>L68</f>
        <v>0</v>
      </c>
      <c r="H17" s="1959">
        <f t="shared" si="0"/>
        <v>0</v>
      </c>
      <c r="I17" s="1960"/>
      <c r="J17" s="1957"/>
      <c r="K17" s="1960"/>
      <c r="L17" s="1959">
        <f t="shared" si="1"/>
        <v>0</v>
      </c>
      <c r="M17" s="847"/>
      <c r="N17" s="1927"/>
    </row>
    <row r="18" spans="1:14" ht="28.5" customHeight="1" x14ac:dyDescent="0.25">
      <c r="A18" s="1962">
        <v>7</v>
      </c>
      <c r="B18" s="2469" t="s">
        <v>7</v>
      </c>
      <c r="C18" s="2469"/>
      <c r="D18" s="2470"/>
      <c r="E18" s="1960"/>
      <c r="F18" s="1960"/>
      <c r="G18" s="1960"/>
      <c r="H18" s="1959">
        <f t="shared" si="0"/>
        <v>0</v>
      </c>
      <c r="I18" s="1960"/>
      <c r="J18" s="1960"/>
      <c r="K18" s="1960"/>
      <c r="L18" s="1959">
        <f t="shared" si="1"/>
        <v>0</v>
      </c>
      <c r="M18" s="847"/>
      <c r="N18" s="1927"/>
    </row>
    <row r="19" spans="1:14" ht="15.75" thickBot="1" x14ac:dyDescent="0.3">
      <c r="A19" s="1952">
        <v>8</v>
      </c>
      <c r="B19" s="1963" t="s">
        <v>1153</v>
      </c>
      <c r="C19" s="847"/>
      <c r="D19" s="1964"/>
      <c r="E19" s="1965">
        <f t="shared" ref="E19:L19" si="2">SUM(E12:E17)-E18</f>
        <v>116210</v>
      </c>
      <c r="F19" s="1965">
        <f t="shared" si="2"/>
        <v>25421</v>
      </c>
      <c r="G19" s="1965">
        <f t="shared" ref="G19" si="3">SUM(G12:G17)-G18</f>
        <v>117551</v>
      </c>
      <c r="H19" s="1965">
        <f t="shared" si="2"/>
        <v>259182</v>
      </c>
      <c r="I19" s="1965">
        <f t="shared" si="2"/>
        <v>148819</v>
      </c>
      <c r="J19" s="1965">
        <f t="shared" si="2"/>
        <v>25956</v>
      </c>
      <c r="K19" s="1965">
        <f t="shared" si="2"/>
        <v>118871</v>
      </c>
      <c r="L19" s="1965">
        <f t="shared" si="2"/>
        <v>293646</v>
      </c>
      <c r="M19" s="847"/>
      <c r="N19" s="1927"/>
    </row>
    <row r="20" spans="1:14" ht="15.75" thickTop="1" x14ac:dyDescent="0.25">
      <c r="A20" s="1952">
        <v>9</v>
      </c>
      <c r="B20" s="2458" t="s">
        <v>2058</v>
      </c>
      <c r="C20" s="2458"/>
      <c r="D20" s="2459"/>
      <c r="E20" s="1966"/>
      <c r="F20" s="1966"/>
      <c r="G20" s="1966"/>
      <c r="H20" s="1966"/>
      <c r="I20" s="1966"/>
      <c r="J20" s="1966"/>
      <c r="K20" s="1966"/>
      <c r="L20" s="1967">
        <f>IF(AND(H19&gt;0,L19&gt;0),(((L19-H19)/H19)),"Enter Budget Data")</f>
        <v>0.13297219714332015</v>
      </c>
      <c r="M20" s="847"/>
      <c r="N20" s="1927"/>
    </row>
    <row r="21" spans="1:14" x14ac:dyDescent="0.25">
      <c r="A21" s="1968" t="s">
        <v>194</v>
      </c>
      <c r="B21" s="294" t="s">
        <v>2059</v>
      </c>
      <c r="C21" s="847"/>
      <c r="D21" s="1969"/>
      <c r="E21" s="1970"/>
      <c r="F21" s="1971"/>
      <c r="G21" s="1971"/>
      <c r="H21" s="1971"/>
      <c r="I21" s="1971"/>
      <c r="J21" s="1971"/>
      <c r="K21" s="1971"/>
      <c r="L21" s="1972"/>
      <c r="M21" s="847"/>
      <c r="N21" s="1927"/>
    </row>
    <row r="22" spans="1:14" x14ac:dyDescent="0.25">
      <c r="A22" s="1925"/>
      <c r="B22" s="1973"/>
      <c r="C22" s="847"/>
      <c r="D22" s="847"/>
      <c r="E22" s="847"/>
      <c r="F22" s="847"/>
      <c r="G22" s="847"/>
      <c r="H22" s="847"/>
      <c r="I22" s="847"/>
      <c r="J22" s="847"/>
      <c r="K22" s="847"/>
      <c r="L22" s="847"/>
      <c r="M22" s="847"/>
      <c r="N22" s="1927"/>
    </row>
    <row r="23" spans="1:14" x14ac:dyDescent="0.25">
      <c r="A23" s="1974" t="s">
        <v>132</v>
      </c>
      <c r="B23" s="1973"/>
      <c r="C23" s="847"/>
      <c r="D23" s="847"/>
      <c r="E23" s="847"/>
      <c r="F23" s="847"/>
      <c r="G23" s="847"/>
      <c r="H23" s="847"/>
      <c r="I23" s="847"/>
      <c r="J23" s="847"/>
      <c r="K23" s="847"/>
      <c r="L23" s="847"/>
      <c r="M23" s="847"/>
      <c r="N23" s="1927"/>
    </row>
    <row r="24" spans="1:14" x14ac:dyDescent="0.25">
      <c r="A24" s="1975" t="s">
        <v>2060</v>
      </c>
      <c r="B24" s="1976"/>
      <c r="C24" s="1977"/>
      <c r="D24" s="1977"/>
      <c r="E24" s="1977"/>
      <c r="F24" s="1977"/>
      <c r="G24" s="1977"/>
      <c r="H24" s="1977"/>
      <c r="I24" s="1977"/>
      <c r="J24" s="1977"/>
      <c r="K24" s="1977"/>
      <c r="L24" s="847"/>
      <c r="M24" s="847"/>
      <c r="N24" s="1927"/>
    </row>
    <row r="25" spans="1:14" x14ac:dyDescent="0.25">
      <c r="A25" s="1975" t="s">
        <v>2061</v>
      </c>
      <c r="B25" s="1976"/>
      <c r="C25" s="1977"/>
      <c r="D25" s="1977"/>
      <c r="E25" s="1977"/>
      <c r="F25" s="1977"/>
      <c r="G25" s="1977"/>
      <c r="H25" s="1977"/>
      <c r="I25" s="1977"/>
      <c r="J25" s="1977"/>
      <c r="K25" s="1977"/>
      <c r="L25" s="847"/>
      <c r="M25" s="847"/>
      <c r="N25" s="1927"/>
    </row>
    <row r="26" spans="1:14" x14ac:dyDescent="0.25">
      <c r="A26" s="1978"/>
      <c r="B26" s="1973"/>
      <c r="C26" s="847"/>
      <c r="D26" s="847"/>
      <c r="E26" s="847"/>
      <c r="F26" s="847"/>
      <c r="G26" s="847"/>
      <c r="H26" s="847"/>
      <c r="I26" s="847"/>
      <c r="J26" s="847"/>
      <c r="K26" s="847"/>
      <c r="L26" s="847"/>
      <c r="M26" s="847"/>
      <c r="N26" s="1927"/>
    </row>
    <row r="27" spans="1:14" x14ac:dyDescent="0.25">
      <c r="A27" s="1925"/>
      <c r="B27" s="1973"/>
      <c r="C27" s="2444"/>
      <c r="D27" s="2444"/>
      <c r="E27" s="1979"/>
      <c r="F27" s="2445"/>
      <c r="G27" s="2445"/>
      <c r="H27" s="2445"/>
      <c r="I27" s="847"/>
      <c r="J27" s="847"/>
      <c r="K27" s="847"/>
      <c r="L27" s="847"/>
      <c r="M27" s="847"/>
      <c r="N27" s="1927"/>
    </row>
    <row r="28" spans="1:14" x14ac:dyDescent="0.25">
      <c r="A28" s="1925"/>
      <c r="B28" s="1973"/>
      <c r="C28" s="1980" t="s">
        <v>1026</v>
      </c>
      <c r="D28" s="1981"/>
      <c r="E28" s="1982"/>
      <c r="F28" s="2446" t="s">
        <v>1495</v>
      </c>
      <c r="G28" s="2446"/>
      <c r="H28" s="2446"/>
      <c r="I28" s="847"/>
      <c r="J28" s="847"/>
      <c r="K28" s="847"/>
      <c r="L28" s="847"/>
      <c r="M28" s="847"/>
      <c r="N28" s="1927"/>
    </row>
    <row r="29" spans="1:14" x14ac:dyDescent="0.25">
      <c r="A29" s="1925"/>
      <c r="B29" s="1973"/>
      <c r="C29" s="2447"/>
      <c r="D29" s="2447"/>
      <c r="E29" s="846"/>
      <c r="F29" s="2447"/>
      <c r="G29" s="2447"/>
      <c r="H29" s="2447"/>
      <c r="I29" s="847"/>
      <c r="J29" s="847"/>
      <c r="K29" s="847"/>
      <c r="L29" s="847"/>
      <c r="M29" s="847"/>
      <c r="N29" s="1927"/>
    </row>
    <row r="30" spans="1:14" x14ac:dyDescent="0.25">
      <c r="A30" s="1925"/>
      <c r="B30" s="1973"/>
      <c r="C30" s="1983" t="s">
        <v>1547</v>
      </c>
      <c r="D30" s="847"/>
      <c r="E30" s="1984"/>
      <c r="F30" s="2448" t="s">
        <v>1496</v>
      </c>
      <c r="G30" s="2448"/>
      <c r="H30" s="2448"/>
      <c r="I30" s="847"/>
      <c r="J30" s="847"/>
      <c r="K30" s="847"/>
      <c r="L30" s="847"/>
      <c r="M30" s="847"/>
      <c r="N30" s="1927"/>
    </row>
    <row r="31" spans="1:14" x14ac:dyDescent="0.25">
      <c r="A31" s="1925"/>
      <c r="B31" s="1973"/>
      <c r="C31" s="1985"/>
      <c r="D31" s="847"/>
      <c r="E31" s="1969"/>
      <c r="F31" s="1970"/>
      <c r="G31" s="1970"/>
      <c r="H31" s="1970"/>
      <c r="I31" s="847"/>
      <c r="J31" s="847"/>
      <c r="K31" s="847"/>
      <c r="L31" s="847"/>
      <c r="M31" s="847"/>
      <c r="N31" s="1927"/>
    </row>
    <row r="32" spans="1:14" x14ac:dyDescent="0.25">
      <c r="A32" s="1925"/>
      <c r="B32" s="1986" t="s">
        <v>1027</v>
      </c>
      <c r="C32" s="847"/>
      <c r="D32" s="847"/>
      <c r="E32" s="847"/>
      <c r="F32" s="847"/>
      <c r="G32" s="847"/>
      <c r="H32" s="847"/>
      <c r="I32" s="847"/>
      <c r="J32" s="847"/>
      <c r="K32" s="847"/>
      <c r="L32" s="847"/>
      <c r="M32" s="847"/>
      <c r="N32" s="1927"/>
    </row>
    <row r="33" spans="1:14" x14ac:dyDescent="0.25">
      <c r="A33" s="1925"/>
      <c r="B33" s="1987"/>
      <c r="C33" s="847"/>
      <c r="D33" s="847"/>
      <c r="E33" s="847"/>
      <c r="F33" s="847"/>
      <c r="G33" s="847"/>
      <c r="H33" s="847"/>
      <c r="I33" s="847"/>
      <c r="J33" s="847"/>
      <c r="K33" s="847"/>
      <c r="L33" s="847"/>
      <c r="M33" s="847"/>
      <c r="N33" s="1927"/>
    </row>
    <row r="34" spans="1:14" x14ac:dyDescent="0.25">
      <c r="A34" s="1925"/>
      <c r="B34" s="1988" t="s">
        <v>2030</v>
      </c>
      <c r="C34" s="2449" t="s">
        <v>2062</v>
      </c>
      <c r="D34" s="2449"/>
      <c r="E34" s="2449"/>
      <c r="F34" s="2449"/>
      <c r="G34" s="2449"/>
      <c r="H34" s="2449"/>
      <c r="I34" s="2449"/>
      <c r="J34" s="2449"/>
      <c r="K34" s="1989"/>
      <c r="L34" s="847"/>
      <c r="M34" s="847"/>
      <c r="N34" s="1927"/>
    </row>
    <row r="35" spans="1:14" x14ac:dyDescent="0.25">
      <c r="A35" s="1925"/>
      <c r="B35" s="847"/>
      <c r="C35" s="2449"/>
      <c r="D35" s="2449"/>
      <c r="E35" s="2449"/>
      <c r="F35" s="2449"/>
      <c r="G35" s="2449"/>
      <c r="H35" s="2449"/>
      <c r="I35" s="2449"/>
      <c r="J35" s="2449"/>
      <c r="K35" s="1989"/>
      <c r="L35" s="847"/>
      <c r="M35" s="847"/>
      <c r="N35" s="1927"/>
    </row>
    <row r="36" spans="1:14" x14ac:dyDescent="0.25">
      <c r="A36" s="1925"/>
      <c r="B36" s="847"/>
      <c r="C36" s="1990"/>
      <c r="D36" s="847"/>
      <c r="E36" s="847"/>
      <c r="F36" s="847"/>
      <c r="G36" s="847"/>
      <c r="H36" s="847"/>
      <c r="I36" s="847"/>
      <c r="J36" s="847"/>
      <c r="K36" s="847"/>
      <c r="L36" s="847"/>
      <c r="M36" s="847"/>
      <c r="N36" s="1927"/>
    </row>
    <row r="37" spans="1:14" x14ac:dyDescent="0.25">
      <c r="A37" s="1925"/>
      <c r="B37" s="1988"/>
      <c r="C37" s="2449" t="s">
        <v>2063</v>
      </c>
      <c r="D37" s="2449"/>
      <c r="E37" s="2449"/>
      <c r="F37" s="2449"/>
      <c r="G37" s="2449"/>
      <c r="H37" s="2449"/>
      <c r="I37" s="2449"/>
      <c r="J37" s="2449"/>
      <c r="K37" s="1989"/>
      <c r="L37" s="838"/>
      <c r="M37" s="847"/>
      <c r="N37" s="1927"/>
    </row>
    <row r="38" spans="1:14" x14ac:dyDescent="0.25">
      <c r="A38" s="1925"/>
      <c r="B38" s="847"/>
      <c r="C38" s="2449"/>
      <c r="D38" s="2449"/>
      <c r="E38" s="2449"/>
      <c r="F38" s="2449"/>
      <c r="G38" s="2449"/>
      <c r="H38" s="2449"/>
      <c r="I38" s="2449"/>
      <c r="J38" s="2449"/>
      <c r="K38" s="1989"/>
      <c r="L38" s="838"/>
      <c r="M38" s="847"/>
      <c r="N38" s="1927"/>
    </row>
    <row r="39" spans="1:14" x14ac:dyDescent="0.25">
      <c r="A39" s="1925"/>
      <c r="B39" s="847"/>
      <c r="C39" s="1990"/>
      <c r="D39" s="847"/>
      <c r="E39" s="1991"/>
      <c r="F39" s="1992"/>
      <c r="G39" s="1992"/>
      <c r="H39" s="1991"/>
      <c r="I39" s="847"/>
      <c r="J39" s="847"/>
      <c r="K39" s="847"/>
      <c r="L39" s="847"/>
      <c r="M39" s="847"/>
      <c r="N39" s="1927"/>
    </row>
    <row r="40" spans="1:14" x14ac:dyDescent="0.25">
      <c r="A40" s="1925"/>
      <c r="B40" s="1988"/>
      <c r="C40" s="2450" t="s">
        <v>2064</v>
      </c>
      <c r="D40" s="2451"/>
      <c r="E40" s="2451"/>
      <c r="F40" s="2451"/>
      <c r="G40" s="2451"/>
      <c r="H40" s="2451"/>
      <c r="I40" s="2451"/>
      <c r="J40" s="2451"/>
      <c r="K40" s="1993"/>
      <c r="L40" s="847"/>
      <c r="M40" s="847"/>
      <c r="N40" s="1927"/>
    </row>
    <row r="41" spans="1:14" x14ac:dyDescent="0.25">
      <c r="A41" s="1925"/>
      <c r="B41" s="847"/>
      <c r="C41" s="839"/>
      <c r="D41" s="839"/>
      <c r="E41" s="839"/>
      <c r="F41" s="839"/>
      <c r="G41" s="839"/>
      <c r="H41" s="839"/>
      <c r="I41" s="839"/>
      <c r="J41" s="839"/>
      <c r="K41" s="839"/>
      <c r="L41" s="847"/>
      <c r="M41" s="847"/>
      <c r="N41" s="1927"/>
    </row>
    <row r="42" spans="1:14" ht="15.75" thickBot="1" x14ac:dyDescent="0.3">
      <c r="A42" s="1994"/>
      <c r="B42" s="1995"/>
      <c r="C42" s="1995"/>
      <c r="D42" s="1995"/>
      <c r="E42" s="1995"/>
      <c r="F42" s="1995"/>
      <c r="G42" s="1995"/>
      <c r="H42" s="1995"/>
      <c r="I42" s="1995"/>
      <c r="J42" s="1995"/>
      <c r="K42" s="1995"/>
      <c r="L42" s="1995"/>
      <c r="M42" s="1995"/>
      <c r="N42" s="1996"/>
    </row>
    <row r="43" spans="1:14" ht="27" thickBot="1" x14ac:dyDescent="0.45">
      <c r="A43" s="2452" t="s">
        <v>2065</v>
      </c>
      <c r="B43" s="2453"/>
      <c r="C43" s="2453"/>
      <c r="D43" s="2453"/>
      <c r="E43" s="2453"/>
      <c r="F43" s="2453"/>
      <c r="G43" s="2453"/>
      <c r="H43" s="2453"/>
      <c r="I43" s="2453"/>
      <c r="J43" s="2453"/>
      <c r="K43" s="2453"/>
      <c r="L43" s="2453"/>
      <c r="M43" s="2453"/>
      <c r="N43" s="2454"/>
    </row>
    <row r="44" spans="1:14" x14ac:dyDescent="0.25">
      <c r="A44" s="1997"/>
      <c r="B44" s="1998"/>
      <c r="C44" s="1998"/>
      <c r="D44" s="1998"/>
      <c r="E44" s="1998"/>
      <c r="F44" s="1998"/>
      <c r="G44" s="1998"/>
      <c r="H44" s="1998"/>
      <c r="I44" s="1998"/>
      <c r="J44" s="1998"/>
      <c r="K44" s="1998"/>
      <c r="L44" s="1998"/>
      <c r="M44" s="1998"/>
      <c r="N44" s="1999"/>
    </row>
    <row r="45" spans="1:14" x14ac:dyDescent="0.25">
      <c r="A45" s="1997" t="s">
        <v>2066</v>
      </c>
      <c r="B45" s="1998"/>
      <c r="C45" s="1998"/>
      <c r="D45" s="1998"/>
      <c r="E45" s="1998"/>
      <c r="F45" s="1998"/>
      <c r="G45" s="1998"/>
      <c r="H45" s="1998"/>
      <c r="I45" s="1998"/>
      <c r="J45" s="1998"/>
      <c r="K45" s="1998"/>
      <c r="L45" s="1998"/>
      <c r="M45" s="1998"/>
      <c r="N45" s="1999"/>
    </row>
    <row r="46" spans="1:14" x14ac:dyDescent="0.25">
      <c r="A46" s="2455" t="s">
        <v>2067</v>
      </c>
      <c r="B46" s="2456"/>
      <c r="C46" s="2456"/>
      <c r="D46" s="2456"/>
      <c r="E46" s="2456"/>
      <c r="F46" s="2456"/>
      <c r="G46" s="2456"/>
      <c r="H46" s="2456"/>
      <c r="I46" s="2456"/>
      <c r="J46" s="2456"/>
      <c r="K46" s="2456"/>
      <c r="L46" s="2456"/>
      <c r="M46" s="2456"/>
      <c r="N46" s="2457"/>
    </row>
    <row r="47" spans="1:14" x14ac:dyDescent="0.25">
      <c r="A47" s="2455"/>
      <c r="B47" s="2456"/>
      <c r="C47" s="2456"/>
      <c r="D47" s="2456"/>
      <c r="E47" s="2456"/>
      <c r="F47" s="2456"/>
      <c r="G47" s="2456"/>
      <c r="H47" s="2456"/>
      <c r="I47" s="2456"/>
      <c r="J47" s="2456"/>
      <c r="K47" s="2456"/>
      <c r="L47" s="2456"/>
      <c r="M47" s="2456"/>
      <c r="N47" s="2457"/>
    </row>
    <row r="48" spans="1:14" x14ac:dyDescent="0.25">
      <c r="A48" s="2000"/>
      <c r="B48" s="1998"/>
      <c r="C48" s="1998"/>
      <c r="D48" s="2001"/>
      <c r="E48" s="2001"/>
      <c r="F48" s="2001"/>
      <c r="G48" s="2001"/>
      <c r="H48" s="2001"/>
      <c r="I48" s="2001"/>
      <c r="J48" s="2001"/>
      <c r="K48" s="2001"/>
      <c r="L48" s="2001"/>
      <c r="M48" s="2001"/>
      <c r="N48" s="2002"/>
    </row>
    <row r="49" spans="1:14" ht="15.75" x14ac:dyDescent="0.25">
      <c r="A49" s="2003" t="s">
        <v>2068</v>
      </c>
      <c r="B49" s="2004"/>
      <c r="C49" s="2004"/>
      <c r="D49" s="2005"/>
      <c r="E49" s="2005"/>
      <c r="F49" s="2005"/>
      <c r="G49" s="2005"/>
      <c r="H49" s="2005"/>
      <c r="I49" s="2005"/>
      <c r="J49" s="2005"/>
      <c r="K49" s="2005"/>
      <c r="L49" s="2005"/>
      <c r="M49" s="2005"/>
      <c r="N49" s="2006"/>
    </row>
    <row r="50" spans="1:14" x14ac:dyDescent="0.25">
      <c r="A50" s="2003" t="s">
        <v>2069</v>
      </c>
      <c r="B50" s="1998"/>
      <c r="C50" s="1998"/>
      <c r="D50" s="1998"/>
      <c r="E50" s="1998"/>
      <c r="F50" s="1998"/>
      <c r="G50" s="1998"/>
      <c r="H50" s="1998"/>
      <c r="I50" s="1998"/>
      <c r="J50" s="1998"/>
      <c r="K50" s="1998"/>
      <c r="L50" s="1998"/>
      <c r="M50" s="1998"/>
      <c r="N50" s="1999"/>
    </row>
    <row r="51" spans="1:14" x14ac:dyDescent="0.25">
      <c r="A51" s="1997"/>
      <c r="B51" s="1998"/>
      <c r="C51" s="1998"/>
      <c r="D51" s="1998"/>
      <c r="E51" s="1998"/>
      <c r="F51" s="1998"/>
      <c r="G51" s="1998"/>
      <c r="H51" s="1998"/>
      <c r="I51" s="1998"/>
      <c r="J51" s="1998"/>
      <c r="K51" s="1998"/>
      <c r="L51" s="1998"/>
      <c r="M51" s="1998"/>
      <c r="N51" s="1999"/>
    </row>
    <row r="52" spans="1:14" x14ac:dyDescent="0.25">
      <c r="A52" s="1997"/>
      <c r="B52" s="1998"/>
      <c r="C52" s="1998"/>
      <c r="D52" s="1998"/>
      <c r="E52" s="1998"/>
      <c r="F52" s="1998"/>
      <c r="G52" s="1998"/>
      <c r="H52" s="1998"/>
      <c r="I52" s="1998"/>
      <c r="J52" s="1998"/>
      <c r="K52" s="1930" t="s">
        <v>1021</v>
      </c>
      <c r="L52" s="2442" t="str">
        <f>J6</f>
        <v xml:space="preserve">   Forrestville Valley CUSD 221</v>
      </c>
      <c r="M52" s="2442"/>
      <c r="N52" s="2443"/>
    </row>
    <row r="53" spans="1:14" x14ac:dyDescent="0.25">
      <c r="A53" s="1997"/>
      <c r="B53" s="1998"/>
      <c r="C53" s="1998"/>
      <c r="D53" s="1998"/>
      <c r="E53" s="1998"/>
      <c r="F53" s="1998"/>
      <c r="G53" s="1998"/>
      <c r="H53" s="1998"/>
      <c r="I53" s="1998"/>
      <c r="J53" s="1998"/>
      <c r="K53" s="1930" t="s">
        <v>369</v>
      </c>
      <c r="L53" s="2429">
        <f>J7</f>
        <v>47071221026</v>
      </c>
      <c r="M53" s="2429"/>
      <c r="N53" s="2430"/>
    </row>
    <row r="54" spans="1:14" ht="15.75" thickBot="1" x14ac:dyDescent="0.3">
      <c r="A54" s="1997"/>
      <c r="B54" s="1998"/>
      <c r="C54" s="1998"/>
      <c r="D54" s="1998"/>
      <c r="E54" s="1998"/>
      <c r="F54" s="1998"/>
      <c r="G54" s="1998"/>
      <c r="H54" s="1998"/>
      <c r="I54" s="1998"/>
      <c r="J54" s="1998"/>
      <c r="K54" s="1998"/>
      <c r="L54" s="1998"/>
      <c r="M54" s="1998"/>
      <c r="N54" s="1999"/>
    </row>
    <row r="55" spans="1:14" x14ac:dyDescent="0.25">
      <c r="A55" s="2431"/>
      <c r="B55" s="2432"/>
      <c r="C55" s="2432"/>
      <c r="D55" s="2007"/>
      <c r="E55" s="2007"/>
      <c r="F55" s="2007"/>
      <c r="G55" s="2433" t="s">
        <v>2070</v>
      </c>
      <c r="H55" s="2433"/>
      <c r="I55" s="2433"/>
      <c r="J55" s="2433"/>
      <c r="K55" s="2433"/>
      <c r="L55" s="2433"/>
      <c r="M55" s="2433"/>
      <c r="N55" s="2434"/>
    </row>
    <row r="56" spans="1:14" ht="64.5" x14ac:dyDescent="0.25">
      <c r="A56" s="2435" t="s">
        <v>2071</v>
      </c>
      <c r="B56" s="2436"/>
      <c r="C56" s="2437"/>
      <c r="D56" s="2008" t="s">
        <v>2072</v>
      </c>
      <c r="E56" s="2008" t="s">
        <v>2073</v>
      </c>
      <c r="F56" s="2009"/>
      <c r="G56" s="2008" t="s">
        <v>2074</v>
      </c>
      <c r="H56" s="2008" t="s">
        <v>2075</v>
      </c>
      <c r="I56" s="2008" t="s">
        <v>2076</v>
      </c>
      <c r="J56" s="2008" t="s">
        <v>2077</v>
      </c>
      <c r="K56" s="2008" t="s">
        <v>2078</v>
      </c>
      <c r="L56" s="2008" t="s">
        <v>2079</v>
      </c>
      <c r="M56" s="2008" t="s">
        <v>2080</v>
      </c>
      <c r="N56" s="2010" t="s">
        <v>2081</v>
      </c>
    </row>
    <row r="57" spans="1:14" ht="24" customHeight="1" x14ac:dyDescent="0.25">
      <c r="A57" s="2438" t="s">
        <v>296</v>
      </c>
      <c r="B57" s="2439"/>
      <c r="C57" s="2439"/>
      <c r="D57" s="2011">
        <v>2361</v>
      </c>
      <c r="E57" s="2012"/>
      <c r="F57" s="2013"/>
      <c r="G57" s="2014"/>
      <c r="H57" s="2015"/>
      <c r="I57" s="2015"/>
      <c r="J57" s="2015"/>
      <c r="K57" s="2015"/>
      <c r="L57" s="2015"/>
      <c r="M57" s="2015"/>
      <c r="N57" s="2016">
        <f>IF((SUM(G57:M57))=E57,SUM(G57:M57),"Column N does not agree with Column E")</f>
        <v>0</v>
      </c>
    </row>
    <row r="58" spans="1:14" ht="24.75" customHeight="1" x14ac:dyDescent="0.25">
      <c r="A58" s="2440" t="s">
        <v>2082</v>
      </c>
      <c r="B58" s="2441"/>
      <c r="C58" s="2441"/>
      <c r="D58" s="2017">
        <v>2362</v>
      </c>
      <c r="E58" s="2018"/>
      <c r="F58" s="2013"/>
      <c r="G58" s="2019"/>
      <c r="H58" s="2020"/>
      <c r="I58" s="2020"/>
      <c r="J58" s="2020"/>
      <c r="K58" s="2020"/>
      <c r="L58" s="2020"/>
      <c r="M58" s="2020"/>
      <c r="N58" s="2016">
        <f>IF((SUM(G58:M58))=E58,SUM(G58:M58),"Column N does not agree with Column E")</f>
        <v>0</v>
      </c>
    </row>
    <row r="59" spans="1:14" ht="24.75" customHeight="1" x14ac:dyDescent="0.25">
      <c r="A59" s="2422" t="s">
        <v>297</v>
      </c>
      <c r="B59" s="2423"/>
      <c r="C59" s="2423"/>
      <c r="D59" s="2017">
        <v>2363</v>
      </c>
      <c r="E59" s="2018"/>
      <c r="F59" s="2013"/>
      <c r="G59" s="2019"/>
      <c r="H59" s="2020"/>
      <c r="I59" s="2020"/>
      <c r="J59" s="2020"/>
      <c r="K59" s="2020"/>
      <c r="L59" s="2020"/>
      <c r="M59" s="2020"/>
      <c r="N59" s="2016">
        <f t="shared" ref="N59:N67" si="4">IF((SUM(G59:M59))=E59,SUM(G59:M59),"Column N does not agree with Column E")</f>
        <v>0</v>
      </c>
    </row>
    <row r="60" spans="1:14" ht="24.75" customHeight="1" x14ac:dyDescent="0.25">
      <c r="A60" s="2422" t="s">
        <v>236</v>
      </c>
      <c r="B60" s="2423"/>
      <c r="C60" s="2423"/>
      <c r="D60" s="2017">
        <v>2364</v>
      </c>
      <c r="E60" s="2018">
        <f>'Expenditures 15-22'!K322</f>
        <v>133073</v>
      </c>
      <c r="F60" s="2013"/>
      <c r="G60" s="2019"/>
      <c r="H60" s="2020"/>
      <c r="I60" s="2020"/>
      <c r="J60" s="2020"/>
      <c r="K60" s="2020"/>
      <c r="L60" s="2020"/>
      <c r="M60" s="2020">
        <v>133073</v>
      </c>
      <c r="N60" s="2016">
        <f t="shared" si="4"/>
        <v>133073</v>
      </c>
    </row>
    <row r="61" spans="1:14" ht="24.75" customHeight="1" x14ac:dyDescent="0.25">
      <c r="A61" s="2422" t="s">
        <v>697</v>
      </c>
      <c r="B61" s="2423"/>
      <c r="C61" s="2423"/>
      <c r="D61" s="2017">
        <v>2365</v>
      </c>
      <c r="E61" s="2018">
        <f>'Expenditures 15-22'!K323</f>
        <v>8558</v>
      </c>
      <c r="F61" s="2013"/>
      <c r="G61" s="2019"/>
      <c r="H61" s="2020"/>
      <c r="I61" s="2020"/>
      <c r="J61" s="2020"/>
      <c r="K61" s="2020"/>
      <c r="L61" s="2020"/>
      <c r="M61" s="2020">
        <v>8558</v>
      </c>
      <c r="N61" s="2016">
        <f t="shared" si="4"/>
        <v>8558</v>
      </c>
    </row>
    <row r="62" spans="1:14" ht="24.75" customHeight="1" x14ac:dyDescent="0.25">
      <c r="A62" s="2422" t="s">
        <v>237</v>
      </c>
      <c r="B62" s="2423"/>
      <c r="C62" s="2423"/>
      <c r="D62" s="2017">
        <v>2366</v>
      </c>
      <c r="E62" s="2018"/>
      <c r="F62" s="2013"/>
      <c r="G62" s="2019"/>
      <c r="H62" s="2020"/>
      <c r="I62" s="2020"/>
      <c r="J62" s="2020"/>
      <c r="K62" s="2020"/>
      <c r="L62" s="2020"/>
      <c r="M62" s="2020"/>
      <c r="N62" s="2016">
        <f t="shared" si="4"/>
        <v>0</v>
      </c>
    </row>
    <row r="63" spans="1:14" ht="24.75" customHeight="1" x14ac:dyDescent="0.25">
      <c r="A63" s="2440" t="s">
        <v>1022</v>
      </c>
      <c r="B63" s="2441"/>
      <c r="C63" s="2441"/>
      <c r="D63" s="2017">
        <v>2367</v>
      </c>
      <c r="E63" s="2018">
        <f>'Expenditures 15-22'!K325</f>
        <v>636282</v>
      </c>
      <c r="F63" s="2013"/>
      <c r="G63" s="2019">
        <v>117551</v>
      </c>
      <c r="H63" s="2020"/>
      <c r="I63" s="2020"/>
      <c r="J63" s="2020"/>
      <c r="K63" s="2020"/>
      <c r="L63" s="2020"/>
      <c r="M63" s="2020">
        <v>518731</v>
      </c>
      <c r="N63" s="2016">
        <f t="shared" si="4"/>
        <v>636282</v>
      </c>
    </row>
    <row r="64" spans="1:14" ht="24.75" customHeight="1" x14ac:dyDescent="0.25">
      <c r="A64" s="2422" t="s">
        <v>1023</v>
      </c>
      <c r="B64" s="2423"/>
      <c r="C64" s="2423"/>
      <c r="D64" s="2017">
        <v>2368</v>
      </c>
      <c r="E64" s="2018"/>
      <c r="F64" s="2013"/>
      <c r="G64" s="2019"/>
      <c r="H64" s="2020"/>
      <c r="I64" s="2020"/>
      <c r="J64" s="2020"/>
      <c r="K64" s="2020"/>
      <c r="L64" s="2020"/>
      <c r="M64" s="2020"/>
      <c r="N64" s="2016">
        <f t="shared" si="4"/>
        <v>0</v>
      </c>
    </row>
    <row r="65" spans="1:14" ht="24" customHeight="1" x14ac:dyDescent="0.25">
      <c r="A65" s="2422" t="s">
        <v>965</v>
      </c>
      <c r="B65" s="2423"/>
      <c r="C65" s="2423"/>
      <c r="D65" s="2017">
        <v>2369</v>
      </c>
      <c r="E65" s="2018">
        <f>'Expenditures 15-22'!K327</f>
        <v>3405</v>
      </c>
      <c r="F65" s="2013"/>
      <c r="G65" s="2019"/>
      <c r="H65" s="2020"/>
      <c r="I65" s="2020"/>
      <c r="J65" s="2020"/>
      <c r="K65" s="2020"/>
      <c r="L65" s="2020"/>
      <c r="M65" s="2020">
        <v>3405</v>
      </c>
      <c r="N65" s="2016">
        <f t="shared" si="4"/>
        <v>3405</v>
      </c>
    </row>
    <row r="66" spans="1:14" ht="24.75" customHeight="1" x14ac:dyDescent="0.25">
      <c r="A66" s="2422" t="s">
        <v>469</v>
      </c>
      <c r="B66" s="2423"/>
      <c r="C66" s="2423"/>
      <c r="D66" s="2017">
        <v>2371</v>
      </c>
      <c r="E66" s="2018"/>
      <c r="F66" s="2013"/>
      <c r="G66" s="2019"/>
      <c r="H66" s="2020"/>
      <c r="I66" s="2020"/>
      <c r="J66" s="2020"/>
      <c r="K66" s="2020"/>
      <c r="L66" s="2020"/>
      <c r="M66" s="2020"/>
      <c r="N66" s="2016">
        <f t="shared" si="4"/>
        <v>0</v>
      </c>
    </row>
    <row r="67" spans="1:14" ht="24.75" customHeight="1" x14ac:dyDescent="0.25">
      <c r="A67" s="2424" t="s">
        <v>2083</v>
      </c>
      <c r="B67" s="2425"/>
      <c r="C67" s="2425"/>
      <c r="D67" s="2021">
        <v>2372</v>
      </c>
      <c r="E67" s="2022"/>
      <c r="F67" s="2013"/>
      <c r="G67" s="2023"/>
      <c r="H67" s="2024"/>
      <c r="I67" s="2024"/>
      <c r="J67" s="2024"/>
      <c r="K67" s="2024"/>
      <c r="L67" s="2024"/>
      <c r="M67" s="2024"/>
      <c r="N67" s="2016">
        <f t="shared" si="4"/>
        <v>0</v>
      </c>
    </row>
    <row r="68" spans="1:14" x14ac:dyDescent="0.25">
      <c r="A68" s="2426" t="s">
        <v>1153</v>
      </c>
      <c r="B68" s="2427"/>
      <c r="C68" s="2427"/>
      <c r="D68" s="2007"/>
      <c r="E68" s="2025">
        <f>SUM(E57:E67)</f>
        <v>781318</v>
      </c>
      <c r="F68" s="2026"/>
      <c r="G68" s="2025">
        <f t="shared" ref="G68:N68" si="5">SUM(G57:G67)</f>
        <v>117551</v>
      </c>
      <c r="H68" s="2025">
        <f t="shared" si="5"/>
        <v>0</v>
      </c>
      <c r="I68" s="2025">
        <f t="shared" si="5"/>
        <v>0</v>
      </c>
      <c r="J68" s="2025">
        <f t="shared" si="5"/>
        <v>0</v>
      </c>
      <c r="K68" s="2025">
        <f t="shared" si="5"/>
        <v>0</v>
      </c>
      <c r="L68" s="2025">
        <f t="shared" si="5"/>
        <v>0</v>
      </c>
      <c r="M68" s="2025">
        <f t="shared" si="5"/>
        <v>663767</v>
      </c>
      <c r="N68" s="2027">
        <f t="shared" si="5"/>
        <v>781318</v>
      </c>
    </row>
    <row r="69" spans="1:14" x14ac:dyDescent="0.25">
      <c r="A69" s="2028"/>
      <c r="B69" s="2029"/>
      <c r="C69" s="2029"/>
      <c r="D69" s="2029"/>
      <c r="E69" s="2029"/>
      <c r="F69" s="2029"/>
      <c r="G69" s="2029"/>
      <c r="H69" s="2030" t="s">
        <v>2084</v>
      </c>
      <c r="I69" s="2029"/>
      <c r="J69" s="2029"/>
      <c r="K69" s="2029"/>
      <c r="L69" s="2030" t="s">
        <v>2085</v>
      </c>
      <c r="M69" s="2029"/>
      <c r="N69" s="2031"/>
    </row>
    <row r="70" spans="1:14" ht="46.5" customHeight="1" x14ac:dyDescent="0.25">
      <c r="A70" s="2032" t="s">
        <v>2086</v>
      </c>
      <c r="B70" s="2029"/>
      <c r="C70" s="2029"/>
      <c r="D70" s="2029"/>
      <c r="E70" s="2029"/>
      <c r="F70" s="2029"/>
      <c r="G70" s="2029"/>
      <c r="H70" s="2418" t="s">
        <v>2087</v>
      </c>
      <c r="I70" s="2418"/>
      <c r="J70" s="2418"/>
      <c r="K70" s="2029"/>
      <c r="L70" s="2418" t="s">
        <v>2088</v>
      </c>
      <c r="M70" s="2418"/>
      <c r="N70" s="2428"/>
    </row>
    <row r="71" spans="1:14" ht="42.75" customHeight="1" x14ac:dyDescent="0.25">
      <c r="A71" s="2028"/>
      <c r="B71" s="2029"/>
      <c r="C71" s="2029"/>
      <c r="D71" s="2029"/>
      <c r="E71" s="2029"/>
      <c r="F71" s="2029"/>
      <c r="G71" s="2029"/>
      <c r="H71" s="2418" t="s">
        <v>2089</v>
      </c>
      <c r="I71" s="2418"/>
      <c r="J71" s="2418"/>
      <c r="K71" s="2029"/>
      <c r="L71" s="2419" t="s">
        <v>2090</v>
      </c>
      <c r="M71" s="2419"/>
      <c r="N71" s="2420"/>
    </row>
    <row r="72" spans="1:14" ht="52.5" customHeight="1" thickBot="1" x14ac:dyDescent="0.3">
      <c r="A72" s="2033"/>
      <c r="B72" s="2034"/>
      <c r="C72" s="2034"/>
      <c r="D72" s="2034"/>
      <c r="E72" s="2034"/>
      <c r="F72" s="2034"/>
      <c r="G72" s="2034"/>
      <c r="H72" s="2421" t="s">
        <v>2091</v>
      </c>
      <c r="I72" s="2421"/>
      <c r="J72" s="2421"/>
      <c r="K72" s="2034"/>
      <c r="L72" s="2034"/>
      <c r="M72" s="2034"/>
      <c r="N72" s="203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DFAF6F8F-B51D-46FC-A3F0-F666C32BA89E}"/>
    <dataValidation allowBlank="1" showInputMessage="1" showErrorMessage="1" prompt="Link cell K328 from &quot;Expenditures 15-22&quot; tab" sqref="E66" xr:uid="{803148CC-3C45-410E-A9C6-B7AEB7556714}"/>
    <dataValidation allowBlank="1" showInputMessage="1" showErrorMessage="1" prompt="Link cell K327 from &quot;Expenditures 15-22&quot; tab" sqref="E65" xr:uid="{71F68B9D-84BE-402B-B969-9C76F7C3700D}"/>
    <dataValidation allowBlank="1" showInputMessage="1" showErrorMessage="1" prompt="Link cell K326 from &quot;Expenditures 15-22&quot; tab" sqref="E64" xr:uid="{49515BA9-E172-42B2-8B40-247DA821F17D}"/>
    <dataValidation allowBlank="1" showInputMessage="1" showErrorMessage="1" prompt="Link cell K325 from &quot;Expenditures 15-22&quot; tab" sqref="E63" xr:uid="{91EB0835-641D-49E5-98AE-85FA43AA9098}"/>
    <dataValidation allowBlank="1" showInputMessage="1" showErrorMessage="1" prompt="Link cell K324 from &quot;Expenditures 15-22&quot; tab" sqref="E62" xr:uid="{E30B305D-060E-4219-89DF-3F07B0D56A3F}"/>
    <dataValidation allowBlank="1" showInputMessage="1" showErrorMessage="1" prompt="Link cell K323 from &quot;Expenditures 15-22&quot; tab" sqref="E61" xr:uid="{965F3363-6D88-4147-85ED-99172308B0C4}"/>
    <dataValidation allowBlank="1" showInputMessage="1" showErrorMessage="1" prompt="Link cell K322 from &quot;Expenditures 15-22&quot; tab" sqref="E60" xr:uid="{40BE3DB6-81DD-4500-B597-B9409F6D43CF}"/>
    <dataValidation allowBlank="1" showInputMessage="1" showErrorMessage="1" prompt="Link cell K321 from &quot;Expenditures 15-22&quot; tab" sqref="E59" xr:uid="{25A621F3-8AC1-48E8-B2BD-9510DF108D39}"/>
    <dataValidation allowBlank="1" showInputMessage="1" showErrorMessage="1" prompt="Link cell K320 from &quot;Expenditures 15-22&quot; tab" sqref="E58" xr:uid="{B8905FEF-A928-4383-ACB2-A9B914590882}"/>
    <dataValidation allowBlank="1" showInputMessage="1" showErrorMessage="1" prompt="Link cell K319 from &quot;Expenditures 15-22&quot; tab" sqref="E57" xr:uid="{8BBB60B0-1FC6-4C3C-AB63-31ECBF0E44F3}"/>
    <dataValidation allowBlank="1" showInputMessage="1" showErrorMessage="1" prompt="Link cell K122 from &quot;Expenditures 15-22&quot; tab" sqref="F15" xr:uid="{56C8529D-0967-4871-976C-FCE2D77A0FB9}"/>
    <dataValidation allowBlank="1" showInputMessage="1" showErrorMessage="1" prompt="Link cell K67 from &quot;Expenditures 15-22&quot; tab" sqref="E17" xr:uid="{49BB4BDB-BFCA-4D31-8D7B-8439F6D976CD}"/>
    <dataValidation allowBlank="1" showInputMessage="1" showErrorMessage="1" prompt="Link cell K64 from &quot;Expenditures 15-22&quot; tab" sqref="E16" xr:uid="{6BF5A9E0-30D7-46CB-AA52-5E2F9D2D08FF}"/>
    <dataValidation allowBlank="1" showInputMessage="1" showErrorMessage="1" prompt="Link cell K59 from &quot;Expenditures 15-22&quot; tab" sqref="E15" xr:uid="{282D2DD6-763F-478C-A503-B37F5FA6D3CF}"/>
    <dataValidation allowBlank="1" showInputMessage="1" showErrorMessage="1" prompt="Link cell K56 from &quot;Expenditures 15-22&quot; tab" sqref="E14" xr:uid="{7E768F65-16BE-4740-8543-B2562C7D4B91}"/>
    <dataValidation allowBlank="1" showInputMessage="1" showErrorMessage="1" prompt="Link cell K51 from &quot;Expenditures 15-22&quot; tab" sqref="E13" xr:uid="{9B093568-3F89-46E8-AA28-0B51BC34D08C}"/>
    <dataValidation allowBlank="1" showInputMessage="1" showErrorMessage="1" prompt="Link cell K50 from &quot;Expenditures 15-22&quot; tab " sqref="E12" xr:uid="{1496AA3B-A351-402A-9270-B2518E83A5B8}"/>
    <dataValidation allowBlank="1" showInputMessage="1" showErrorMessage="1" prompt="Link cell A13 from &quot;Cover&quot; tab" sqref="J7:L7" xr:uid="{BA7E91C3-2FDA-474E-BA23-9E2124D8F034}"/>
    <dataValidation allowBlank="1" showInputMessage="1" showErrorMessage="1" prompt="Link cell A17 from &quot;Cover&quot; tab" sqref="J6:L6" xr:uid="{6841C095-EC84-40C3-9BD5-4EBAF0FCAF12}"/>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L31" sqref="L3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2039</v>
      </c>
    </row>
    <row r="6" spans="1:2" x14ac:dyDescent="0.2">
      <c r="A6" s="840">
        <v>2</v>
      </c>
      <c r="B6" s="307" t="s">
        <v>2040</v>
      </c>
    </row>
    <row r="7" spans="1:2" x14ac:dyDescent="0.2">
      <c r="A7" s="840">
        <v>3</v>
      </c>
      <c r="B7" s="307" t="s">
        <v>2041</v>
      </c>
    </row>
    <row r="8" spans="1:2" x14ac:dyDescent="0.2">
      <c r="A8" s="840">
        <v>4</v>
      </c>
      <c r="B8" s="307" t="s">
        <v>2042</v>
      </c>
    </row>
    <row r="9" spans="1:2" x14ac:dyDescent="0.2">
      <c r="A9" s="841" t="s">
        <v>2048</v>
      </c>
    </row>
    <row r="10" spans="1:2" x14ac:dyDescent="0.2">
      <c r="A10" s="841" t="s">
        <v>2049</v>
      </c>
    </row>
    <row r="11" spans="1:2" x14ac:dyDescent="0.2">
      <c r="A11" s="841" t="s">
        <v>2050</v>
      </c>
    </row>
    <row r="12" spans="1:2" x14ac:dyDescent="0.2">
      <c r="A12" s="841" t="s">
        <v>2051</v>
      </c>
    </row>
    <row r="13" spans="1:2" x14ac:dyDescent="0.2">
      <c r="A13" s="841" t="s">
        <v>2052</v>
      </c>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Forrestville Valley CUSD 221</v>
      </c>
    </row>
    <row r="65" spans="2:2" x14ac:dyDescent="0.2">
      <c r="B65" s="842">
        <f>COVER!A13</f>
        <v>47071221026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71" t="s">
        <v>1668</v>
      </c>
      <c r="B18" s="247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1672</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46"/>
      <c r="H2" s="846"/>
    </row>
    <row r="3" spans="1:8" ht="57" customHeight="1" x14ac:dyDescent="0.2">
      <c r="A3" s="2485" t="s">
        <v>1975</v>
      </c>
      <c r="B3" s="2486"/>
      <c r="C3" s="2486"/>
      <c r="D3" s="2486"/>
      <c r="E3" s="2486"/>
      <c r="F3" s="2487"/>
      <c r="G3" s="846"/>
      <c r="H3" s="846"/>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46"/>
      <c r="H4" s="846"/>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46"/>
      <c r="H5" s="846"/>
    </row>
    <row r="6" spans="1:8" s="847" customFormat="1" ht="41.25" customHeight="1" x14ac:dyDescent="0.2">
      <c r="A6" s="2488" t="s">
        <v>1673</v>
      </c>
      <c r="B6" s="2489"/>
      <c r="C6" s="2489"/>
      <c r="D6" s="2489"/>
      <c r="E6" s="2489"/>
      <c r="F6" s="2490"/>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5867602</v>
      </c>
      <c r="C8" s="1806">
        <f>'Acct Summary 7-8'!D8</f>
        <v>467686</v>
      </c>
      <c r="D8" s="1806">
        <f>'Acct Summary 7-8'!F8</f>
        <v>594632</v>
      </c>
      <c r="E8" s="1806">
        <f>'Acct Summary 7-8'!I8</f>
        <v>58387</v>
      </c>
      <c r="F8" s="1806">
        <f>SUM(B8:E8)</f>
        <v>6988307</v>
      </c>
    </row>
    <row r="9" spans="1:8" s="851" customFormat="1" ht="14.25" customHeight="1" thickBot="1" x14ac:dyDescent="0.25">
      <c r="A9" s="850" t="s">
        <v>1355</v>
      </c>
      <c r="B9" s="1807">
        <f>'Acct Summary 7-8'!C17</f>
        <v>6063858</v>
      </c>
      <c r="C9" s="1807">
        <f>'Acct Summary 7-8'!D17</f>
        <v>730684</v>
      </c>
      <c r="D9" s="1807">
        <f>'Acct Summary 7-8'!F17</f>
        <v>625624</v>
      </c>
      <c r="E9" s="1806"/>
      <c r="F9" s="1806">
        <f>SUM(B9:E9)</f>
        <v>7420166</v>
      </c>
    </row>
    <row r="10" spans="1:8" s="851" customFormat="1" ht="14.25" thickTop="1" thickBot="1" x14ac:dyDescent="0.25">
      <c r="A10" s="852" t="s">
        <v>1356</v>
      </c>
      <c r="B10" s="1808">
        <f>(B8-B9)</f>
        <v>-196256</v>
      </c>
      <c r="C10" s="1808">
        <f>(C8-C9)</f>
        <v>-262998</v>
      </c>
      <c r="D10" s="1808">
        <f>(D8-D9)</f>
        <v>-30992</v>
      </c>
      <c r="E10" s="1807">
        <f>(E8-E9)</f>
        <v>58387</v>
      </c>
      <c r="F10" s="1809">
        <f>SUM(F8-F9)</f>
        <v>-431859</v>
      </c>
    </row>
    <row r="11" spans="1:8" s="851" customFormat="1" ht="14.25" thickTop="1" thickBot="1" x14ac:dyDescent="0.25">
      <c r="A11" s="853" t="s">
        <v>1906</v>
      </c>
      <c r="B11" s="1810">
        <f>'Acct Summary 7-8'!C81</f>
        <v>3001559</v>
      </c>
      <c r="C11" s="1810">
        <f>'Acct Summary 7-8'!D81</f>
        <v>948398</v>
      </c>
      <c r="D11" s="1810">
        <f>'Acct Summary 7-8'!F81</f>
        <v>897069</v>
      </c>
      <c r="E11" s="1810">
        <f>'Acct Summary 7-8'!I81</f>
        <v>760623</v>
      </c>
      <c r="F11" s="1811">
        <f>SUM(B11:E11)</f>
        <v>5607649</v>
      </c>
    </row>
    <row r="12" spans="1:8" ht="16.5" customHeight="1" thickTop="1" x14ac:dyDescent="0.2">
      <c r="A12" s="854"/>
      <c r="B12" s="855"/>
      <c r="C12" s="2476" t="str">
        <f>IF(AND(F10&lt;0,F11&gt;=0,ABS(F10*3)&gt;ABS(F11)),A16,IF(AND(F10&lt;0,F11&gt;0,ABS(F10*3)&lt;=ABS(F11)),A17,IF(AND(F10&lt;0,F11&lt;0),A16,IF(F11=0,A19,A18))))</f>
        <v>Unbalanced -  however, a deficit reduction plan is not required at this time.</v>
      </c>
      <c r="D12" s="2477"/>
      <c r="E12" s="2477"/>
      <c r="F12" s="2478"/>
    </row>
    <row r="13" spans="1:8" ht="19.5" customHeight="1" x14ac:dyDescent="0.2">
      <c r="A13" s="856"/>
      <c r="B13" s="857"/>
      <c r="C13" s="2476"/>
      <c r="D13" s="2477"/>
      <c r="E13" s="2477"/>
      <c r="F13" s="2478"/>
      <c r="H13" s="846"/>
    </row>
    <row r="14" spans="1:8" ht="19.5" customHeight="1" x14ac:dyDescent="0.2">
      <c r="A14" s="856"/>
      <c r="B14" s="857"/>
      <c r="C14" s="2476"/>
      <c r="D14" s="2477"/>
      <c r="E14" s="2477"/>
      <c r="F14" s="2478"/>
      <c r="H14" s="846"/>
    </row>
    <row r="15" spans="1:8" ht="17.25" customHeight="1" x14ac:dyDescent="0.2">
      <c r="A15" s="856"/>
      <c r="B15" s="857"/>
      <c r="C15" s="2479"/>
      <c r="D15" s="2480"/>
      <c r="E15" s="2480"/>
      <c r="F15" s="2481"/>
      <c r="H15" s="846"/>
    </row>
    <row r="16" spans="1:8" s="288" customFormat="1" ht="51.75" hidden="1" customHeight="1" x14ac:dyDescent="0.2">
      <c r="A16" s="2475" t="s">
        <v>1669</v>
      </c>
      <c r="B16" s="2475"/>
      <c r="C16" s="2475"/>
      <c r="D16" s="2475"/>
      <c r="E16" s="2475"/>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L31" sqref="L31"/>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7" t="s">
        <v>660</v>
      </c>
      <c r="B3" s="2498"/>
      <c r="C3" s="2498"/>
      <c r="D3" s="2499"/>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8" t="s">
        <v>1490</v>
      </c>
      <c r="D7" s="2509"/>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2" t="s">
        <v>311</v>
      </c>
      <c r="D21" s="2513"/>
    </row>
    <row r="22" spans="1:10" ht="12.75" x14ac:dyDescent="0.2">
      <c r="A22" s="911"/>
      <c r="B22" s="912">
        <v>2</v>
      </c>
      <c r="C22" s="2510" t="s">
        <v>1510</v>
      </c>
      <c r="D22" s="2511"/>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4" t="s">
        <v>533</v>
      </c>
      <c r="D43" s="2515"/>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6" t="s">
        <v>779</v>
      </c>
      <c r="D56" s="2507"/>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ERROR!</v>
      </c>
    </row>
    <row r="70" spans="1:4" x14ac:dyDescent="0.2">
      <c r="A70" s="870"/>
      <c r="B70" s="892">
        <f>B66+1</f>
        <v>9</v>
      </c>
      <c r="C70" s="2506" t="s">
        <v>1677</v>
      </c>
      <c r="D70" s="2507"/>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ht="22.5" x14ac:dyDescent="0.2">
      <c r="A82" s="870"/>
      <c r="B82" s="892">
        <v>15</v>
      </c>
      <c r="C82" s="902" t="s">
        <v>1887</v>
      </c>
      <c r="D82" s="1891" t="str">
        <f>IF('Contracts Paid in CY 29'!$D$38&gt;0,"OK","PLEASE ENTER CONTRACTS PAID IN CURRENT YEAR.  IF NONE, STATE NO CONTRACTS ON PAGE 29.")</f>
        <v>PLEASE ENTER CONTRACTS PAID IN CURRENT YEAR.  IF NONE, STATE NO CONTRACTS ON PAGE 29.</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0" t="s">
        <v>1981</v>
      </c>
    </row>
    <row r="2" spans="1:7" ht="15.75" x14ac:dyDescent="0.25">
      <c r="A2" t="s">
        <v>260</v>
      </c>
      <c r="B2" s="135">
        <f>COVER!A13</f>
        <v>47071221026</v>
      </c>
      <c r="E2" s="1535">
        <v>2020</v>
      </c>
      <c r="F2" s="1535">
        <v>1</v>
      </c>
      <c r="G2" s="1889">
        <v>101000300</v>
      </c>
    </row>
    <row r="3" spans="1:7" ht="15" x14ac:dyDescent="0.25">
      <c r="A3" t="s">
        <v>950</v>
      </c>
      <c r="B3" s="135" t="str">
        <f>COVER!A15</f>
        <v>Ogle</v>
      </c>
      <c r="E3" s="1823" t="s">
        <v>1974</v>
      </c>
      <c r="F3" s="1823" t="s">
        <v>1973</v>
      </c>
      <c r="G3" s="1889">
        <v>101000400</v>
      </c>
    </row>
    <row r="4" spans="1:7" ht="15" x14ac:dyDescent="0.25">
      <c r="A4" t="s">
        <v>1000</v>
      </c>
      <c r="B4" s="135" t="str">
        <f>COVER!A17</f>
        <v xml:space="preserve">   Forrestville Valley CUSD 221</v>
      </c>
      <c r="E4" s="1821">
        <v>44119</v>
      </c>
      <c r="F4" s="1822">
        <v>44151</v>
      </c>
      <c r="G4" s="1889">
        <v>101000600</v>
      </c>
    </row>
    <row r="5" spans="1:7" ht="15" x14ac:dyDescent="0.25">
      <c r="A5" t="s">
        <v>699</v>
      </c>
      <c r="B5" s="135" t="str">
        <f>COVER!A38</f>
        <v>Sheri Smith</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No</v>
      </c>
      <c r="G12" s="1889">
        <v>202100600</v>
      </c>
    </row>
    <row r="13" spans="1:7" ht="15" x14ac:dyDescent="0.25">
      <c r="A13" s="1" t="s">
        <v>1530</v>
      </c>
      <c r="B13" s="135" t="str">
        <f>IF(COVER!J30="x","Yes",IF(COVER!L30="x","No",0))</f>
        <v>No</v>
      </c>
      <c r="G13" s="1889">
        <v>202100800</v>
      </c>
    </row>
    <row r="14" spans="1:7" ht="15" x14ac:dyDescent="0.25">
      <c r="A14" t="s">
        <v>473</v>
      </c>
      <c r="B14" s="135" t="str">
        <f>IF(COVER!J31="x","Yes",IF(COVER!L31="x","No",0))</f>
        <v>No</v>
      </c>
      <c r="G14" s="1889">
        <v>402100300</v>
      </c>
    </row>
    <row r="15" spans="1:7" ht="15" x14ac:dyDescent="0.25">
      <c r="A15" t="s">
        <v>573</v>
      </c>
      <c r="B15" s="135" t="str">
        <f>COVER!T23</f>
        <v>066-004023</v>
      </c>
      <c r="G15" s="1889">
        <v>402100400</v>
      </c>
    </row>
    <row r="16" spans="1:7" ht="15" x14ac:dyDescent="0.25">
      <c r="A16" t="s">
        <v>419</v>
      </c>
      <c r="B16" s="135" t="str">
        <f>COVER!T13</f>
        <v>Wipfli LLP</v>
      </c>
      <c r="G16" s="1889">
        <v>402100600</v>
      </c>
    </row>
    <row r="17" spans="1:7" ht="15" x14ac:dyDescent="0.25">
      <c r="A17" t="s">
        <v>878</v>
      </c>
      <c r="B17" s="135" t="str">
        <f>COVER!T15</f>
        <v>Matthew Schueler</v>
      </c>
      <c r="G17" s="1889">
        <v>402100800</v>
      </c>
    </row>
    <row r="18" spans="1:7" ht="15" x14ac:dyDescent="0.25">
      <c r="A18" t="s">
        <v>1142</v>
      </c>
      <c r="B18" s="135" t="str">
        <f>COVER!T17</f>
        <v>403 East 3rd Street</v>
      </c>
      <c r="G18" s="1889">
        <v>102200300</v>
      </c>
    </row>
    <row r="19" spans="1:7" ht="15" x14ac:dyDescent="0.25">
      <c r="A19" t="s">
        <v>880</v>
      </c>
      <c r="B19" s="135" t="str">
        <f>COVER!T25</f>
        <v>mschueler@wipfli.com</v>
      </c>
      <c r="G19" s="1889">
        <v>102200400</v>
      </c>
    </row>
    <row r="20" spans="1:7" ht="15" x14ac:dyDescent="0.25">
      <c r="A20" t="s">
        <v>881</v>
      </c>
      <c r="B20" s="135" t="str">
        <f>COVER!T19</f>
        <v>Sterling</v>
      </c>
      <c r="G20" s="1889">
        <v>102200600</v>
      </c>
    </row>
    <row r="21" spans="1:7" ht="15" x14ac:dyDescent="0.25">
      <c r="A21" t="s">
        <v>476</v>
      </c>
      <c r="B21" s="135" t="str">
        <f>COVER!X19</f>
        <v>IL</v>
      </c>
      <c r="G21" s="1889">
        <v>102200800</v>
      </c>
    </row>
    <row r="22" spans="1:7" ht="15" x14ac:dyDescent="0.25">
      <c r="A22" t="s">
        <v>882</v>
      </c>
      <c r="B22" s="135">
        <f>COVER!Z19</f>
        <v>61081</v>
      </c>
      <c r="G22" s="1889">
        <v>102300300</v>
      </c>
    </row>
    <row r="23" spans="1:7" ht="15" x14ac:dyDescent="0.25">
      <c r="A23" t="s">
        <v>1144</v>
      </c>
      <c r="B23" s="135" t="str">
        <f>COVER!T21</f>
        <v>815-626-1277</v>
      </c>
      <c r="G23" s="1889">
        <v>102300400</v>
      </c>
    </row>
    <row r="24" spans="1:7" ht="15" x14ac:dyDescent="0.25">
      <c r="A24" t="s">
        <v>1143</v>
      </c>
      <c r="B24" s="135">
        <f>COVER!Y21</f>
        <v>0</v>
      </c>
      <c r="G24" s="1889">
        <v>102300600</v>
      </c>
    </row>
    <row r="25" spans="1:7" ht="15" x14ac:dyDescent="0.25">
      <c r="A25" t="s">
        <v>756</v>
      </c>
      <c r="B25" s="135" t="str">
        <f>COVER!B34</f>
        <v>x</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0</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0</v>
      </c>
      <c r="G49" s="1889">
        <v>102540800</v>
      </c>
    </row>
    <row r="50" spans="1:7" ht="15" x14ac:dyDescent="0.25">
      <c r="A50" s="1" t="s">
        <v>1466</v>
      </c>
      <c r="B50" s="146">
        <f>'Aud Quest 2'!H53</f>
        <v>0</v>
      </c>
      <c r="G50" s="1889">
        <v>202540300</v>
      </c>
    </row>
    <row r="51" spans="1:7" ht="15" x14ac:dyDescent="0.25">
      <c r="A51" s="1" t="s">
        <v>1468</v>
      </c>
      <c r="B51" s="135" t="str">
        <f>IF('Aud Quest 2'!B54="x","Yes",IF('Aud Quest 2'!B54&lt;&gt;"x","0"))</f>
        <v>Yes</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5"/>
      <c r="D62" s="2" t="str">
        <f>IF(ISBLANK(B62),"OK",IF(A62-B62=0,"OK","Error?"))</f>
        <v>OK</v>
      </c>
      <c r="G62" s="1889">
        <v>202550300</v>
      </c>
    </row>
    <row r="63" spans="1:7" ht="15" x14ac:dyDescent="0.25">
      <c r="A63" s="10">
        <v>2</v>
      </c>
      <c r="B63" s="1825"/>
      <c r="D63" s="2" t="str">
        <f t="shared" ref="D63:D126" si="0">IF(ISBLANK(B63),"OK",IF(A63-B63=0,"OK","Error?"))</f>
        <v>OK</v>
      </c>
      <c r="G63" s="1889">
        <v>202550400</v>
      </c>
    </row>
    <row r="64" spans="1:7" ht="15" x14ac:dyDescent="0.25">
      <c r="A64" s="10">
        <v>3</v>
      </c>
      <c r="B64" s="1825"/>
      <c r="D64" s="2" t="str">
        <f t="shared" si="0"/>
        <v>OK</v>
      </c>
      <c r="G64" s="1889">
        <v>202550600</v>
      </c>
    </row>
    <row r="65" spans="1:7" ht="15" x14ac:dyDescent="0.25">
      <c r="A65" s="5">
        <v>4</v>
      </c>
      <c r="B65" s="1825">
        <f>'Assets-Liab 5-6'!C6</f>
        <v>0</v>
      </c>
      <c r="D65" s="2" t="str">
        <f t="shared" si="0"/>
        <v>Error?</v>
      </c>
      <c r="G65" s="1889">
        <v>202550800</v>
      </c>
    </row>
    <row r="66" spans="1:7" ht="15" x14ac:dyDescent="0.25">
      <c r="A66" s="10">
        <v>5</v>
      </c>
      <c r="B66" s="1825"/>
      <c r="D66" s="2" t="str">
        <f t="shared" si="0"/>
        <v>OK</v>
      </c>
      <c r="G66" s="1889">
        <v>402550300</v>
      </c>
    </row>
    <row r="67" spans="1:7" ht="15" x14ac:dyDescent="0.25">
      <c r="A67" s="10">
        <v>6</v>
      </c>
      <c r="B67" s="1825"/>
      <c r="D67" s="2" t="str">
        <f t="shared" si="0"/>
        <v>OK</v>
      </c>
      <c r="G67" s="1889">
        <v>402550400</v>
      </c>
    </row>
    <row r="68" spans="1:7" ht="15" x14ac:dyDescent="0.25">
      <c r="A68" s="10">
        <v>7</v>
      </c>
      <c r="B68" s="1825"/>
      <c r="D68" s="2" t="str">
        <f t="shared" si="0"/>
        <v>OK</v>
      </c>
      <c r="G68" s="1889">
        <v>402550600</v>
      </c>
    </row>
    <row r="69" spans="1:7" ht="15" x14ac:dyDescent="0.25">
      <c r="A69" s="10">
        <v>8</v>
      </c>
      <c r="B69" s="1825"/>
      <c r="D69" s="2" t="str">
        <f t="shared" si="0"/>
        <v>OK</v>
      </c>
      <c r="G69" s="1889">
        <v>402550800</v>
      </c>
    </row>
    <row r="70" spans="1:7" ht="15" x14ac:dyDescent="0.25">
      <c r="A70" s="10">
        <v>9</v>
      </c>
      <c r="B70" s="1825"/>
      <c r="D70" s="2" t="str">
        <f t="shared" si="0"/>
        <v>OK</v>
      </c>
      <c r="G70" s="1889">
        <v>102560300</v>
      </c>
    </row>
    <row r="71" spans="1:7" ht="15" x14ac:dyDescent="0.25">
      <c r="A71" s="10">
        <v>10</v>
      </c>
      <c r="B71" s="1825"/>
      <c r="D71" s="2" t="str">
        <f t="shared" si="0"/>
        <v>OK</v>
      </c>
      <c r="G71" s="1889">
        <v>102560400</v>
      </c>
    </row>
    <row r="72" spans="1:7" ht="15" x14ac:dyDescent="0.25">
      <c r="A72" s="5">
        <v>11</v>
      </c>
      <c r="B72" s="1825">
        <f>'Assets-Liab 5-6'!C10</f>
        <v>0</v>
      </c>
      <c r="D72" s="2" t="str">
        <f t="shared" si="0"/>
        <v>Error?</v>
      </c>
      <c r="G72" s="1889">
        <v>102560600</v>
      </c>
    </row>
    <row r="73" spans="1:7" ht="15" x14ac:dyDescent="0.25">
      <c r="A73" s="5">
        <v>12</v>
      </c>
      <c r="B73" s="1825">
        <f>'Assets-Liab 5-6'!C5</f>
        <v>891896</v>
      </c>
      <c r="D73" s="2" t="str">
        <f t="shared" si="0"/>
        <v>Error?</v>
      </c>
      <c r="G73" s="1889">
        <v>102560800</v>
      </c>
    </row>
    <row r="74" spans="1:7" ht="15" x14ac:dyDescent="0.25">
      <c r="A74" s="10">
        <v>13</v>
      </c>
      <c r="B74" s="1825"/>
      <c r="D74" s="2" t="str">
        <f t="shared" si="0"/>
        <v>OK</v>
      </c>
      <c r="G74" s="1889">
        <v>102570300</v>
      </c>
    </row>
    <row r="75" spans="1:7" ht="15" x14ac:dyDescent="0.25">
      <c r="A75" s="10">
        <v>14</v>
      </c>
      <c r="B75" s="1825"/>
      <c r="D75" s="2" t="str">
        <f t="shared" si="0"/>
        <v>OK</v>
      </c>
      <c r="G75" s="1889">
        <v>102570400</v>
      </c>
    </row>
    <row r="76" spans="1:7" ht="15" x14ac:dyDescent="0.25">
      <c r="A76" s="5">
        <v>15</v>
      </c>
      <c r="B76" s="1825">
        <f>'Assets-Liab 5-6'!C12</f>
        <v>0</v>
      </c>
      <c r="D76" s="2" t="str">
        <f t="shared" si="0"/>
        <v>Error?</v>
      </c>
      <c r="G76" s="1889">
        <v>102570600</v>
      </c>
    </row>
    <row r="77" spans="1:7" ht="15" x14ac:dyDescent="0.25">
      <c r="A77" s="5">
        <v>16</v>
      </c>
      <c r="B77" s="1825">
        <f>'Assets-Liab 5-6'!C13</f>
        <v>3001559</v>
      </c>
      <c r="C77" s="2" t="s">
        <v>569</v>
      </c>
      <c r="D77" s="2" t="str">
        <f t="shared" si="0"/>
        <v>Error?</v>
      </c>
      <c r="G77" s="1889">
        <v>102570800</v>
      </c>
    </row>
    <row r="78" spans="1:7" ht="15" x14ac:dyDescent="0.25">
      <c r="A78" s="10">
        <v>17</v>
      </c>
      <c r="B78" s="1825"/>
      <c r="D78" s="2" t="str">
        <f t="shared" si="0"/>
        <v>OK</v>
      </c>
      <c r="G78" s="1889">
        <v>102610300</v>
      </c>
    </row>
    <row r="79" spans="1:7" ht="15" x14ac:dyDescent="0.25">
      <c r="A79" s="10">
        <v>18</v>
      </c>
      <c r="B79" s="1825"/>
      <c r="D79" s="2" t="str">
        <f t="shared" si="0"/>
        <v>OK</v>
      </c>
      <c r="G79" s="1889">
        <v>102610400</v>
      </c>
    </row>
    <row r="80" spans="1:7" ht="15" x14ac:dyDescent="0.25">
      <c r="A80" s="10">
        <v>19</v>
      </c>
      <c r="B80" s="1825"/>
      <c r="D80" s="2" t="str">
        <f t="shared" si="0"/>
        <v>OK</v>
      </c>
      <c r="G80" s="1889">
        <v>102610600</v>
      </c>
    </row>
    <row r="81" spans="1:7" ht="15" x14ac:dyDescent="0.25">
      <c r="A81" s="10">
        <v>20</v>
      </c>
      <c r="B81" s="1825"/>
      <c r="D81" s="2" t="str">
        <f t="shared" si="0"/>
        <v>OK</v>
      </c>
      <c r="G81" s="1889">
        <v>102610800</v>
      </c>
    </row>
    <row r="82" spans="1:7" ht="15" x14ac:dyDescent="0.25">
      <c r="A82" s="10">
        <v>21</v>
      </c>
      <c r="B82" s="1825"/>
      <c r="D82" s="2" t="str">
        <f t="shared" si="0"/>
        <v>OK</v>
      </c>
      <c r="G82" s="1889">
        <v>102620300</v>
      </c>
    </row>
    <row r="83" spans="1:7" ht="15" x14ac:dyDescent="0.25">
      <c r="A83" s="10">
        <v>22</v>
      </c>
      <c r="B83" s="1825"/>
      <c r="D83" s="2" t="str">
        <f t="shared" si="0"/>
        <v>OK</v>
      </c>
      <c r="G83" s="1889">
        <v>102620400</v>
      </c>
    </row>
    <row r="84" spans="1:7" ht="15" x14ac:dyDescent="0.25">
      <c r="A84" s="10">
        <v>23</v>
      </c>
      <c r="B84" s="1825"/>
      <c r="D84" s="2" t="str">
        <f t="shared" si="0"/>
        <v>OK</v>
      </c>
      <c r="G84" s="1889">
        <v>102620600</v>
      </c>
    </row>
    <row r="85" spans="1:7" ht="15" x14ac:dyDescent="0.25">
      <c r="A85" s="10">
        <v>24</v>
      </c>
      <c r="B85" s="1825"/>
      <c r="D85" s="2" t="str">
        <f t="shared" si="0"/>
        <v>OK</v>
      </c>
      <c r="G85" s="1889">
        <v>102620800</v>
      </c>
    </row>
    <row r="86" spans="1:7" ht="15" x14ac:dyDescent="0.25">
      <c r="A86" s="12">
        <v>25</v>
      </c>
      <c r="B86" s="1825">
        <f>'Assets-Liab 5-6'!C31</f>
        <v>0</v>
      </c>
      <c r="D86" s="2" t="str">
        <f t="shared" si="0"/>
        <v>Error?</v>
      </c>
      <c r="G86" s="1889">
        <v>102630300</v>
      </c>
    </row>
    <row r="87" spans="1:7" ht="15" x14ac:dyDescent="0.25">
      <c r="A87" s="10">
        <v>26</v>
      </c>
      <c r="B87" s="1825"/>
      <c r="D87" s="2" t="str">
        <f t="shared" si="0"/>
        <v>OK</v>
      </c>
      <c r="G87" s="1889">
        <v>102630400</v>
      </c>
    </row>
    <row r="88" spans="1:7" ht="15" x14ac:dyDescent="0.25">
      <c r="A88" s="5">
        <v>27</v>
      </c>
      <c r="B88" s="1825">
        <f>'Assets-Liab 5-6'!C32</f>
        <v>0</v>
      </c>
      <c r="D88" s="2" t="str">
        <f t="shared" si="0"/>
        <v>Error?</v>
      </c>
      <c r="G88" s="1889">
        <v>102630600</v>
      </c>
    </row>
    <row r="89" spans="1:7" ht="15" x14ac:dyDescent="0.25">
      <c r="A89" s="10">
        <v>28</v>
      </c>
      <c r="B89" s="1825"/>
      <c r="D89" s="2" t="str">
        <f t="shared" si="0"/>
        <v>OK</v>
      </c>
      <c r="G89" s="1889">
        <v>102630800</v>
      </c>
    </row>
    <row r="90" spans="1:7" ht="15" x14ac:dyDescent="0.25">
      <c r="A90" s="10">
        <v>29</v>
      </c>
      <c r="B90" s="1825"/>
      <c r="D90" s="2" t="str">
        <f t="shared" si="0"/>
        <v>OK</v>
      </c>
      <c r="G90" s="1889">
        <v>102640300</v>
      </c>
    </row>
    <row r="91" spans="1:7" ht="15" x14ac:dyDescent="0.25">
      <c r="A91" s="5">
        <v>30</v>
      </c>
      <c r="B91" s="1825">
        <f>'Assets-Liab 5-6'!C34</f>
        <v>0</v>
      </c>
      <c r="C91" s="2" t="s">
        <v>569</v>
      </c>
      <c r="D91" s="2" t="str">
        <f t="shared" si="0"/>
        <v>Error?</v>
      </c>
      <c r="G91" s="1889">
        <v>102640400</v>
      </c>
    </row>
    <row r="92" spans="1:7" ht="15" x14ac:dyDescent="0.25">
      <c r="A92" s="5">
        <v>31</v>
      </c>
      <c r="B92" s="1825">
        <f>'Assets-Liab 5-6'!C39</f>
        <v>3001559</v>
      </c>
      <c r="D92" s="2" t="str">
        <f t="shared" si="0"/>
        <v>Error?</v>
      </c>
      <c r="G92" s="1889">
        <v>102640600</v>
      </c>
    </row>
    <row r="93" spans="1:7" ht="15" x14ac:dyDescent="0.25">
      <c r="A93" s="5">
        <v>32</v>
      </c>
      <c r="B93" s="1825">
        <f>'Assets-Liab 5-6'!C41</f>
        <v>3001559</v>
      </c>
      <c r="C93" s="2" t="s">
        <v>569</v>
      </c>
      <c r="D93" s="2" t="str">
        <f t="shared" si="0"/>
        <v>Error?</v>
      </c>
      <c r="G93" s="1889">
        <v>102640800</v>
      </c>
    </row>
    <row r="94" spans="1:7" ht="15" x14ac:dyDescent="0.25">
      <c r="A94" s="10">
        <v>33</v>
      </c>
      <c r="B94" s="1825"/>
      <c r="D94" s="2" t="str">
        <f t="shared" si="0"/>
        <v>OK</v>
      </c>
      <c r="G94" s="1889">
        <v>102660300</v>
      </c>
    </row>
    <row r="95" spans="1:7" ht="15" x14ac:dyDescent="0.25">
      <c r="A95" s="10">
        <v>34</v>
      </c>
      <c r="B95" s="1825"/>
      <c r="D95" s="2" t="str">
        <f t="shared" si="0"/>
        <v>OK</v>
      </c>
      <c r="G95" s="1889">
        <v>102660400</v>
      </c>
    </row>
    <row r="96" spans="1:7" ht="15" x14ac:dyDescent="0.25">
      <c r="A96" s="10">
        <v>35</v>
      </c>
      <c r="B96" s="1825"/>
      <c r="D96" s="2" t="str">
        <f t="shared" si="0"/>
        <v>OK</v>
      </c>
      <c r="G96" s="1889">
        <v>102660600</v>
      </c>
    </row>
    <row r="97" spans="1:7" ht="15" x14ac:dyDescent="0.25">
      <c r="A97" s="5">
        <v>36</v>
      </c>
      <c r="B97" s="1825">
        <f>'Assets-Liab 5-6'!D6</f>
        <v>0</v>
      </c>
      <c r="D97" s="2" t="str">
        <f t="shared" si="0"/>
        <v>Error?</v>
      </c>
      <c r="G97" s="1889">
        <v>102660800</v>
      </c>
    </row>
    <row r="98" spans="1:7" ht="15" x14ac:dyDescent="0.25">
      <c r="A98" s="10">
        <v>37</v>
      </c>
      <c r="B98" s="1825"/>
      <c r="D98" s="2" t="str">
        <f t="shared" si="0"/>
        <v>OK</v>
      </c>
      <c r="G98" s="1889">
        <v>102900300</v>
      </c>
    </row>
    <row r="99" spans="1:7" ht="15" x14ac:dyDescent="0.25">
      <c r="A99" s="10">
        <v>38</v>
      </c>
      <c r="B99" s="1825"/>
      <c r="D99" s="2" t="str">
        <f t="shared" si="0"/>
        <v>OK</v>
      </c>
      <c r="G99" s="1889">
        <v>102900400</v>
      </c>
    </row>
    <row r="100" spans="1:7" ht="15" x14ac:dyDescent="0.25">
      <c r="A100" s="10">
        <v>39</v>
      </c>
      <c r="B100" s="1825"/>
      <c r="D100" s="2" t="str">
        <f t="shared" si="0"/>
        <v>OK</v>
      </c>
      <c r="G100" s="1889">
        <v>102900600</v>
      </c>
    </row>
    <row r="101" spans="1:7" ht="15" x14ac:dyDescent="0.25">
      <c r="A101" s="10">
        <v>40</v>
      </c>
      <c r="B101" s="1825"/>
      <c r="D101" s="2" t="str">
        <f t="shared" si="0"/>
        <v>OK</v>
      </c>
      <c r="G101" s="1889">
        <v>102900800</v>
      </c>
    </row>
    <row r="102" spans="1:7" ht="15" x14ac:dyDescent="0.25">
      <c r="A102" s="10">
        <v>41</v>
      </c>
      <c r="B102" s="1825"/>
      <c r="D102" s="2" t="str">
        <f t="shared" si="0"/>
        <v>OK</v>
      </c>
      <c r="G102" s="1889">
        <v>202900300</v>
      </c>
    </row>
    <row r="103" spans="1:7" ht="15" x14ac:dyDescent="0.25">
      <c r="A103" s="10">
        <v>42</v>
      </c>
      <c r="B103" s="1825"/>
      <c r="D103" s="2" t="str">
        <f t="shared" si="0"/>
        <v>OK</v>
      </c>
      <c r="G103" s="1889">
        <v>202900400</v>
      </c>
    </row>
    <row r="104" spans="1:7" ht="15" x14ac:dyDescent="0.25">
      <c r="A104" s="5">
        <v>43</v>
      </c>
      <c r="B104" s="1825">
        <f>'Assets-Liab 5-6'!D10</f>
        <v>0</v>
      </c>
      <c r="D104" s="2" t="str">
        <f t="shared" si="0"/>
        <v>Error?</v>
      </c>
      <c r="G104" s="1889">
        <v>202900600</v>
      </c>
    </row>
    <row r="105" spans="1:7" ht="15" x14ac:dyDescent="0.25">
      <c r="A105" s="5">
        <v>44</v>
      </c>
      <c r="B105" s="1825">
        <f>'Assets-Liab 5-6'!D5</f>
        <v>359529</v>
      </c>
      <c r="D105" s="2" t="str">
        <f t="shared" si="0"/>
        <v>Error?</v>
      </c>
      <c r="G105" s="1889">
        <v>202900800</v>
      </c>
    </row>
    <row r="106" spans="1:7" ht="15" x14ac:dyDescent="0.25">
      <c r="A106" s="10">
        <v>45</v>
      </c>
      <c r="B106" s="1825"/>
      <c r="D106" s="2" t="str">
        <f t="shared" si="0"/>
        <v>OK</v>
      </c>
      <c r="G106" s="1889">
        <v>402900300</v>
      </c>
    </row>
    <row r="107" spans="1:7" ht="15" x14ac:dyDescent="0.25">
      <c r="A107" s="10">
        <v>46</v>
      </c>
      <c r="B107" s="1825"/>
      <c r="D107" s="2" t="str">
        <f t="shared" si="0"/>
        <v>OK</v>
      </c>
      <c r="G107" s="1889">
        <v>402900400</v>
      </c>
    </row>
    <row r="108" spans="1:7" ht="15" x14ac:dyDescent="0.25">
      <c r="A108" s="5">
        <v>47</v>
      </c>
      <c r="B108" s="1825">
        <f>'Assets-Liab 5-6'!D12</f>
        <v>0</v>
      </c>
      <c r="D108" s="2" t="str">
        <f t="shared" si="0"/>
        <v>Error?</v>
      </c>
      <c r="G108" s="1889">
        <v>402900600</v>
      </c>
    </row>
    <row r="109" spans="1:7" ht="15" x14ac:dyDescent="0.25">
      <c r="A109" s="5">
        <v>48</v>
      </c>
      <c r="B109" s="1825">
        <f>'Assets-Liab 5-6'!D13</f>
        <v>948398</v>
      </c>
      <c r="C109" s="2" t="s">
        <v>569</v>
      </c>
      <c r="D109" s="2" t="str">
        <f t="shared" si="0"/>
        <v>Error?</v>
      </c>
      <c r="G109" s="1889">
        <v>402900800</v>
      </c>
    </row>
    <row r="110" spans="1:7" ht="15" x14ac:dyDescent="0.25">
      <c r="A110" s="10">
        <v>49</v>
      </c>
      <c r="B110" s="1825"/>
      <c r="D110" s="2" t="str">
        <f t="shared" si="0"/>
        <v>OK</v>
      </c>
      <c r="G110" s="1889">
        <v>602900300</v>
      </c>
    </row>
    <row r="111" spans="1:7" ht="15" x14ac:dyDescent="0.25">
      <c r="A111" s="10">
        <v>50</v>
      </c>
      <c r="B111" s="1825"/>
      <c r="D111" s="2" t="str">
        <f t="shared" si="0"/>
        <v>OK</v>
      </c>
      <c r="G111" s="1889">
        <v>602900400</v>
      </c>
    </row>
    <row r="112" spans="1:7" ht="15" x14ac:dyDescent="0.25">
      <c r="A112" s="10">
        <v>51</v>
      </c>
      <c r="B112" s="1825"/>
      <c r="D112" s="2" t="str">
        <f t="shared" si="0"/>
        <v>OK</v>
      </c>
      <c r="G112" s="1889">
        <v>602900600</v>
      </c>
    </row>
    <row r="113" spans="1:7" ht="15" x14ac:dyDescent="0.25">
      <c r="A113" s="10">
        <v>52</v>
      </c>
      <c r="B113" s="1825"/>
      <c r="D113" s="2" t="str">
        <f t="shared" si="0"/>
        <v>OK</v>
      </c>
      <c r="G113" s="1889">
        <v>602900800</v>
      </c>
    </row>
    <row r="114" spans="1:7" ht="15" x14ac:dyDescent="0.25">
      <c r="A114" s="10">
        <v>53</v>
      </c>
      <c r="B114" s="1825"/>
      <c r="D114" s="2" t="str">
        <f t="shared" si="0"/>
        <v>OK</v>
      </c>
      <c r="G114" s="1889">
        <v>902900300</v>
      </c>
    </row>
    <row r="115" spans="1:7" ht="15" x14ac:dyDescent="0.25">
      <c r="A115" s="10">
        <v>54</v>
      </c>
      <c r="B115" s="1825"/>
      <c r="D115" s="2" t="str">
        <f t="shared" si="0"/>
        <v>OK</v>
      </c>
      <c r="G115" s="1889">
        <v>902900400</v>
      </c>
    </row>
    <row r="116" spans="1:7" ht="15" x14ac:dyDescent="0.25">
      <c r="A116" s="10">
        <v>55</v>
      </c>
      <c r="B116" s="1825"/>
      <c r="D116" s="2" t="str">
        <f t="shared" si="0"/>
        <v>OK</v>
      </c>
      <c r="G116" s="1889">
        <v>902900600</v>
      </c>
    </row>
    <row r="117" spans="1:7" ht="15" x14ac:dyDescent="0.25">
      <c r="A117" s="5">
        <v>56</v>
      </c>
      <c r="B117" s="1825">
        <f>'Assets-Liab 5-6'!D31</f>
        <v>0</v>
      </c>
      <c r="D117" s="2" t="str">
        <f t="shared" si="0"/>
        <v>Error?</v>
      </c>
      <c r="G117" s="1889">
        <v>902900800</v>
      </c>
    </row>
    <row r="118" spans="1:7" ht="15" x14ac:dyDescent="0.25">
      <c r="A118" s="10">
        <v>57</v>
      </c>
      <c r="B118" s="1825"/>
      <c r="D118" s="2" t="str">
        <f t="shared" si="0"/>
        <v>OK</v>
      </c>
      <c r="G118" s="1889">
        <v>103000300</v>
      </c>
    </row>
    <row r="119" spans="1:7" ht="15" x14ac:dyDescent="0.25">
      <c r="A119" s="5">
        <v>58</v>
      </c>
      <c r="B119" s="1825">
        <f>'Assets-Liab 5-6'!D32</f>
        <v>0</v>
      </c>
      <c r="D119" s="2" t="str">
        <f t="shared" si="0"/>
        <v>Error?</v>
      </c>
      <c r="G119" s="1889">
        <v>103000400</v>
      </c>
    </row>
    <row r="120" spans="1:7" ht="15" x14ac:dyDescent="0.25">
      <c r="A120" s="10">
        <v>59</v>
      </c>
      <c r="B120" s="1825"/>
      <c r="D120" s="2" t="str">
        <f t="shared" si="0"/>
        <v>OK</v>
      </c>
      <c r="G120" s="1889">
        <v>103000600</v>
      </c>
    </row>
    <row r="121" spans="1:7" ht="15" x14ac:dyDescent="0.25">
      <c r="A121" s="10">
        <v>60</v>
      </c>
      <c r="B121" s="1825"/>
      <c r="D121" s="2" t="str">
        <f t="shared" si="0"/>
        <v>OK</v>
      </c>
      <c r="G121" s="1889">
        <v>103000800</v>
      </c>
    </row>
    <row r="122" spans="1:7" ht="15" x14ac:dyDescent="0.25">
      <c r="A122" s="5">
        <v>61</v>
      </c>
      <c r="B122" s="1825">
        <f>'Assets-Liab 5-6'!D34</f>
        <v>0</v>
      </c>
      <c r="C122" s="2" t="s">
        <v>569</v>
      </c>
      <c r="D122" s="2" t="str">
        <f t="shared" si="0"/>
        <v>Error?</v>
      </c>
      <c r="G122" s="1889">
        <v>203000300</v>
      </c>
    </row>
    <row r="123" spans="1:7" ht="15" x14ac:dyDescent="0.25">
      <c r="A123" s="5">
        <v>62</v>
      </c>
      <c r="B123" s="1825">
        <f>'Assets-Liab 5-6'!D39</f>
        <v>948398</v>
      </c>
      <c r="D123" s="2" t="str">
        <f t="shared" si="0"/>
        <v>Error?</v>
      </c>
      <c r="G123" s="1889">
        <v>203000400</v>
      </c>
    </row>
    <row r="124" spans="1:7" ht="15" x14ac:dyDescent="0.25">
      <c r="A124" s="5">
        <v>63</v>
      </c>
      <c r="B124" s="1825">
        <f>'Assets-Liab 5-6'!D41</f>
        <v>948398</v>
      </c>
      <c r="C124" s="2" t="s">
        <v>569</v>
      </c>
      <c r="D124" s="2" t="str">
        <f t="shared" si="0"/>
        <v>Error?</v>
      </c>
      <c r="G124" s="1889">
        <v>203000600</v>
      </c>
    </row>
    <row r="125" spans="1:7" ht="15" x14ac:dyDescent="0.25">
      <c r="A125" s="10">
        <v>64</v>
      </c>
      <c r="B125" s="1825"/>
      <c r="D125" s="2" t="str">
        <f t="shared" si="0"/>
        <v>OK</v>
      </c>
      <c r="G125" s="1889">
        <v>203000800</v>
      </c>
    </row>
    <row r="126" spans="1:7" ht="15" x14ac:dyDescent="0.25">
      <c r="A126" s="5">
        <v>65</v>
      </c>
      <c r="B126" s="1825">
        <f>'Assets-Liab 5-6'!E6</f>
        <v>0</v>
      </c>
      <c r="D126" s="2" t="str">
        <f t="shared" si="0"/>
        <v>Error?</v>
      </c>
      <c r="G126" s="1889">
        <v>403000300</v>
      </c>
    </row>
    <row r="127" spans="1:7" ht="15" x14ac:dyDescent="0.25">
      <c r="A127" s="10">
        <v>66</v>
      </c>
      <c r="B127" s="1825"/>
      <c r="D127" s="2" t="str">
        <f t="shared" ref="D127:D190" si="1">IF(ISBLANK(B127),"OK",IF(A127-B127=0,"OK","Error?"))</f>
        <v>OK</v>
      </c>
      <c r="G127" s="1889">
        <v>403000400</v>
      </c>
    </row>
    <row r="128" spans="1:7" ht="15" x14ac:dyDescent="0.25">
      <c r="A128" s="10">
        <v>67</v>
      </c>
      <c r="B128" s="1825"/>
      <c r="D128" s="2" t="str">
        <f t="shared" si="1"/>
        <v>OK</v>
      </c>
      <c r="G128" s="1889">
        <v>403000600</v>
      </c>
    </row>
    <row r="129" spans="1:7" ht="15" x14ac:dyDescent="0.25">
      <c r="A129" s="5">
        <v>68</v>
      </c>
      <c r="B129" s="1825">
        <f>'Assets-Liab 5-6'!E5</f>
        <v>198147</v>
      </c>
      <c r="D129" s="2" t="str">
        <f t="shared" si="1"/>
        <v>Error?</v>
      </c>
      <c r="G129" s="1889">
        <v>403000800</v>
      </c>
    </row>
    <row r="130" spans="1:7" x14ac:dyDescent="0.2">
      <c r="A130" s="5">
        <v>69</v>
      </c>
      <c r="B130" s="1825">
        <f>'Assets-Liab 5-6'!E12</f>
        <v>0</v>
      </c>
      <c r="D130" s="2" t="str">
        <f t="shared" si="1"/>
        <v>Error?</v>
      </c>
    </row>
    <row r="131" spans="1:7" x14ac:dyDescent="0.2">
      <c r="A131" s="5">
        <v>70</v>
      </c>
      <c r="B131" s="1825">
        <f>'Assets-Liab 5-6'!E13</f>
        <v>234886</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234886</v>
      </c>
      <c r="D140" s="2" t="str">
        <f t="shared" si="1"/>
        <v>Error?</v>
      </c>
    </row>
    <row r="141" spans="1:7" x14ac:dyDescent="0.2">
      <c r="A141" s="5">
        <v>80</v>
      </c>
      <c r="B141" s="1825">
        <f>'Assets-Liab 5-6'!E41</f>
        <v>234886</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226632</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897069</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897069</v>
      </c>
      <c r="D170" s="2" t="str">
        <f t="shared" si="1"/>
        <v>Error?</v>
      </c>
    </row>
    <row r="171" spans="1:4" x14ac:dyDescent="0.2">
      <c r="A171" s="5">
        <v>110</v>
      </c>
      <c r="B171" s="1825">
        <f>'Assets-Liab 5-6'!F41</f>
        <v>897069</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141179</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390402</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390402</v>
      </c>
      <c r="D189" s="2" t="str">
        <f t="shared" si="1"/>
        <v>Error?</v>
      </c>
    </row>
    <row r="190" spans="1:4" x14ac:dyDescent="0.2">
      <c r="A190" s="5">
        <v>129</v>
      </c>
      <c r="B190" s="1825">
        <f>'Assets-Liab 5-6'!G41</f>
        <v>390402</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893379</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1147797</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1147797</v>
      </c>
      <c r="D212" s="2" t="str">
        <f t="shared" si="2"/>
        <v>Error?</v>
      </c>
    </row>
    <row r="213" spans="1:4" x14ac:dyDescent="0.2">
      <c r="A213" s="12">
        <v>152</v>
      </c>
      <c r="B213" s="1825">
        <f>'Assets-Liab 5-6'!H41</f>
        <v>1147797</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77950</v>
      </c>
      <c r="D273" s="2" t="str">
        <f t="shared" si="3"/>
        <v>Error?</v>
      </c>
    </row>
    <row r="274" spans="1:4" x14ac:dyDescent="0.2">
      <c r="A274" s="5">
        <v>213</v>
      </c>
      <c r="B274" s="1825">
        <f>'Assets-Liab 5-6'!M17</f>
        <v>23893017</v>
      </c>
      <c r="D274" s="2" t="str">
        <f t="shared" si="3"/>
        <v>Error?</v>
      </c>
    </row>
    <row r="275" spans="1:4" x14ac:dyDescent="0.2">
      <c r="A275" s="5">
        <v>214</v>
      </c>
      <c r="B275" s="1825">
        <f>'Assets-Liab 5-6'!M18</f>
        <v>4008353</v>
      </c>
      <c r="D275" s="2" t="str">
        <f t="shared" si="3"/>
        <v>Error?</v>
      </c>
    </row>
    <row r="276" spans="1:4" x14ac:dyDescent="0.2">
      <c r="A276" s="5">
        <v>215</v>
      </c>
      <c r="B276" s="1825">
        <f>'Assets-Liab 5-6'!M19</f>
        <v>0</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27979320</v>
      </c>
      <c r="C279" s="2" t="s">
        <v>569</v>
      </c>
      <c r="D279" s="2" t="str">
        <f t="shared" si="3"/>
        <v>Error?</v>
      </c>
    </row>
    <row r="280" spans="1:4" x14ac:dyDescent="0.2">
      <c r="A280" s="5">
        <v>219</v>
      </c>
      <c r="B280" s="1825">
        <f>'Assets-Liab 5-6'!M40</f>
        <v>27979320</v>
      </c>
      <c r="D280" s="2" t="str">
        <f t="shared" si="3"/>
        <v>Error?</v>
      </c>
    </row>
    <row r="281" spans="1:4" x14ac:dyDescent="0.2">
      <c r="A281" s="5">
        <v>220</v>
      </c>
      <c r="B281" s="1825">
        <f>'Assets-Liab 5-6'!M41</f>
        <v>27979320</v>
      </c>
      <c r="C281" s="2" t="s">
        <v>569</v>
      </c>
      <c r="D281" s="2" t="str">
        <f t="shared" si="3"/>
        <v>Error?</v>
      </c>
    </row>
    <row r="282" spans="1:4" x14ac:dyDescent="0.2">
      <c r="A282" s="5">
        <v>221</v>
      </c>
      <c r="B282" s="1825">
        <f>'Assets-Liab 5-6'!N21</f>
        <v>234886</v>
      </c>
      <c r="D282" s="2" t="str">
        <f t="shared" si="3"/>
        <v>Error?</v>
      </c>
    </row>
    <row r="283" spans="1:4" x14ac:dyDescent="0.2">
      <c r="A283" s="5">
        <v>222</v>
      </c>
      <c r="B283" s="1825">
        <f>'Assets-Liab 5-6'!N22</f>
        <v>4549460</v>
      </c>
      <c r="D283" s="2" t="str">
        <f t="shared" si="3"/>
        <v>Error?</v>
      </c>
    </row>
    <row r="284" spans="1:4" x14ac:dyDescent="0.2">
      <c r="A284" s="5">
        <v>223</v>
      </c>
      <c r="B284" s="1825">
        <f>'Assets-Liab 5-6'!N23</f>
        <v>4784346</v>
      </c>
      <c r="C284" s="2" t="s">
        <v>569</v>
      </c>
      <c r="D284" s="2" t="str">
        <f t="shared" si="3"/>
        <v>Error?</v>
      </c>
    </row>
    <row r="285" spans="1:4" x14ac:dyDescent="0.2">
      <c r="A285" s="5">
        <v>224</v>
      </c>
      <c r="B285" s="1825">
        <f>'Assets-Liab 5-6'!N36</f>
        <v>4784346</v>
      </c>
      <c r="D285" s="2" t="str">
        <f t="shared" si="3"/>
        <v>Error?</v>
      </c>
    </row>
    <row r="286" spans="1:4" x14ac:dyDescent="0.2">
      <c r="A286" s="10">
        <v>225</v>
      </c>
      <c r="B286" s="1825"/>
      <c r="D286" s="2" t="str">
        <f t="shared" si="3"/>
        <v>OK</v>
      </c>
    </row>
    <row r="287" spans="1:4" x14ac:dyDescent="0.2">
      <c r="A287" s="5">
        <v>226</v>
      </c>
      <c r="B287" s="1825">
        <f>'Assets-Liab 5-6'!N37</f>
        <v>4784346</v>
      </c>
      <c r="C287" s="2" t="s">
        <v>569</v>
      </c>
      <c r="D287" s="2" t="str">
        <f t="shared" si="3"/>
        <v>Error?</v>
      </c>
    </row>
    <row r="288" spans="1:4" x14ac:dyDescent="0.2">
      <c r="A288" s="5">
        <v>227</v>
      </c>
      <c r="B288" s="1825">
        <f>'Assets-Liab 5-6'!N41</f>
        <v>4784346</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2388617</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65913</v>
      </c>
      <c r="D717" s="2" t="str">
        <f t="shared" si="10"/>
        <v>Error?</v>
      </c>
    </row>
    <row r="718" spans="1:4" x14ac:dyDescent="0.2">
      <c r="A718" s="5">
        <v>657</v>
      </c>
      <c r="B718" s="1825">
        <f>'Expenditures 15-22'!C14</f>
        <v>316123</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3385574</v>
      </c>
      <c r="C720" s="2" t="s">
        <v>569</v>
      </c>
      <c r="D720" s="2" t="str">
        <f t="shared" si="10"/>
        <v>Error?</v>
      </c>
    </row>
    <row r="721" spans="1:4" x14ac:dyDescent="0.2">
      <c r="A721" s="5">
        <v>660</v>
      </c>
      <c r="B721" s="1825">
        <f>'Expenditures 15-22'!C36</f>
        <v>9436</v>
      </c>
      <c r="D721" s="2" t="str">
        <f t="shared" si="10"/>
        <v>Error?</v>
      </c>
    </row>
    <row r="722" spans="1:4" x14ac:dyDescent="0.2">
      <c r="A722" s="5">
        <v>661</v>
      </c>
      <c r="B722" s="1825">
        <f>'Expenditures 15-22'!C37</f>
        <v>85802</v>
      </c>
      <c r="D722" s="2" t="str">
        <f t="shared" si="10"/>
        <v>Error?</v>
      </c>
    </row>
    <row r="723" spans="1:4" x14ac:dyDescent="0.2">
      <c r="A723" s="5">
        <v>662</v>
      </c>
      <c r="B723" s="1825">
        <f>'Expenditures 15-22'!C38</f>
        <v>11882</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1500</v>
      </c>
      <c r="D726" s="2" t="str">
        <f t="shared" si="10"/>
        <v>Error?</v>
      </c>
    </row>
    <row r="727" spans="1:4" x14ac:dyDescent="0.2">
      <c r="A727" s="5">
        <v>666</v>
      </c>
      <c r="B727" s="1825">
        <f>'Expenditures 15-22'!C42</f>
        <v>108620</v>
      </c>
      <c r="C727" s="2" t="s">
        <v>569</v>
      </c>
      <c r="D727" s="2" t="str">
        <f t="shared" si="10"/>
        <v>Error?</v>
      </c>
    </row>
    <row r="728" spans="1:4" x14ac:dyDescent="0.2">
      <c r="A728" s="5">
        <v>667</v>
      </c>
      <c r="B728" s="1825">
        <f>'Expenditures 15-22'!C44</f>
        <v>23695</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23695</v>
      </c>
      <c r="C731" s="2" t="s">
        <v>569</v>
      </c>
      <c r="D731" s="2" t="str">
        <f t="shared" si="10"/>
        <v>Error?</v>
      </c>
    </row>
    <row r="732" spans="1:4" x14ac:dyDescent="0.2">
      <c r="A732" s="5">
        <v>671</v>
      </c>
      <c r="B732" s="1825">
        <f>'Expenditures 15-22'!C49</f>
        <v>2300</v>
      </c>
      <c r="D732" s="2" t="str">
        <f t="shared" si="10"/>
        <v>Error?</v>
      </c>
    </row>
    <row r="733" spans="1:4" x14ac:dyDescent="0.2">
      <c r="A733" s="5">
        <v>672</v>
      </c>
      <c r="B733" s="1825">
        <f>'Expenditures 15-22'!C50</f>
        <v>70044</v>
      </c>
      <c r="D733" s="2" t="str">
        <f t="shared" si="10"/>
        <v>Error?</v>
      </c>
    </row>
    <row r="734" spans="1:4" x14ac:dyDescent="0.2">
      <c r="A734" s="5">
        <v>673</v>
      </c>
      <c r="B734" s="1825">
        <f>'Expenditures 15-22'!C53</f>
        <v>72344</v>
      </c>
      <c r="C734" s="2" t="s">
        <v>569</v>
      </c>
      <c r="D734" s="2" t="str">
        <f t="shared" si="10"/>
        <v>Error?</v>
      </c>
    </row>
    <row r="735" spans="1:4" x14ac:dyDescent="0.2">
      <c r="A735" s="5">
        <v>674</v>
      </c>
      <c r="B735" s="1825">
        <f>'Expenditures 15-22'!C55</f>
        <v>215473</v>
      </c>
      <c r="D735" s="2" t="str">
        <f t="shared" si="10"/>
        <v>Error?</v>
      </c>
    </row>
    <row r="736" spans="1:4" x14ac:dyDescent="0.2">
      <c r="A736" s="5">
        <v>675</v>
      </c>
      <c r="B736" s="1825">
        <f>'Expenditures 15-22'!C56</f>
        <v>24596</v>
      </c>
      <c r="D736" s="2" t="str">
        <f t="shared" si="10"/>
        <v>Error?</v>
      </c>
    </row>
    <row r="737" spans="1:4" x14ac:dyDescent="0.2">
      <c r="A737" s="5">
        <v>676</v>
      </c>
      <c r="B737" s="1825">
        <f>'Expenditures 15-22'!C57</f>
        <v>240069</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57457</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136713</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194170</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638898</v>
      </c>
      <c r="C755" s="2" t="s">
        <v>569</v>
      </c>
      <c r="D755" s="2" t="str">
        <f t="shared" si="10"/>
        <v>Error?</v>
      </c>
    </row>
    <row r="756" spans="1:4" x14ac:dyDescent="0.2">
      <c r="A756" s="5">
        <v>695</v>
      </c>
      <c r="B756" s="1825">
        <f>'Expenditures 15-22'!C75</f>
        <v>16392</v>
      </c>
      <c r="D756" s="2" t="str">
        <f t="shared" si="10"/>
        <v>Error?</v>
      </c>
    </row>
    <row r="757" spans="1:4" x14ac:dyDescent="0.2">
      <c r="A757" s="5">
        <v>696</v>
      </c>
      <c r="B757" s="1825">
        <f>'Expenditures 15-22'!C114</f>
        <v>4040864</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494171</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25749</v>
      </c>
      <c r="D775" s="2" t="str">
        <f t="shared" si="11"/>
        <v>Error?</v>
      </c>
    </row>
    <row r="776" spans="1:4" x14ac:dyDescent="0.2">
      <c r="A776" s="5">
        <v>715</v>
      </c>
      <c r="B776" s="1825">
        <f>'Expenditures 15-22'!D14</f>
        <v>47090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697607</v>
      </c>
      <c r="C778" s="2" t="s">
        <v>569</v>
      </c>
      <c r="D778" s="2" t="str">
        <f t="shared" si="11"/>
        <v>Error?</v>
      </c>
    </row>
    <row r="779" spans="1:4" x14ac:dyDescent="0.2">
      <c r="A779" s="5">
        <v>718</v>
      </c>
      <c r="B779" s="1825">
        <f>'Expenditures 15-22'!D36</f>
        <v>137</v>
      </c>
      <c r="D779" s="2" t="str">
        <f t="shared" si="11"/>
        <v>Error?</v>
      </c>
    </row>
    <row r="780" spans="1:4" x14ac:dyDescent="0.2">
      <c r="A780" s="5">
        <v>719</v>
      </c>
      <c r="B780" s="1825">
        <f>'Expenditures 15-22'!D37</f>
        <v>8790</v>
      </c>
      <c r="D780" s="2" t="str">
        <f t="shared" si="11"/>
        <v>Error?</v>
      </c>
    </row>
    <row r="781" spans="1:4" x14ac:dyDescent="0.2">
      <c r="A781" s="5">
        <v>720</v>
      </c>
      <c r="B781" s="1825">
        <f>'Expenditures 15-22'!D38</f>
        <v>30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8957</v>
      </c>
      <c r="C785" s="2" t="s">
        <v>569</v>
      </c>
      <c r="D785" s="2" t="str">
        <f t="shared" si="11"/>
        <v>Error?</v>
      </c>
    </row>
    <row r="786" spans="1:4" x14ac:dyDescent="0.2">
      <c r="A786" s="5">
        <v>725</v>
      </c>
      <c r="B786" s="1825">
        <f>'Expenditures 15-22'!D44</f>
        <v>4478</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4478</v>
      </c>
      <c r="C789" s="2" t="s">
        <v>569</v>
      </c>
      <c r="D789" s="2" t="str">
        <f t="shared" si="11"/>
        <v>Error?</v>
      </c>
    </row>
    <row r="790" spans="1:4" x14ac:dyDescent="0.2">
      <c r="A790" s="5">
        <v>729</v>
      </c>
      <c r="B790" s="1825">
        <f>'Expenditures 15-22'!D49</f>
        <v>27136</v>
      </c>
      <c r="D790" s="2" t="str">
        <f t="shared" si="11"/>
        <v>Error?</v>
      </c>
    </row>
    <row r="791" spans="1:4" x14ac:dyDescent="0.2">
      <c r="A791" s="5">
        <v>730</v>
      </c>
      <c r="B791" s="1825">
        <f>'Expenditures 15-22'!D50</f>
        <v>14581</v>
      </c>
      <c r="D791" s="2" t="str">
        <f t="shared" si="11"/>
        <v>Error?</v>
      </c>
    </row>
    <row r="792" spans="1:4" x14ac:dyDescent="0.2">
      <c r="A792" s="5">
        <v>731</v>
      </c>
      <c r="B792" s="1825">
        <f>'Expenditures 15-22'!D53</f>
        <v>41717</v>
      </c>
      <c r="C792" s="2" t="s">
        <v>569</v>
      </c>
      <c r="D792" s="2" t="str">
        <f t="shared" si="11"/>
        <v>Error?</v>
      </c>
    </row>
    <row r="793" spans="1:4" x14ac:dyDescent="0.2">
      <c r="A793" s="5">
        <v>732</v>
      </c>
      <c r="B793" s="1825">
        <f>'Expenditures 15-22'!D55</f>
        <v>48107</v>
      </c>
      <c r="D793" s="2" t="str">
        <f t="shared" si="11"/>
        <v>Error?</v>
      </c>
    </row>
    <row r="794" spans="1:4" x14ac:dyDescent="0.2">
      <c r="A794" s="5">
        <v>733</v>
      </c>
      <c r="B794" s="1825">
        <f>'Expenditures 15-22'!D56</f>
        <v>3778</v>
      </c>
      <c r="D794" s="2" t="str">
        <f t="shared" si="11"/>
        <v>Error?</v>
      </c>
    </row>
    <row r="795" spans="1:4" x14ac:dyDescent="0.2">
      <c r="A795" s="5">
        <v>734</v>
      </c>
      <c r="B795" s="1825">
        <f>'Expenditures 15-22'!D57</f>
        <v>51885</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11059</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20776</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31835</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138872</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836479</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26124</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25022</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53033</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1285</v>
      </c>
      <c r="D838" s="2" t="str">
        <f t="shared" si="12"/>
        <v>Error?</v>
      </c>
    </row>
    <row r="839" spans="1:4" x14ac:dyDescent="0.2">
      <c r="A839" s="5">
        <v>778</v>
      </c>
      <c r="B839" s="1825">
        <f>'Expenditures 15-22'!E38</f>
        <v>493</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1778</v>
      </c>
      <c r="C843" s="2" t="s">
        <v>569</v>
      </c>
      <c r="D843" s="2" t="str">
        <f t="shared" si="12"/>
        <v>Error?</v>
      </c>
    </row>
    <row r="844" spans="1:4" x14ac:dyDescent="0.2">
      <c r="A844" s="5">
        <v>783</v>
      </c>
      <c r="B844" s="1825">
        <f>'Expenditures 15-22'!E44</f>
        <v>1887</v>
      </c>
      <c r="D844" s="2" t="str">
        <f t="shared" si="12"/>
        <v>Error?</v>
      </c>
    </row>
    <row r="845" spans="1:4" x14ac:dyDescent="0.2">
      <c r="A845" s="5">
        <v>784</v>
      </c>
      <c r="B845" s="1825">
        <f>'Expenditures 15-22'!E45</f>
        <v>106553</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108440</v>
      </c>
      <c r="C847" s="2" t="s">
        <v>569</v>
      </c>
      <c r="D847" s="2" t="str">
        <f t="shared" si="12"/>
        <v>Error?</v>
      </c>
    </row>
    <row r="848" spans="1:4" x14ac:dyDescent="0.2">
      <c r="A848" s="5">
        <v>787</v>
      </c>
      <c r="B848" s="1825">
        <f>'Expenditures 15-22'!E49</f>
        <v>2623</v>
      </c>
      <c r="D848" s="2" t="str">
        <f t="shared" si="12"/>
        <v>Error?</v>
      </c>
    </row>
    <row r="849" spans="1:4" x14ac:dyDescent="0.2">
      <c r="A849" s="5">
        <v>788</v>
      </c>
      <c r="B849" s="1825">
        <f>'Expenditures 15-22'!E50</f>
        <v>1304</v>
      </c>
      <c r="D849" s="2" t="str">
        <f t="shared" si="12"/>
        <v>Error?</v>
      </c>
    </row>
    <row r="850" spans="1:4" x14ac:dyDescent="0.2">
      <c r="A850" s="5">
        <v>789</v>
      </c>
      <c r="B850" s="1825">
        <f>'Expenditures 15-22'!E53</f>
        <v>3927</v>
      </c>
      <c r="C850" s="2" t="s">
        <v>569</v>
      </c>
      <c r="D850" s="2" t="str">
        <f t="shared" si="12"/>
        <v>Error?</v>
      </c>
    </row>
    <row r="851" spans="1:4" x14ac:dyDescent="0.2">
      <c r="A851" s="5">
        <v>790</v>
      </c>
      <c r="B851" s="1825">
        <f>'Expenditures 15-22'!E55</f>
        <v>1745</v>
      </c>
      <c r="D851" s="2" t="str">
        <f t="shared" si="12"/>
        <v>Error?</v>
      </c>
    </row>
    <row r="852" spans="1:4" x14ac:dyDescent="0.2">
      <c r="A852" s="5">
        <v>791</v>
      </c>
      <c r="B852" s="1825">
        <f>'Expenditures 15-22'!E56</f>
        <v>220</v>
      </c>
      <c r="D852" s="2" t="str">
        <f t="shared" si="12"/>
        <v>Error?</v>
      </c>
    </row>
    <row r="853" spans="1:4" x14ac:dyDescent="0.2">
      <c r="A853" s="5">
        <v>792</v>
      </c>
      <c r="B853" s="1825">
        <f>'Expenditures 15-22'!E57</f>
        <v>1965</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10724</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31437</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42161</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60407</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60407</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218678</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271711</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70422</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6803</v>
      </c>
      <c r="D891" s="2" t="str">
        <f t="shared" si="12"/>
        <v>Error?</v>
      </c>
    </row>
    <row r="892" spans="1:4" x14ac:dyDescent="0.2">
      <c r="A892" s="5">
        <v>831</v>
      </c>
      <c r="B892" s="1825">
        <f>'Expenditures 15-22'!F14</f>
        <v>39817</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124855</v>
      </c>
      <c r="C894" s="2" t="s">
        <v>569</v>
      </c>
      <c r="D894" s="2" t="str">
        <f t="shared" si="12"/>
        <v>Error?</v>
      </c>
    </row>
    <row r="895" spans="1:4" x14ac:dyDescent="0.2">
      <c r="A895" s="5">
        <v>834</v>
      </c>
      <c r="B895" s="1825">
        <f>'Expenditures 15-22'!F36</f>
        <v>57</v>
      </c>
      <c r="D895" s="2" t="str">
        <f t="shared" ref="D895:D958" si="13">IF(ISBLANK(B895),"OK",IF(A895-B895=0,"OK","Error?"))</f>
        <v>Error?</v>
      </c>
    </row>
    <row r="896" spans="1:4" x14ac:dyDescent="0.2">
      <c r="A896" s="5">
        <v>835</v>
      </c>
      <c r="B896" s="1825">
        <f>'Expenditures 15-22'!F37</f>
        <v>1057</v>
      </c>
      <c r="D896" s="2" t="str">
        <f t="shared" si="13"/>
        <v>Error?</v>
      </c>
    </row>
    <row r="897" spans="1:4" x14ac:dyDescent="0.2">
      <c r="A897" s="5">
        <v>836</v>
      </c>
      <c r="B897" s="1825">
        <f>'Expenditures 15-22'!F38</f>
        <v>1780</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2894</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99638</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99638</v>
      </c>
      <c r="C905" s="2" t="s">
        <v>569</v>
      </c>
      <c r="D905" s="2" t="str">
        <f t="shared" si="13"/>
        <v>Error?</v>
      </c>
    </row>
    <row r="906" spans="1:4" x14ac:dyDescent="0.2">
      <c r="A906" s="5">
        <v>845</v>
      </c>
      <c r="B906" s="1825">
        <f>'Expenditures 15-22'!F49</f>
        <v>0</v>
      </c>
      <c r="D906" s="2" t="str">
        <f t="shared" si="13"/>
        <v>Error?</v>
      </c>
    </row>
    <row r="907" spans="1:4" x14ac:dyDescent="0.2">
      <c r="A907" s="5">
        <v>846</v>
      </c>
      <c r="B907" s="1825">
        <f>'Expenditures 15-22'!F50</f>
        <v>10</v>
      </c>
      <c r="D907" s="2" t="str">
        <f t="shared" si="13"/>
        <v>Error?</v>
      </c>
    </row>
    <row r="908" spans="1:4" x14ac:dyDescent="0.2">
      <c r="A908" s="5">
        <v>847</v>
      </c>
      <c r="B908" s="1825">
        <f>'Expenditures 15-22'!F53</f>
        <v>10</v>
      </c>
      <c r="C908" s="2" t="s">
        <v>569</v>
      </c>
      <c r="D908" s="2" t="str">
        <f t="shared" si="13"/>
        <v>Error?</v>
      </c>
    </row>
    <row r="909" spans="1:4" x14ac:dyDescent="0.2">
      <c r="A909" s="5">
        <v>848</v>
      </c>
      <c r="B909" s="1825">
        <f>'Expenditures 15-22'!F55</f>
        <v>1870</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1870</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8158</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196644</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204802</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309214</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434069</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0</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40248</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40248</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1020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1020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2892</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822</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3714</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44982</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44982</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7403</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7403</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5994</v>
      </c>
      <c r="D1022" s="2" t="str">
        <f t="shared" si="14"/>
        <v>Error?</v>
      </c>
    </row>
    <row r="1023" spans="1:4" x14ac:dyDescent="0.2">
      <c r="A1023" s="5">
        <v>962</v>
      </c>
      <c r="B1023" s="1825">
        <f>'Expenditures 15-22'!H50</f>
        <v>1677</v>
      </c>
      <c r="D1023" s="2" t="str">
        <f t="shared" ref="D1023:D1086" si="15">IF(ISBLANK(B1023),"OK",IF(A1023-B1023=0,"OK","Error?"))</f>
        <v>Error?</v>
      </c>
    </row>
    <row r="1024" spans="1:4" x14ac:dyDescent="0.2">
      <c r="A1024" s="5">
        <v>963</v>
      </c>
      <c r="B1024" s="1825">
        <f>'Expenditures 15-22'!H53</f>
        <v>7671</v>
      </c>
      <c r="C1024" s="2" t="s">
        <v>569</v>
      </c>
      <c r="D1024" s="2" t="str">
        <f t="shared" si="15"/>
        <v>Error?</v>
      </c>
    </row>
    <row r="1025" spans="1:4" x14ac:dyDescent="0.2">
      <c r="A1025" s="5">
        <v>964</v>
      </c>
      <c r="B1025" s="1825">
        <f>'Expenditures 15-22'!H55</f>
        <v>1317</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1317</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8988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419362</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435753</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2979334</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98465</v>
      </c>
      <c r="C1105" s="2" t="s">
        <v>569</v>
      </c>
      <c r="D1105" s="2" t="str">
        <f t="shared" si="16"/>
        <v>Error?</v>
      </c>
    </row>
    <row r="1106" spans="1:4" x14ac:dyDescent="0.2">
      <c r="A1106" s="5">
        <v>1045</v>
      </c>
      <c r="B1106" s="1825">
        <f>'Expenditures 15-22'!K14</f>
        <v>435455</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4268472</v>
      </c>
      <c r="C1108" s="2" t="s">
        <v>569</v>
      </c>
      <c r="D1108" s="2" t="str">
        <f t="shared" si="16"/>
        <v>Error?</v>
      </c>
    </row>
    <row r="1109" spans="1:4" x14ac:dyDescent="0.2">
      <c r="A1109" s="5">
        <v>1048</v>
      </c>
      <c r="B1109" s="1825">
        <f>'Expenditures 15-22'!K36</f>
        <v>9630</v>
      </c>
      <c r="C1109" s="2" t="s">
        <v>569</v>
      </c>
      <c r="D1109" s="2" t="str">
        <f t="shared" si="16"/>
        <v>Error?</v>
      </c>
    </row>
    <row r="1110" spans="1:4" x14ac:dyDescent="0.2">
      <c r="A1110" s="5">
        <v>1049</v>
      </c>
      <c r="B1110" s="1825">
        <f>'Expenditures 15-22'!K37</f>
        <v>96934</v>
      </c>
      <c r="C1110" s="2" t="s">
        <v>569</v>
      </c>
      <c r="D1110" s="2" t="str">
        <f t="shared" si="16"/>
        <v>Error?</v>
      </c>
    </row>
    <row r="1111" spans="1:4" x14ac:dyDescent="0.2">
      <c r="A1111" s="5">
        <v>1050</v>
      </c>
      <c r="B1111" s="1825">
        <f>'Expenditures 15-22'!K38</f>
        <v>14185</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1500</v>
      </c>
      <c r="C1114" s="2" t="s">
        <v>569</v>
      </c>
      <c r="D1114" s="2" t="str">
        <f t="shared" si="16"/>
        <v>Error?</v>
      </c>
    </row>
    <row r="1115" spans="1:4" x14ac:dyDescent="0.2">
      <c r="A1115" s="5">
        <v>1054</v>
      </c>
      <c r="B1115" s="1825">
        <f>'Expenditures 15-22'!K42</f>
        <v>122249</v>
      </c>
      <c r="C1115" s="2" t="s">
        <v>569</v>
      </c>
      <c r="D1115" s="2" t="str">
        <f t="shared" si="16"/>
        <v>Error?</v>
      </c>
    </row>
    <row r="1116" spans="1:4" x14ac:dyDescent="0.2">
      <c r="A1116" s="5">
        <v>1055</v>
      </c>
      <c r="B1116" s="1825">
        <f>'Expenditures 15-22'!K44</f>
        <v>30060</v>
      </c>
      <c r="C1116" s="2" t="s">
        <v>569</v>
      </c>
      <c r="D1116" s="2" t="str">
        <f t="shared" si="16"/>
        <v>Error?</v>
      </c>
    </row>
    <row r="1117" spans="1:4" x14ac:dyDescent="0.2">
      <c r="A1117" s="5">
        <v>1056</v>
      </c>
      <c r="B1117" s="1825">
        <f>'Expenditures 15-22'!K45</f>
        <v>246439</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276499</v>
      </c>
      <c r="C1119" s="2" t="s">
        <v>569</v>
      </c>
      <c r="D1119" s="2" t="str">
        <f t="shared" si="16"/>
        <v>Error?</v>
      </c>
    </row>
    <row r="1120" spans="1:4" x14ac:dyDescent="0.2">
      <c r="A1120" s="5">
        <v>1059</v>
      </c>
      <c r="B1120" s="1825">
        <f>'Expenditures 15-22'!K49</f>
        <v>38053</v>
      </c>
      <c r="C1120" s="2" t="s">
        <v>569</v>
      </c>
      <c r="D1120" s="2" t="str">
        <f t="shared" si="16"/>
        <v>Error?</v>
      </c>
    </row>
    <row r="1121" spans="1:4" x14ac:dyDescent="0.2">
      <c r="A1121" s="5">
        <v>1060</v>
      </c>
      <c r="B1121" s="1825">
        <f>'Expenditures 15-22'!K50</f>
        <v>87616</v>
      </c>
      <c r="C1121" s="2" t="s">
        <v>569</v>
      </c>
      <c r="D1121" s="2" t="str">
        <f t="shared" si="16"/>
        <v>Error?</v>
      </c>
    </row>
    <row r="1122" spans="1:4" x14ac:dyDescent="0.2">
      <c r="A1122" s="5">
        <v>1061</v>
      </c>
      <c r="B1122" s="1825">
        <f>'Expenditures 15-22'!K53</f>
        <v>125669</v>
      </c>
      <c r="C1122" s="2" t="s">
        <v>569</v>
      </c>
      <c r="D1122" s="2" t="str">
        <f t="shared" si="16"/>
        <v>Error?</v>
      </c>
    </row>
    <row r="1123" spans="1:4" x14ac:dyDescent="0.2">
      <c r="A1123" s="5">
        <v>1062</v>
      </c>
      <c r="B1123" s="1825">
        <f>'Expenditures 15-22'!K55</f>
        <v>269532</v>
      </c>
      <c r="C1123" s="2" t="s">
        <v>569</v>
      </c>
      <c r="D1123" s="2" t="str">
        <f t="shared" si="16"/>
        <v>Error?</v>
      </c>
    </row>
    <row r="1124" spans="1:4" x14ac:dyDescent="0.2">
      <c r="A1124" s="5">
        <v>1063</v>
      </c>
      <c r="B1124" s="1825">
        <f>'Expenditures 15-22'!K56</f>
        <v>28594</v>
      </c>
      <c r="C1124" s="2" t="s">
        <v>569</v>
      </c>
      <c r="D1124" s="2" t="str">
        <f t="shared" si="16"/>
        <v>Error?</v>
      </c>
    </row>
    <row r="1125" spans="1:4" x14ac:dyDescent="0.2">
      <c r="A1125" s="5">
        <v>1064</v>
      </c>
      <c r="B1125" s="1825">
        <f>'Expenditures 15-22'!K57</f>
        <v>298126</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90290</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386392</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476682</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60407</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60407</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1359632</v>
      </c>
      <c r="C1143" s="2" t="s">
        <v>569</v>
      </c>
      <c r="D1143" s="2" t="str">
        <f t="shared" si="16"/>
        <v>Error?</v>
      </c>
    </row>
    <row r="1144" spans="1:4" x14ac:dyDescent="0.2">
      <c r="A1144" s="5">
        <v>1083</v>
      </c>
      <c r="B1144" s="1825">
        <f>'Expenditures 15-22'!K75</f>
        <v>16392</v>
      </c>
      <c r="C1144" s="2" t="s">
        <v>569</v>
      </c>
      <c r="D1144" s="2" t="str">
        <f t="shared" si="16"/>
        <v>Error?</v>
      </c>
    </row>
    <row r="1145" spans="1:4" x14ac:dyDescent="0.2">
      <c r="A1145" s="5">
        <v>1084</v>
      </c>
      <c r="B1145" s="1825">
        <f>'Expenditures 15-22'!K102</f>
        <v>419362</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6063858</v>
      </c>
      <c r="C1152" s="2" t="s">
        <v>569</v>
      </c>
      <c r="D1152" s="2" t="str">
        <f t="shared" si="17"/>
        <v>Error?</v>
      </c>
    </row>
    <row r="1153" spans="1:4" x14ac:dyDescent="0.2">
      <c r="A1153" s="5">
        <v>1092</v>
      </c>
      <c r="B1153" s="1825">
        <f>'Expenditures 15-22'!K115</f>
        <v>-196256</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21471</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137967</v>
      </c>
      <c r="D1221" s="2" t="str">
        <f t="shared" si="18"/>
        <v>Error?</v>
      </c>
    </row>
    <row r="1222" spans="1:4" x14ac:dyDescent="0.2">
      <c r="A1222" s="10">
        <v>1161</v>
      </c>
      <c r="B1222" s="1825"/>
      <c r="D1222" s="2" t="str">
        <f t="shared" si="18"/>
        <v>OK</v>
      </c>
    </row>
    <row r="1223" spans="1:4" x14ac:dyDescent="0.2">
      <c r="A1223" s="5">
        <v>1162</v>
      </c>
      <c r="B1223" s="1825">
        <f>'Expenditures 15-22'!C127</f>
        <v>159438</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166970</v>
      </c>
      <c r="C1225" s="2" t="s">
        <v>569</v>
      </c>
      <c r="D1225" s="2" t="str">
        <f t="shared" si="18"/>
        <v>Error?</v>
      </c>
    </row>
    <row r="1226" spans="1:4" x14ac:dyDescent="0.2">
      <c r="A1226" s="5">
        <v>1165</v>
      </c>
      <c r="B1226" s="1825">
        <f>'Expenditures 15-22'!C151</f>
        <v>166970</v>
      </c>
      <c r="C1226" s="2" t="s">
        <v>569</v>
      </c>
      <c r="D1226" s="2" t="str">
        <f t="shared" si="18"/>
        <v>Error?</v>
      </c>
    </row>
    <row r="1227" spans="1:4" x14ac:dyDescent="0.2">
      <c r="A1227" s="5">
        <v>1166</v>
      </c>
      <c r="B1227" s="1825">
        <f>'Expenditures 15-22'!D122</f>
        <v>3950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29167</v>
      </c>
      <c r="D1229" s="2" t="str">
        <f t="shared" si="18"/>
        <v>Error?</v>
      </c>
    </row>
    <row r="1230" spans="1:4" x14ac:dyDescent="0.2">
      <c r="A1230" s="10">
        <v>1169</v>
      </c>
      <c r="B1230" s="1825"/>
      <c r="D1230" s="2" t="str">
        <f t="shared" si="18"/>
        <v>OK</v>
      </c>
    </row>
    <row r="1231" spans="1:4" x14ac:dyDescent="0.2">
      <c r="A1231" s="5">
        <v>1170</v>
      </c>
      <c r="B1231" s="1825">
        <f>'Expenditures 15-22'!D127</f>
        <v>33117</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35401</v>
      </c>
      <c r="C1233" s="2" t="s">
        <v>569</v>
      </c>
      <c r="D1233" s="2" t="str">
        <f t="shared" si="18"/>
        <v>Error?</v>
      </c>
    </row>
    <row r="1234" spans="1:4" x14ac:dyDescent="0.2">
      <c r="A1234" s="5">
        <v>1173</v>
      </c>
      <c r="B1234" s="1825">
        <f>'Expenditures 15-22'!D151</f>
        <v>35401</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148024</v>
      </c>
      <c r="D1237" s="2" t="str">
        <f t="shared" si="18"/>
        <v>Error?</v>
      </c>
    </row>
    <row r="1238" spans="1:4" x14ac:dyDescent="0.2">
      <c r="A1238" s="10">
        <v>1177</v>
      </c>
      <c r="B1238" s="1825"/>
      <c r="D1238" s="2" t="str">
        <f t="shared" si="18"/>
        <v>OK</v>
      </c>
    </row>
    <row r="1239" spans="1:4" x14ac:dyDescent="0.2">
      <c r="A1239" s="5">
        <v>1178</v>
      </c>
      <c r="B1239" s="1825">
        <f>'Expenditures 15-22'!E127</f>
        <v>148024</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148024</v>
      </c>
      <c r="C1241" s="2" t="s">
        <v>569</v>
      </c>
      <c r="D1241" s="2" t="str">
        <f t="shared" si="18"/>
        <v>Error?</v>
      </c>
    </row>
    <row r="1242" spans="1:4" x14ac:dyDescent="0.2">
      <c r="A1242" s="5">
        <v>1181</v>
      </c>
      <c r="B1242" s="1825">
        <f>'Expenditures 15-22'!E151</f>
        <v>148024</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133076</v>
      </c>
      <c r="D1245" s="2" t="str">
        <f t="shared" si="18"/>
        <v>Error?</v>
      </c>
    </row>
    <row r="1246" spans="1:4" x14ac:dyDescent="0.2">
      <c r="A1246" s="10">
        <v>1185</v>
      </c>
      <c r="B1246" s="1825"/>
      <c r="D1246" s="2" t="str">
        <f t="shared" si="18"/>
        <v>OK</v>
      </c>
    </row>
    <row r="1247" spans="1:4" x14ac:dyDescent="0.2">
      <c r="A1247" s="5">
        <v>1186</v>
      </c>
      <c r="B1247" s="1825">
        <f>'Expenditures 15-22'!F127</f>
        <v>133076</v>
      </c>
      <c r="C1247" s="2" t="s">
        <v>569</v>
      </c>
      <c r="D1247" s="2" t="str">
        <f t="shared" si="18"/>
        <v>Error?</v>
      </c>
    </row>
    <row r="1248" spans="1:4" x14ac:dyDescent="0.2">
      <c r="A1248" s="5">
        <v>1187</v>
      </c>
      <c r="B1248" s="1825">
        <f>'Expenditures 15-22'!F128</f>
        <v>89</v>
      </c>
      <c r="D1248" s="2" t="str">
        <f t="shared" si="18"/>
        <v>Error?</v>
      </c>
    </row>
    <row r="1249" spans="1:4" x14ac:dyDescent="0.2">
      <c r="A1249" s="5">
        <v>1188</v>
      </c>
      <c r="B1249" s="1825">
        <f>'Expenditures 15-22'!F129</f>
        <v>133165</v>
      </c>
      <c r="C1249" s="2" t="s">
        <v>569</v>
      </c>
      <c r="D1249" s="2" t="str">
        <f t="shared" si="18"/>
        <v>Error?</v>
      </c>
    </row>
    <row r="1250" spans="1:4" x14ac:dyDescent="0.2">
      <c r="A1250" s="5">
        <v>1189</v>
      </c>
      <c r="B1250" s="1825">
        <f>'Expenditures 15-22'!F151</f>
        <v>133165</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110536</v>
      </c>
      <c r="D1252" s="2" t="str">
        <f t="shared" si="18"/>
        <v>Error?</v>
      </c>
    </row>
    <row r="1253" spans="1:4" x14ac:dyDescent="0.2">
      <c r="A1253" s="5">
        <v>1192</v>
      </c>
      <c r="B1253" s="1825">
        <f>'Expenditures 15-22'!G124</f>
        <v>125076</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235612</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235612</v>
      </c>
      <c r="C1258" s="2" t="s">
        <v>569</v>
      </c>
      <c r="D1258" s="2" t="str">
        <f t="shared" si="18"/>
        <v>Error?</v>
      </c>
    </row>
    <row r="1259" spans="1:4" x14ac:dyDescent="0.2">
      <c r="A1259" s="5">
        <v>1198</v>
      </c>
      <c r="B1259" s="1825">
        <f>'Expenditures 15-22'!G151</f>
        <v>235612</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11512</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11512</v>
      </c>
      <c r="C1273" s="2" t="s">
        <v>569</v>
      </c>
      <c r="D1273" s="2" t="str">
        <f t="shared" si="18"/>
        <v>Error?</v>
      </c>
    </row>
    <row r="1274" spans="1:4" x14ac:dyDescent="0.2">
      <c r="A1274" s="5">
        <v>1213</v>
      </c>
      <c r="B1274" s="1825">
        <f>'Expenditures 15-22'!K122</f>
        <v>25421</v>
      </c>
      <c r="C1274" s="2" t="s">
        <v>569</v>
      </c>
      <c r="D1274" s="2" t="str">
        <f t="shared" si="18"/>
        <v>Error?</v>
      </c>
    </row>
    <row r="1275" spans="1:4" x14ac:dyDescent="0.2">
      <c r="A1275" s="5">
        <v>1214</v>
      </c>
      <c r="B1275" s="1825">
        <f>'Expenditures 15-22'!K123</f>
        <v>110536</v>
      </c>
      <c r="C1275" s="2" t="s">
        <v>569</v>
      </c>
      <c r="D1275" s="2" t="str">
        <f t="shared" si="18"/>
        <v>Error?</v>
      </c>
    </row>
    <row r="1276" spans="1:4" x14ac:dyDescent="0.2">
      <c r="A1276" s="5">
        <v>1215</v>
      </c>
      <c r="B1276" s="1825">
        <f>'Expenditures 15-22'!K124</f>
        <v>573310</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709267</v>
      </c>
      <c r="C1279" s="2" t="s">
        <v>569</v>
      </c>
      <c r="D1279" s="2" t="str">
        <f t="shared" ref="D1279:D1342" si="19">IF(ISBLANK(B1279),"OK",IF(A1279-B1279=0,"OK","Error?"))</f>
        <v>Error?</v>
      </c>
    </row>
    <row r="1280" spans="1:4" x14ac:dyDescent="0.2">
      <c r="A1280" s="5">
        <v>1219</v>
      </c>
      <c r="B1280" s="1825">
        <f>'Expenditures 15-22'!K128</f>
        <v>89</v>
      </c>
      <c r="C1280" s="2" t="s">
        <v>569</v>
      </c>
      <c r="D1280" s="2" t="str">
        <f t="shared" si="19"/>
        <v>Error?</v>
      </c>
    </row>
    <row r="1281" spans="1:4" x14ac:dyDescent="0.2">
      <c r="A1281" s="5">
        <v>1220</v>
      </c>
      <c r="B1281" s="1825">
        <f>'Expenditures 15-22'!K129</f>
        <v>719172</v>
      </c>
      <c r="C1281" s="2" t="s">
        <v>569</v>
      </c>
      <c r="D1281" s="2" t="str">
        <f t="shared" si="19"/>
        <v>Error?</v>
      </c>
    </row>
    <row r="1282" spans="1:4" x14ac:dyDescent="0.2">
      <c r="A1282" s="5">
        <v>1221</v>
      </c>
      <c r="B1282" s="1825">
        <f>'Expenditures 15-22'!K139</f>
        <v>11512</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730684</v>
      </c>
      <c r="C1288" s="2" t="s">
        <v>569</v>
      </c>
      <c r="D1288" s="2" t="str">
        <f t="shared" si="19"/>
        <v>Error?</v>
      </c>
    </row>
    <row r="1289" spans="1:4" x14ac:dyDescent="0.2">
      <c r="A1289" s="5">
        <v>1228</v>
      </c>
      <c r="B1289" s="1825">
        <f>'Expenditures 15-22'!K152</f>
        <v>-262998</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891498</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199552</v>
      </c>
      <c r="D1315" s="2" t="str">
        <f t="shared" si="19"/>
        <v>Error?</v>
      </c>
    </row>
    <row r="1316" spans="1:4" x14ac:dyDescent="0.2">
      <c r="A1316" s="5">
        <v>1255</v>
      </c>
      <c r="B1316" s="1825">
        <f>'Expenditures 15-22'!H171</f>
        <v>474</v>
      </c>
      <c r="D1316" s="2" t="str">
        <f t="shared" si="19"/>
        <v>Error?</v>
      </c>
    </row>
    <row r="1317" spans="1:4" x14ac:dyDescent="0.2">
      <c r="A1317" s="5">
        <v>1256</v>
      </c>
      <c r="B1317" s="1825">
        <f>'Expenditures 15-22'!H172</f>
        <v>1091524</v>
      </c>
      <c r="C1317" s="2" t="s">
        <v>569</v>
      </c>
      <c r="D1317" s="2" t="str">
        <f t="shared" si="19"/>
        <v>Error?</v>
      </c>
    </row>
    <row r="1318" spans="1:4" x14ac:dyDescent="0.2">
      <c r="A1318" s="5">
        <v>1257</v>
      </c>
      <c r="B1318" s="1825">
        <f>'Expenditures 15-22'!H174</f>
        <v>1091524</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891498</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199552</v>
      </c>
      <c r="C1329" s="2" t="s">
        <v>569</v>
      </c>
      <c r="D1329" s="2" t="str">
        <f t="shared" si="19"/>
        <v>Error?</v>
      </c>
    </row>
    <row r="1330" spans="1:4" x14ac:dyDescent="0.2">
      <c r="A1330" s="5">
        <v>1269</v>
      </c>
      <c r="B1330" s="1825">
        <f>'Expenditures 15-22'!K171</f>
        <v>474</v>
      </c>
      <c r="C1330" s="2" t="s">
        <v>569</v>
      </c>
      <c r="D1330" s="2" t="str">
        <f t="shared" si="19"/>
        <v>Error?</v>
      </c>
    </row>
    <row r="1331" spans="1:4" x14ac:dyDescent="0.2">
      <c r="A1331" s="5">
        <v>1270</v>
      </c>
      <c r="B1331" s="1825">
        <f>'Expenditures 15-22'!K172</f>
        <v>1091524</v>
      </c>
      <c r="C1331" s="2" t="s">
        <v>569</v>
      </c>
      <c r="D1331" s="2" t="str">
        <f t="shared" si="19"/>
        <v>Error?</v>
      </c>
    </row>
    <row r="1332" spans="1:4" x14ac:dyDescent="0.2">
      <c r="A1332" s="5">
        <v>1271</v>
      </c>
      <c r="B1332" s="1825">
        <f>'Expenditures 15-22'!K174</f>
        <v>1091524</v>
      </c>
      <c r="C1332" s="2" t="s">
        <v>569</v>
      </c>
      <c r="D1332" s="2" t="str">
        <f t="shared" si="19"/>
        <v>Error?</v>
      </c>
    </row>
    <row r="1333" spans="1:4" x14ac:dyDescent="0.2">
      <c r="A1333" s="5">
        <v>1272</v>
      </c>
      <c r="B1333" s="1825">
        <f>'Expenditures 15-22'!K175</f>
        <v>-179834</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251833</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251833</v>
      </c>
      <c r="C1339" s="2" t="s">
        <v>569</v>
      </c>
      <c r="D1339" s="2" t="str">
        <f t="shared" si="19"/>
        <v>Error?</v>
      </c>
    </row>
    <row r="1340" spans="1:4" x14ac:dyDescent="0.2">
      <c r="A1340" s="5">
        <v>1279</v>
      </c>
      <c r="B1340" s="1825">
        <f>'Expenditures 15-22'!C210</f>
        <v>251833</v>
      </c>
      <c r="C1340" s="2" t="s">
        <v>569</v>
      </c>
      <c r="D1340" s="2" t="str">
        <f t="shared" si="19"/>
        <v>Error?</v>
      </c>
    </row>
    <row r="1341" spans="1:4" x14ac:dyDescent="0.2">
      <c r="A1341" s="5">
        <v>1280</v>
      </c>
      <c r="B1341" s="1825">
        <f>'Expenditures 15-22'!D182</f>
        <v>43626</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43626</v>
      </c>
      <c r="C1345" s="2" t="s">
        <v>569</v>
      </c>
      <c r="D1345" s="2" t="str">
        <f t="shared" si="20"/>
        <v>Error?</v>
      </c>
    </row>
    <row r="1346" spans="1:4" x14ac:dyDescent="0.2">
      <c r="A1346" s="5">
        <v>1285</v>
      </c>
      <c r="B1346" s="1825">
        <f>'Expenditures 15-22'!D210</f>
        <v>43626</v>
      </c>
      <c r="C1346" s="2" t="s">
        <v>569</v>
      </c>
      <c r="D1346" s="2" t="str">
        <f t="shared" si="20"/>
        <v>Error?</v>
      </c>
    </row>
    <row r="1347" spans="1:4" x14ac:dyDescent="0.2">
      <c r="A1347" s="5">
        <v>1286</v>
      </c>
      <c r="B1347" s="1825">
        <f>'Expenditures 15-22'!E182</f>
        <v>41071</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41071</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41071</v>
      </c>
      <c r="C1353" s="2" t="s">
        <v>569</v>
      </c>
      <c r="D1353" s="2" t="str">
        <f t="shared" si="20"/>
        <v>Error?</v>
      </c>
    </row>
    <row r="1354" spans="1:4" x14ac:dyDescent="0.2">
      <c r="A1354" s="5">
        <v>1293</v>
      </c>
      <c r="B1354" s="1825">
        <f>'Expenditures 15-22'!F182</f>
        <v>73270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73270</v>
      </c>
      <c r="C1358" s="2" t="s">
        <v>569</v>
      </c>
      <c r="D1358" s="2" t="str">
        <f t="shared" si="20"/>
        <v>Error?</v>
      </c>
    </row>
    <row r="1359" spans="1:4" x14ac:dyDescent="0.2">
      <c r="A1359" s="5">
        <v>1298</v>
      </c>
      <c r="B1359" s="1825">
        <f>'Expenditures 15-22'!F210</f>
        <v>73270</v>
      </c>
      <c r="C1359" s="2" t="s">
        <v>569</v>
      </c>
      <c r="D1359" s="2" t="str">
        <f t="shared" si="20"/>
        <v>Error?</v>
      </c>
    </row>
    <row r="1360" spans="1:4" x14ac:dyDescent="0.2">
      <c r="A1360" s="5">
        <v>1299</v>
      </c>
      <c r="B1360" s="1825">
        <f>'Expenditures 15-22'!G182</f>
        <v>73858</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73858</v>
      </c>
      <c r="C1364" s="2" t="s">
        <v>569</v>
      </c>
      <c r="D1364" s="2" t="str">
        <f t="shared" si="20"/>
        <v>Error?</v>
      </c>
    </row>
    <row r="1365" spans="1:4" x14ac:dyDescent="0.2">
      <c r="A1365" s="5">
        <v>1304</v>
      </c>
      <c r="B1365" s="1825">
        <f>'Expenditures 15-22'!G210</f>
        <v>73858</v>
      </c>
      <c r="C1365" s="2" t="s">
        <v>569</v>
      </c>
      <c r="D1365" s="2" t="str">
        <f t="shared" si="20"/>
        <v>Error?</v>
      </c>
    </row>
    <row r="1366" spans="1:4" x14ac:dyDescent="0.2">
      <c r="A1366" s="5">
        <v>1305</v>
      </c>
      <c r="B1366" s="1825">
        <f>'Expenditures 15-22'!H182</f>
        <v>141966</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141966</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141966</v>
      </c>
      <c r="C1376" s="2" t="s">
        <v>569</v>
      </c>
      <c r="D1376" s="2" t="str">
        <f t="shared" si="20"/>
        <v>Error?</v>
      </c>
    </row>
    <row r="1377" spans="1:4" x14ac:dyDescent="0.2">
      <c r="A1377" s="5">
        <v>1316</v>
      </c>
      <c r="B1377" s="1825">
        <f>'Expenditures 15-22'!K182</f>
        <v>625624</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625624</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625624</v>
      </c>
      <c r="C1388" s="2" t="s">
        <v>569</v>
      </c>
      <c r="D1388" s="2" t="str">
        <f t="shared" si="20"/>
        <v>Error?</v>
      </c>
    </row>
    <row r="1389" spans="1:4" x14ac:dyDescent="0.2">
      <c r="A1389" s="5">
        <v>1328</v>
      </c>
      <c r="B1389" s="1825">
        <f>'Expenditures 15-22'!K211</f>
        <v>-30992</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1153</v>
      </c>
      <c r="D1407" s="2" t="str">
        <f t="shared" ref="D1407:D1470" si="21">IF(ISBLANK(B1407),"OK",IF(A1407-B1407=0,"OK","Error?"))</f>
        <v>Error?</v>
      </c>
    </row>
    <row r="1408" spans="1:4" x14ac:dyDescent="0.2">
      <c r="A1408" s="5">
        <v>1347</v>
      </c>
      <c r="B1408" s="1825">
        <f>'Expenditures 15-22'!D223</f>
        <v>6539</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60278</v>
      </c>
      <c r="C1410" s="2" t="s">
        <v>569</v>
      </c>
      <c r="D1410" s="2" t="str">
        <f t="shared" si="21"/>
        <v>Error?</v>
      </c>
    </row>
    <row r="1411" spans="1:4" x14ac:dyDescent="0.2">
      <c r="A1411" s="5">
        <v>1350</v>
      </c>
      <c r="B1411" s="1825">
        <f>'Expenditures 15-22'!D232</f>
        <v>137</v>
      </c>
      <c r="D1411" s="2" t="str">
        <f t="shared" si="21"/>
        <v>Error?</v>
      </c>
    </row>
    <row r="1412" spans="1:4" x14ac:dyDescent="0.2">
      <c r="A1412" s="5">
        <v>1351</v>
      </c>
      <c r="B1412" s="1825">
        <f>'Expenditures 15-22'!D233</f>
        <v>3566</v>
      </c>
      <c r="D1412" s="2" t="str">
        <f t="shared" si="21"/>
        <v>Error?</v>
      </c>
    </row>
    <row r="1413" spans="1:4" x14ac:dyDescent="0.2">
      <c r="A1413" s="5">
        <v>1352</v>
      </c>
      <c r="B1413" s="1825">
        <f>'Expenditures 15-22'!D234</f>
        <v>1181</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460</v>
      </c>
      <c r="D1416" s="2" t="str">
        <f t="shared" si="21"/>
        <v>Error?</v>
      </c>
    </row>
    <row r="1417" spans="1:4" x14ac:dyDescent="0.2">
      <c r="A1417" s="5">
        <v>1356</v>
      </c>
      <c r="B1417" s="1825">
        <f>'Expenditures 15-22'!D238</f>
        <v>5344</v>
      </c>
      <c r="C1417" s="2" t="s">
        <v>569</v>
      </c>
      <c r="D1417" s="2" t="str">
        <f t="shared" si="21"/>
        <v>Error?</v>
      </c>
    </row>
    <row r="1418" spans="1:4" x14ac:dyDescent="0.2">
      <c r="A1418" s="5">
        <v>1357</v>
      </c>
      <c r="B1418" s="1825">
        <f>'Expenditures 15-22'!D240</f>
        <v>361</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361</v>
      </c>
      <c r="C1421" s="2" t="s">
        <v>569</v>
      </c>
      <c r="D1421" s="2" t="str">
        <f t="shared" si="21"/>
        <v>Error?</v>
      </c>
    </row>
    <row r="1422" spans="1:4" x14ac:dyDescent="0.2">
      <c r="A1422" s="5">
        <v>1361</v>
      </c>
      <c r="B1422" s="1825">
        <f>'Expenditures 15-22'!D245</f>
        <v>176</v>
      </c>
      <c r="D1422" s="2" t="str">
        <f t="shared" si="21"/>
        <v>Error?</v>
      </c>
    </row>
    <row r="1423" spans="1:4" x14ac:dyDescent="0.2">
      <c r="A1423" s="5">
        <v>1362</v>
      </c>
      <c r="B1423" s="1825">
        <f>'Expenditures 15-22'!D246</f>
        <v>4311</v>
      </c>
      <c r="D1423" s="2" t="str">
        <f t="shared" si="21"/>
        <v>Error?</v>
      </c>
    </row>
    <row r="1424" spans="1:4" x14ac:dyDescent="0.2">
      <c r="A1424" s="5">
        <v>1363</v>
      </c>
      <c r="B1424" s="1825">
        <f>'Expenditures 15-22'!D257</f>
        <v>25417</v>
      </c>
      <c r="C1424" s="2" t="s">
        <v>569</v>
      </c>
      <c r="D1424" s="2" t="str">
        <f t="shared" si="21"/>
        <v>Error?</v>
      </c>
    </row>
    <row r="1425" spans="1:4" x14ac:dyDescent="0.2">
      <c r="A1425" s="5">
        <v>1364</v>
      </c>
      <c r="B1425" s="1825">
        <f>'Expenditures 15-22'!D259</f>
        <v>12754</v>
      </c>
      <c r="D1425" s="2" t="str">
        <f t="shared" si="21"/>
        <v>Error?</v>
      </c>
    </row>
    <row r="1426" spans="1:4" x14ac:dyDescent="0.2">
      <c r="A1426" s="5">
        <v>1365</v>
      </c>
      <c r="B1426" s="1825">
        <f>'Expenditures 15-22'!D260</f>
        <v>357</v>
      </c>
      <c r="D1426" s="2" t="str">
        <f t="shared" si="21"/>
        <v>Error?</v>
      </c>
    </row>
    <row r="1427" spans="1:4" x14ac:dyDescent="0.2">
      <c r="A1427" s="5">
        <v>1366</v>
      </c>
      <c r="B1427" s="1825">
        <f>'Expenditures 15-22'!D261</f>
        <v>13111</v>
      </c>
      <c r="C1427" s="2" t="s">
        <v>569</v>
      </c>
      <c r="D1427" s="2" t="str">
        <f t="shared" si="21"/>
        <v>Error?</v>
      </c>
    </row>
    <row r="1428" spans="1:4" x14ac:dyDescent="0.2">
      <c r="A1428" s="5">
        <v>1367</v>
      </c>
      <c r="B1428" s="1825">
        <f>'Expenditures 15-22'!D263</f>
        <v>1937</v>
      </c>
      <c r="D1428" s="2" t="str">
        <f t="shared" si="21"/>
        <v>Error?</v>
      </c>
    </row>
    <row r="1429" spans="1:4" x14ac:dyDescent="0.2">
      <c r="A1429" s="5">
        <v>1368</v>
      </c>
      <c r="B1429" s="1825">
        <f>'Expenditures 15-22'!D264</f>
        <v>5078</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12856</v>
      </c>
      <c r="D1431" s="2" t="str">
        <f t="shared" si="21"/>
        <v>Error?</v>
      </c>
    </row>
    <row r="1432" spans="1:4" x14ac:dyDescent="0.2">
      <c r="A1432" s="5">
        <v>1371</v>
      </c>
      <c r="B1432" s="1825">
        <f>'Expenditures 15-22'!D267</f>
        <v>20717</v>
      </c>
      <c r="D1432" s="2" t="str">
        <f t="shared" si="21"/>
        <v>Error?</v>
      </c>
    </row>
    <row r="1433" spans="1:4" x14ac:dyDescent="0.2">
      <c r="A1433" s="5">
        <v>1372</v>
      </c>
      <c r="B1433" s="1825">
        <f>'Expenditures 15-22'!D268</f>
        <v>6844</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47432</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91665</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151943</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1153</v>
      </c>
      <c r="C1471" s="2" t="s">
        <v>569</v>
      </c>
      <c r="D1471" s="2" t="str">
        <f t="shared" ref="D1471:D1534" si="22">IF(ISBLANK(B1471),"OK",IF(A1471-B1471=0,"OK","Error?"))</f>
        <v>Error?</v>
      </c>
    </row>
    <row r="1472" spans="1:4" x14ac:dyDescent="0.2">
      <c r="A1472" s="5">
        <v>1411</v>
      </c>
      <c r="B1472" s="1825">
        <f>'Expenditures 15-22'!K223</f>
        <v>6539</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60278</v>
      </c>
      <c r="C1474" s="2" t="s">
        <v>569</v>
      </c>
      <c r="D1474" s="2" t="str">
        <f t="shared" si="22"/>
        <v>Error?</v>
      </c>
    </row>
    <row r="1475" spans="1:4" x14ac:dyDescent="0.2">
      <c r="A1475" s="5">
        <v>1414</v>
      </c>
      <c r="B1475" s="1825">
        <f>'Expenditures 15-22'!K232</f>
        <v>137</v>
      </c>
      <c r="C1475" s="2" t="s">
        <v>569</v>
      </c>
      <c r="D1475" s="2" t="str">
        <f t="shared" si="22"/>
        <v>Error?</v>
      </c>
    </row>
    <row r="1476" spans="1:4" x14ac:dyDescent="0.2">
      <c r="A1476" s="5">
        <v>1415</v>
      </c>
      <c r="B1476" s="1825">
        <f>'Expenditures 15-22'!K233</f>
        <v>3566</v>
      </c>
      <c r="C1476" s="2" t="s">
        <v>569</v>
      </c>
      <c r="D1476" s="2" t="str">
        <f t="shared" si="22"/>
        <v>Error?</v>
      </c>
    </row>
    <row r="1477" spans="1:4" x14ac:dyDescent="0.2">
      <c r="A1477" s="5">
        <v>1416</v>
      </c>
      <c r="B1477" s="1825">
        <f>'Expenditures 15-22'!K234</f>
        <v>1181</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460</v>
      </c>
      <c r="C1480" s="2" t="s">
        <v>569</v>
      </c>
      <c r="D1480" s="2" t="str">
        <f t="shared" si="22"/>
        <v>Error?</v>
      </c>
    </row>
    <row r="1481" spans="1:4" x14ac:dyDescent="0.2">
      <c r="A1481" s="5">
        <v>1420</v>
      </c>
      <c r="B1481" s="1825">
        <f>'Expenditures 15-22'!K238</f>
        <v>5344</v>
      </c>
      <c r="C1481" s="2" t="s">
        <v>569</v>
      </c>
      <c r="D1481" s="2" t="str">
        <f t="shared" si="22"/>
        <v>Error?</v>
      </c>
    </row>
    <row r="1482" spans="1:4" x14ac:dyDescent="0.2">
      <c r="A1482" s="5">
        <v>1421</v>
      </c>
      <c r="B1482" s="1825">
        <f>'Expenditures 15-22'!K240</f>
        <v>361</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361</v>
      </c>
      <c r="C1485" s="2" t="s">
        <v>569</v>
      </c>
      <c r="D1485" s="2" t="str">
        <f t="shared" si="22"/>
        <v>Error?</v>
      </c>
    </row>
    <row r="1486" spans="1:4" x14ac:dyDescent="0.2">
      <c r="A1486" s="5">
        <v>1425</v>
      </c>
      <c r="B1486" s="1825">
        <f>'Expenditures 15-22'!K245</f>
        <v>176</v>
      </c>
      <c r="C1486" s="2" t="s">
        <v>569</v>
      </c>
      <c r="D1486" s="2" t="str">
        <f t="shared" si="22"/>
        <v>Error?</v>
      </c>
    </row>
    <row r="1487" spans="1:4" x14ac:dyDescent="0.2">
      <c r="A1487" s="5">
        <v>1426</v>
      </c>
      <c r="B1487" s="1825">
        <f>'Expenditures 15-22'!K246</f>
        <v>4311</v>
      </c>
      <c r="C1487" s="2" t="s">
        <v>569</v>
      </c>
      <c r="D1487" s="2" t="str">
        <f t="shared" si="22"/>
        <v>Error?</v>
      </c>
    </row>
    <row r="1488" spans="1:4" x14ac:dyDescent="0.2">
      <c r="A1488" s="5">
        <v>1427</v>
      </c>
      <c r="B1488" s="1825">
        <f>'Expenditures 15-22'!K257</f>
        <v>25417</v>
      </c>
      <c r="C1488" s="2" t="s">
        <v>569</v>
      </c>
      <c r="D1488" s="2" t="str">
        <f t="shared" si="22"/>
        <v>Error?</v>
      </c>
    </row>
    <row r="1489" spans="1:4" x14ac:dyDescent="0.2">
      <c r="A1489" s="5">
        <v>1428</v>
      </c>
      <c r="B1489" s="1825">
        <f>'Expenditures 15-22'!K259</f>
        <v>12754</v>
      </c>
      <c r="C1489" s="2" t="s">
        <v>569</v>
      </c>
      <c r="D1489" s="2" t="str">
        <f t="shared" si="22"/>
        <v>Error?</v>
      </c>
    </row>
    <row r="1490" spans="1:4" x14ac:dyDescent="0.2">
      <c r="A1490" s="5">
        <v>1429</v>
      </c>
      <c r="B1490" s="1825">
        <f>'Expenditures 15-22'!K260</f>
        <v>357</v>
      </c>
      <c r="C1490" s="2" t="s">
        <v>569</v>
      </c>
      <c r="D1490" s="2" t="str">
        <f t="shared" si="22"/>
        <v>Error?</v>
      </c>
    </row>
    <row r="1491" spans="1:4" x14ac:dyDescent="0.2">
      <c r="A1491" s="5">
        <v>1430</v>
      </c>
      <c r="B1491" s="1825">
        <f>'Expenditures 15-22'!K261</f>
        <v>13111</v>
      </c>
      <c r="C1491" s="2" t="s">
        <v>569</v>
      </c>
      <c r="D1491" s="2" t="str">
        <f t="shared" si="22"/>
        <v>Error?</v>
      </c>
    </row>
    <row r="1492" spans="1:4" x14ac:dyDescent="0.2">
      <c r="A1492" s="5">
        <v>1431</v>
      </c>
      <c r="B1492" s="1825">
        <f>'Expenditures 15-22'!K263</f>
        <v>1937</v>
      </c>
      <c r="C1492" s="2" t="s">
        <v>569</v>
      </c>
      <c r="D1492" s="2" t="str">
        <f t="shared" si="22"/>
        <v>Error?</v>
      </c>
    </row>
    <row r="1493" spans="1:4" x14ac:dyDescent="0.2">
      <c r="A1493" s="5">
        <v>1432</v>
      </c>
      <c r="B1493" s="1825">
        <f>'Expenditures 15-22'!K264</f>
        <v>5078</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12856</v>
      </c>
      <c r="C1495" s="2" t="s">
        <v>569</v>
      </c>
      <c r="D1495" s="2" t="str">
        <f t="shared" si="22"/>
        <v>Error?</v>
      </c>
    </row>
    <row r="1496" spans="1:4" x14ac:dyDescent="0.2">
      <c r="A1496" s="5">
        <v>1435</v>
      </c>
      <c r="B1496" s="1825">
        <f>'Expenditures 15-22'!K267</f>
        <v>20717</v>
      </c>
      <c r="C1496" s="2" t="s">
        <v>569</v>
      </c>
      <c r="D1496" s="2" t="str">
        <f t="shared" si="22"/>
        <v>Error?</v>
      </c>
    </row>
    <row r="1497" spans="1:4" x14ac:dyDescent="0.2">
      <c r="A1497" s="5">
        <v>1436</v>
      </c>
      <c r="B1497" s="1825">
        <f>'Expenditures 15-22'!K268</f>
        <v>6844</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47432</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91665</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151943</v>
      </c>
      <c r="C1517" s="2" t="s">
        <v>569</v>
      </c>
      <c r="D1517" s="2" t="str">
        <f t="shared" si="22"/>
        <v>Error?</v>
      </c>
    </row>
    <row r="1518" spans="1:4" x14ac:dyDescent="0.2">
      <c r="A1518" s="5">
        <v>1457</v>
      </c>
      <c r="B1518" s="1825">
        <f>'Expenditures 15-22'!K296</f>
        <v>10929</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63090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63090</v>
      </c>
      <c r="C1547" s="2" t="s">
        <v>569</v>
      </c>
      <c r="D1547" s="2" t="str">
        <f t="shared" si="23"/>
        <v>Error?</v>
      </c>
    </row>
    <row r="1548" spans="1:4" x14ac:dyDescent="0.2">
      <c r="A1548" s="5">
        <v>1487</v>
      </c>
      <c r="B1548" s="1825">
        <f>'Expenditures 15-22'!G312</f>
        <v>63090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63090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63090</v>
      </c>
      <c r="C1559" s="2" t="s">
        <v>569</v>
      </c>
      <c r="D1559" s="2" t="str">
        <f t="shared" si="23"/>
        <v>Error?</v>
      </c>
    </row>
    <row r="1560" spans="1:4" x14ac:dyDescent="0.2">
      <c r="A1560" s="5">
        <v>1499</v>
      </c>
      <c r="B1560" s="1825">
        <f>'Expenditures 15-22'!K312</f>
        <v>63090</v>
      </c>
      <c r="C1560" s="2" t="s">
        <v>569</v>
      </c>
      <c r="D1560" s="2" t="str">
        <f t="shared" si="23"/>
        <v>Error?</v>
      </c>
    </row>
    <row r="1561" spans="1:4" x14ac:dyDescent="0.2">
      <c r="A1561" s="5">
        <v>1500</v>
      </c>
      <c r="B1561" s="1825">
        <f>'Expenditures 15-22'!K313</f>
        <v>-37106</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3197815</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3001559</v>
      </c>
      <c r="C1630" s="2" t="s">
        <v>569</v>
      </c>
      <c r="D1630" s="2" t="str">
        <f t="shared" si="24"/>
        <v>Error?</v>
      </c>
    </row>
    <row r="1631" spans="1:4" x14ac:dyDescent="0.2">
      <c r="A1631" s="5">
        <v>1570</v>
      </c>
      <c r="B1631" s="1825">
        <f>'Acct Summary 7-8'!D79</f>
        <v>1049246</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948398</v>
      </c>
      <c r="C1644" s="2" t="s">
        <v>569</v>
      </c>
      <c r="D1644" s="2" t="str">
        <f t="shared" si="24"/>
        <v>Error?</v>
      </c>
    </row>
    <row r="1645" spans="1:4" x14ac:dyDescent="0.2">
      <c r="A1645" s="5">
        <v>1584</v>
      </c>
      <c r="B1645" s="1825">
        <f>'Acct Summary 7-8'!E79</f>
        <v>414720</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234886</v>
      </c>
      <c r="C1658" s="2" t="s">
        <v>569</v>
      </c>
      <c r="D1658" s="2" t="str">
        <f t="shared" si="24"/>
        <v>Error?</v>
      </c>
    </row>
    <row r="1659" spans="1:4" x14ac:dyDescent="0.2">
      <c r="A1659" s="5">
        <v>1598</v>
      </c>
      <c r="B1659" s="1825">
        <f>'Acct Summary 7-8'!F79</f>
        <v>928061</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897069</v>
      </c>
      <c r="C1672" s="2" t="s">
        <v>569</v>
      </c>
      <c r="D1672" s="2" t="str">
        <f t="shared" si="25"/>
        <v>Error?</v>
      </c>
    </row>
    <row r="1673" spans="1:4" x14ac:dyDescent="0.2">
      <c r="A1673" s="5">
        <v>1612</v>
      </c>
      <c r="B1673" s="1825">
        <f>'Acct Summary 7-8'!G79</f>
        <v>379473</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390402</v>
      </c>
      <c r="C1686" s="2" t="s">
        <v>569</v>
      </c>
      <c r="D1686" s="2" t="str">
        <f t="shared" si="25"/>
        <v>Error?</v>
      </c>
    </row>
    <row r="1687" spans="1:4" x14ac:dyDescent="0.2">
      <c r="A1687" s="5">
        <v>1626</v>
      </c>
      <c r="B1687" s="1825">
        <f>'Acct Summary 7-8'!H79</f>
        <v>1184903</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1147797</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2200326</v>
      </c>
      <c r="C1744" s="2" t="s">
        <v>569</v>
      </c>
      <c r="D1744" s="2" t="str">
        <f t="shared" si="26"/>
        <v>Error?</v>
      </c>
    </row>
    <row r="1745" spans="1:5" x14ac:dyDescent="0.2">
      <c r="A1745" s="5">
        <v>1684</v>
      </c>
      <c r="B1745" s="1825">
        <f>'Tax Sched 23'!B5</f>
        <v>452741</v>
      </c>
      <c r="C1745" s="2" t="s">
        <v>569</v>
      </c>
      <c r="D1745" s="2" t="str">
        <f t="shared" si="26"/>
        <v>Error?</v>
      </c>
    </row>
    <row r="1746" spans="1:5" x14ac:dyDescent="0.2">
      <c r="A1746" s="5">
        <v>1685</v>
      </c>
      <c r="B1746" s="1825">
        <f>'Tax Sched 23'!B6</f>
        <v>903128</v>
      </c>
      <c r="C1746" s="2" t="s">
        <v>569</v>
      </c>
      <c r="D1746" s="2" t="str">
        <f t="shared" si="26"/>
        <v>Error?</v>
      </c>
    </row>
    <row r="1747" spans="1:5" x14ac:dyDescent="0.2">
      <c r="A1747" s="5">
        <v>1686</v>
      </c>
      <c r="B1747" s="1825">
        <f>'Tax Sched 23'!B7</f>
        <v>181096</v>
      </c>
      <c r="C1747" s="2" t="s">
        <v>569</v>
      </c>
      <c r="D1747" s="2" t="str">
        <f t="shared" si="26"/>
        <v>Error?</v>
      </c>
    </row>
    <row r="1748" spans="1:5" x14ac:dyDescent="0.2">
      <c r="A1748" s="5">
        <v>1687</v>
      </c>
      <c r="B1748" s="1825">
        <f>'Tax Sched 23'!B8</f>
        <v>42697</v>
      </c>
      <c r="C1748" s="2" t="s">
        <v>569</v>
      </c>
      <c r="D1748" s="2" t="str">
        <f t="shared" si="26"/>
        <v>Error?</v>
      </c>
    </row>
    <row r="1749" spans="1:5" x14ac:dyDescent="0.2">
      <c r="A1749" s="5">
        <v>1688</v>
      </c>
      <c r="B1749" s="1825">
        <f>'Tax Sched 23'!B10</f>
        <v>45273</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677178</v>
      </c>
      <c r="C1752" s="2" t="s">
        <v>569</v>
      </c>
      <c r="D1752" s="2" t="str">
        <f t="shared" si="26"/>
        <v>Error?</v>
      </c>
    </row>
    <row r="1753" spans="1:5" x14ac:dyDescent="0.2">
      <c r="A1753" s="5">
        <v>1692</v>
      </c>
      <c r="B1753" s="1825">
        <f>'Tax Sched 23'!B12</f>
        <v>45273</v>
      </c>
      <c r="C1753" s="2" t="s">
        <v>569</v>
      </c>
      <c r="D1753" s="2" t="str">
        <f t="shared" si="26"/>
        <v>Error?</v>
      </c>
    </row>
    <row r="1754" spans="1:5" x14ac:dyDescent="0.2">
      <c r="A1754" s="5">
        <v>1693</v>
      </c>
      <c r="B1754" s="1825">
        <f>'Tax Sched 23'!B14</f>
        <v>36220</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4741002</v>
      </c>
      <c r="C1759" s="2" t="s">
        <v>569</v>
      </c>
      <c r="D1759" s="2" t="str">
        <f t="shared" si="26"/>
        <v>Error?</v>
      </c>
    </row>
    <row r="1760" spans="1:5" x14ac:dyDescent="0.2">
      <c r="A1760" s="5">
        <v>1699</v>
      </c>
      <c r="B1760" s="1825">
        <f>'Tax Sched 23'!D4</f>
        <v>1715887</v>
      </c>
      <c r="C1760" s="2" t="s">
        <v>569</v>
      </c>
      <c r="D1760" s="2" t="str">
        <f t="shared" si="26"/>
        <v>Error?</v>
      </c>
    </row>
    <row r="1761" spans="1:7" x14ac:dyDescent="0.2">
      <c r="A1761" s="5">
        <v>1700</v>
      </c>
      <c r="B1761" s="1825">
        <f>'Tax Sched 23'!D5</f>
        <v>353061</v>
      </c>
      <c r="C1761" s="2" t="s">
        <v>569</v>
      </c>
      <c r="D1761" s="2" t="str">
        <f t="shared" si="26"/>
        <v>Error?</v>
      </c>
    </row>
    <row r="1762" spans="1:7" s="8" customFormat="1" x14ac:dyDescent="0.2">
      <c r="A1762" s="5">
        <v>1701</v>
      </c>
      <c r="B1762" s="1825">
        <f>'Tax Sched 23'!D6</f>
        <v>711560</v>
      </c>
      <c r="C1762" s="2" t="s">
        <v>569</v>
      </c>
      <c r="D1762" s="2" t="str">
        <f t="shared" si="26"/>
        <v>Error?</v>
      </c>
      <c r="E1762" s="9"/>
      <c r="G1762"/>
    </row>
    <row r="1763" spans="1:7" x14ac:dyDescent="0.2">
      <c r="A1763" s="5">
        <v>1702</v>
      </c>
      <c r="B1763" s="1825">
        <f>'Tax Sched 23'!D7</f>
        <v>141224</v>
      </c>
      <c r="C1763" s="2" t="s">
        <v>569</v>
      </c>
      <c r="D1763" s="2" t="str">
        <f t="shared" si="26"/>
        <v>Error?</v>
      </c>
    </row>
    <row r="1764" spans="1:7" x14ac:dyDescent="0.2">
      <c r="A1764" s="5">
        <v>1703</v>
      </c>
      <c r="B1764" s="1825">
        <f>'Tax Sched 23'!D8</f>
        <v>35472</v>
      </c>
      <c r="C1764" s="2" t="s">
        <v>569</v>
      </c>
      <c r="D1764" s="2" t="str">
        <f t="shared" si="26"/>
        <v>Error?</v>
      </c>
    </row>
    <row r="1765" spans="1:7" x14ac:dyDescent="0.2">
      <c r="A1765" s="5">
        <v>1704</v>
      </c>
      <c r="B1765" s="1825">
        <f>'Tax Sched 23'!D10</f>
        <v>35305</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530408</v>
      </c>
      <c r="C1768" s="2" t="s">
        <v>569</v>
      </c>
      <c r="D1768" s="2" t="str">
        <f t="shared" si="26"/>
        <v>Error?</v>
      </c>
    </row>
    <row r="1769" spans="1:7" x14ac:dyDescent="0.2">
      <c r="A1769" s="5">
        <v>1708</v>
      </c>
      <c r="B1769" s="1825">
        <f>'Tax Sched 23'!D12</f>
        <v>35305</v>
      </c>
      <c r="C1769" s="2" t="s">
        <v>569</v>
      </c>
      <c r="D1769" s="2" t="str">
        <f t="shared" si="26"/>
        <v>Error?</v>
      </c>
    </row>
    <row r="1770" spans="1:7" x14ac:dyDescent="0.2">
      <c r="A1770" s="5">
        <v>1709</v>
      </c>
      <c r="B1770" s="1825">
        <f>'Tax Sched 23'!D14</f>
        <v>28246</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3710530</v>
      </c>
      <c r="C1775" s="2" t="s">
        <v>569</v>
      </c>
      <c r="D1775" s="2" t="str">
        <f t="shared" si="26"/>
        <v>Error?</v>
      </c>
    </row>
    <row r="1776" spans="1:7" x14ac:dyDescent="0.2">
      <c r="A1776" s="5">
        <v>1715</v>
      </c>
      <c r="B1776" s="1825">
        <f>'Tax Sched 23'!C4</f>
        <v>484439</v>
      </c>
      <c r="D1776" s="2" t="str">
        <f t="shared" si="26"/>
        <v>Error?</v>
      </c>
    </row>
    <row r="1777" spans="1:4" x14ac:dyDescent="0.2">
      <c r="A1777" s="5">
        <v>1716</v>
      </c>
      <c r="B1777" s="1825">
        <f>'Tax Sched 23'!C5</f>
        <v>99680</v>
      </c>
      <c r="D1777" s="2" t="str">
        <f t="shared" si="26"/>
        <v>Error?</v>
      </c>
    </row>
    <row r="1778" spans="1:4" x14ac:dyDescent="0.2">
      <c r="A1778" s="5">
        <v>1717</v>
      </c>
      <c r="B1778" s="1825">
        <f>'Tax Sched 23'!C6</f>
        <v>191568</v>
      </c>
      <c r="D1778" s="2" t="str">
        <f t="shared" si="26"/>
        <v>Error?</v>
      </c>
    </row>
    <row r="1779" spans="1:4" x14ac:dyDescent="0.2">
      <c r="A1779" s="5">
        <v>1718</v>
      </c>
      <c r="B1779" s="1825">
        <f>'Tax Sched 23'!C7</f>
        <v>39872</v>
      </c>
      <c r="D1779" s="2" t="str">
        <f t="shared" si="26"/>
        <v>Error?</v>
      </c>
    </row>
    <row r="1780" spans="1:4" x14ac:dyDescent="0.2">
      <c r="A1780" s="5">
        <v>1719</v>
      </c>
      <c r="B1780" s="1825">
        <f>'Tax Sched 23'!C8</f>
        <v>7225</v>
      </c>
      <c r="D1780" s="2" t="str">
        <f t="shared" si="26"/>
        <v>Error?</v>
      </c>
    </row>
    <row r="1781" spans="1:4" x14ac:dyDescent="0.2">
      <c r="A1781" s="5">
        <v>1720</v>
      </c>
      <c r="B1781" s="1825">
        <f>'Tax Sched 23'!C10</f>
        <v>9968</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146770</v>
      </c>
      <c r="D1784" s="2" t="str">
        <f t="shared" si="26"/>
        <v>Error?</v>
      </c>
    </row>
    <row r="1785" spans="1:4" x14ac:dyDescent="0.2">
      <c r="A1785" s="5">
        <v>1724</v>
      </c>
      <c r="B1785" s="1825">
        <f>'Tax Sched 23'!C12</f>
        <v>9968</v>
      </c>
      <c r="D1785" s="2" t="str">
        <f t="shared" si="26"/>
        <v>Error?</v>
      </c>
    </row>
    <row r="1786" spans="1:4" x14ac:dyDescent="0.2">
      <c r="A1786" s="5">
        <v>1725</v>
      </c>
      <c r="B1786" s="1825">
        <f>'Tax Sched 23'!C14</f>
        <v>7974</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1030472</v>
      </c>
      <c r="C1791" s="2" t="s">
        <v>569</v>
      </c>
      <c r="D1791" s="2" t="str">
        <f t="shared" ref="D1791:D1854" si="27">IF(ISBLANK(B1791),"OK",IF(A1791-B1791=0,"OK","Error?"))</f>
        <v>Error?</v>
      </c>
    </row>
    <row r="1792" spans="1:4" x14ac:dyDescent="0.2">
      <c r="A1792" s="5">
        <v>1731</v>
      </c>
      <c r="B1792" s="1825">
        <f>'Tax Sched 23'!F4</f>
        <v>2274625</v>
      </c>
      <c r="C1792" s="2" t="s">
        <v>569</v>
      </c>
      <c r="D1792" s="2" t="str">
        <f t="shared" si="27"/>
        <v>Error?</v>
      </c>
    </row>
    <row r="1793" spans="1:4" x14ac:dyDescent="0.2">
      <c r="A1793" s="5">
        <v>1732</v>
      </c>
      <c r="B1793" s="1825">
        <f>'Tax Sched 23'!F5</f>
        <v>468029</v>
      </c>
      <c r="C1793" s="2" t="s">
        <v>569</v>
      </c>
      <c r="D1793" s="2" t="str">
        <f t="shared" si="27"/>
        <v>Error?</v>
      </c>
    </row>
    <row r="1794" spans="1:4" x14ac:dyDescent="0.2">
      <c r="A1794" s="5">
        <v>1733</v>
      </c>
      <c r="B1794" s="1825">
        <f>'Tax Sched 23'!F6</f>
        <v>899477</v>
      </c>
      <c r="C1794" s="2" t="s">
        <v>569</v>
      </c>
      <c r="D1794" s="2" t="str">
        <f t="shared" si="27"/>
        <v>Error?</v>
      </c>
    </row>
    <row r="1795" spans="1:4" x14ac:dyDescent="0.2">
      <c r="A1795" s="5">
        <v>1734</v>
      </c>
      <c r="B1795" s="1825">
        <f>'Tax Sched 23'!F7</f>
        <v>187211</v>
      </c>
      <c r="C1795" s="2" t="s">
        <v>569</v>
      </c>
      <c r="D1795" s="2" t="str">
        <f t="shared" si="27"/>
        <v>Error?</v>
      </c>
    </row>
    <row r="1796" spans="1:4" x14ac:dyDescent="0.2">
      <c r="A1796" s="5">
        <v>1735</v>
      </c>
      <c r="B1796" s="1825">
        <f>'Tax Sched 23'!F8</f>
        <v>33923</v>
      </c>
      <c r="C1796" s="2" t="s">
        <v>569</v>
      </c>
      <c r="D1796" s="2" t="str">
        <f t="shared" si="27"/>
        <v>Error?</v>
      </c>
    </row>
    <row r="1797" spans="1:4" x14ac:dyDescent="0.2">
      <c r="A1797" s="5">
        <v>1736</v>
      </c>
      <c r="B1797" s="1825">
        <f>'Tax Sched 23'!F10</f>
        <v>46803</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689135</v>
      </c>
      <c r="C1800" s="2" t="s">
        <v>569</v>
      </c>
      <c r="D1800" s="2" t="str">
        <f t="shared" si="27"/>
        <v>Error?</v>
      </c>
    </row>
    <row r="1801" spans="1:4" x14ac:dyDescent="0.2">
      <c r="A1801" s="5">
        <v>1740</v>
      </c>
      <c r="B1801" s="1825">
        <f>'Tax Sched 23'!F12</f>
        <v>46803</v>
      </c>
      <c r="C1801" s="2" t="s">
        <v>569</v>
      </c>
      <c r="D1801" s="2" t="str">
        <f t="shared" si="27"/>
        <v>Error?</v>
      </c>
    </row>
    <row r="1802" spans="1:4" x14ac:dyDescent="0.2">
      <c r="A1802" s="5">
        <v>1741</v>
      </c>
      <c r="B1802" s="1825">
        <f>'Tax Sched 23'!F14</f>
        <v>37442</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4838431</v>
      </c>
      <c r="C1807" s="2" t="s">
        <v>569</v>
      </c>
      <c r="D1807" s="2" t="str">
        <f t="shared" si="27"/>
        <v>Error?</v>
      </c>
    </row>
    <row r="1808" spans="1:4" x14ac:dyDescent="0.2">
      <c r="A1808" s="5">
        <v>1747</v>
      </c>
      <c r="B1808" s="1825">
        <f>'Tax Sched 23'!E4</f>
        <v>2759064</v>
      </c>
      <c r="D1808" s="2" t="str">
        <f t="shared" si="27"/>
        <v>Error?</v>
      </c>
    </row>
    <row r="1809" spans="1:4" x14ac:dyDescent="0.2">
      <c r="A1809" s="5">
        <v>1748</v>
      </c>
      <c r="B1809" s="1825">
        <f>'Tax Sched 23'!E5</f>
        <v>567709</v>
      </c>
      <c r="D1809" s="2" t="str">
        <f t="shared" si="27"/>
        <v>Error?</v>
      </c>
    </row>
    <row r="1810" spans="1:4" x14ac:dyDescent="0.2">
      <c r="A1810" s="5">
        <v>1749</v>
      </c>
      <c r="B1810" s="1825">
        <f>'Tax Sched 23'!E6</f>
        <v>1091045</v>
      </c>
      <c r="D1810" s="2" t="str">
        <f t="shared" si="27"/>
        <v>Error?</v>
      </c>
    </row>
    <row r="1811" spans="1:4" x14ac:dyDescent="0.2">
      <c r="A1811" s="5">
        <v>1750</v>
      </c>
      <c r="B1811" s="1825">
        <f>'Tax Sched 23'!E7</f>
        <v>227083</v>
      </c>
      <c r="D1811" s="2" t="str">
        <f t="shared" si="27"/>
        <v>Error?</v>
      </c>
    </row>
    <row r="1812" spans="1:4" x14ac:dyDescent="0.2">
      <c r="A1812" s="5">
        <v>1751</v>
      </c>
      <c r="B1812" s="1825">
        <f>'Tax Sched 23'!E8</f>
        <v>41148</v>
      </c>
      <c r="D1812" s="2" t="str">
        <f t="shared" si="27"/>
        <v>Error?</v>
      </c>
    </row>
    <row r="1813" spans="1:4" x14ac:dyDescent="0.2">
      <c r="A1813" s="5">
        <v>1752</v>
      </c>
      <c r="B1813" s="1825">
        <f>'Tax Sched 23'!E10</f>
        <v>56771</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835905</v>
      </c>
      <c r="D1816" s="2" t="str">
        <f t="shared" si="27"/>
        <v>Error?</v>
      </c>
    </row>
    <row r="1817" spans="1:4" x14ac:dyDescent="0.2">
      <c r="A1817" s="5">
        <v>1756</v>
      </c>
      <c r="B1817" s="1825">
        <f>'Tax Sched 23'!E12</f>
        <v>56771</v>
      </c>
      <c r="D1817" s="2" t="str">
        <f t="shared" si="27"/>
        <v>Error?</v>
      </c>
    </row>
    <row r="1818" spans="1:4" x14ac:dyDescent="0.2">
      <c r="A1818" s="5">
        <v>1757</v>
      </c>
      <c r="B1818" s="1825">
        <f>'Tax Sched 23'!E14</f>
        <v>45416</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5868903</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5023323</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36220</v>
      </c>
      <c r="D1972" s="2" t="str">
        <f t="shared" si="29"/>
        <v>Error?</v>
      </c>
    </row>
    <row r="1973" spans="1:5" x14ac:dyDescent="0.2">
      <c r="A1973" s="5">
        <v>1912</v>
      </c>
      <c r="B1973" s="1825">
        <f>'Rest Tax Levies-Tort Im 25'!H6</f>
        <v>725</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36945</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36945</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77950</v>
      </c>
      <c r="D2008" s="2" t="str">
        <f t="shared" si="30"/>
        <v>Error?</v>
      </c>
    </row>
    <row r="2009" spans="1:4" x14ac:dyDescent="0.2">
      <c r="A2009" s="5">
        <v>1948</v>
      </c>
      <c r="B2009" s="1825">
        <f>'Cap Outlay Deprec 26'!C8</f>
        <v>18821829</v>
      </c>
      <c r="D2009" s="2" t="str">
        <f t="shared" si="30"/>
        <v>Error?</v>
      </c>
    </row>
    <row r="2010" spans="1:4" x14ac:dyDescent="0.2">
      <c r="A2010" s="5">
        <v>1949</v>
      </c>
      <c r="B2010" s="1825">
        <f>'Cap Outlay Deprec 26'!C10</f>
        <v>4891824</v>
      </c>
      <c r="D2010" s="2" t="str">
        <f t="shared" si="30"/>
        <v>Error?</v>
      </c>
    </row>
    <row r="2011" spans="1:4" x14ac:dyDescent="0.2">
      <c r="A2011" s="5">
        <v>1950</v>
      </c>
      <c r="B2011" s="1825">
        <f>'Cap Outlay Deprec 26'!C12</f>
        <v>1688147</v>
      </c>
      <c r="D2011" s="2" t="str">
        <f t="shared" si="30"/>
        <v>Error?</v>
      </c>
    </row>
    <row r="2012" spans="1:4" x14ac:dyDescent="0.2">
      <c r="A2012" s="5">
        <v>1951</v>
      </c>
      <c r="B2012" s="1825">
        <f>'Cap Outlay Deprec 26'!C13</f>
        <v>2076290</v>
      </c>
      <c r="D2012" s="2" t="str">
        <f t="shared" si="30"/>
        <v>Error?</v>
      </c>
    </row>
    <row r="2013" spans="1:4" x14ac:dyDescent="0.2">
      <c r="A2013" s="5">
        <v>1952</v>
      </c>
      <c r="B2013" s="1825">
        <f>'Cap Outlay Deprec 26'!C16</f>
        <v>27556040</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179364</v>
      </c>
      <c r="D2016" s="2" t="str">
        <f t="shared" si="30"/>
        <v>Error?</v>
      </c>
    </row>
    <row r="2017" spans="1:4" x14ac:dyDescent="0.2">
      <c r="A2017" s="5">
        <v>1956</v>
      </c>
      <c r="B2017" s="1825">
        <f>'Cap Outlay Deprec 26'!D12</f>
        <v>170058</v>
      </c>
      <c r="D2017" s="2" t="str">
        <f t="shared" si="30"/>
        <v>Error?</v>
      </c>
    </row>
    <row r="2018" spans="1:4" x14ac:dyDescent="0.2">
      <c r="A2018" s="5">
        <v>1957</v>
      </c>
      <c r="B2018" s="1825">
        <f>'Cap Outlay Deprec 26'!D13</f>
        <v>73858</v>
      </c>
      <c r="D2018" s="2" t="str">
        <f t="shared" si="30"/>
        <v>Error?</v>
      </c>
    </row>
    <row r="2019" spans="1:4" x14ac:dyDescent="0.2">
      <c r="A2019" s="5">
        <v>1958</v>
      </c>
      <c r="B2019" s="1825">
        <f>'Cap Outlay Deprec 26'!D16</f>
        <v>423280</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77950</v>
      </c>
      <c r="C2026" s="2" t="s">
        <v>569</v>
      </c>
      <c r="D2026" s="2" t="str">
        <f t="shared" si="30"/>
        <v>Error?</v>
      </c>
    </row>
    <row r="2027" spans="1:4" x14ac:dyDescent="0.2">
      <c r="A2027" s="5">
        <v>1966</v>
      </c>
      <c r="B2027" s="1825">
        <f>'Cap Outlay Deprec 26'!F8</f>
        <v>18821829</v>
      </c>
      <c r="C2027" s="2" t="s">
        <v>569</v>
      </c>
      <c r="D2027" s="2" t="str">
        <f t="shared" si="30"/>
        <v>Error?</v>
      </c>
    </row>
    <row r="2028" spans="1:4" x14ac:dyDescent="0.2">
      <c r="A2028" s="5">
        <v>1967</v>
      </c>
      <c r="B2028" s="1825">
        <f>'Cap Outlay Deprec 26'!F10</f>
        <v>5071188</v>
      </c>
      <c r="C2028" s="2" t="s">
        <v>569</v>
      </c>
      <c r="D2028" s="2" t="str">
        <f t="shared" si="30"/>
        <v>Error?</v>
      </c>
    </row>
    <row r="2029" spans="1:4" x14ac:dyDescent="0.2">
      <c r="A2029" s="5">
        <v>1968</v>
      </c>
      <c r="B2029" s="1825">
        <f>'Cap Outlay Deprec 26'!F12</f>
        <v>1858205</v>
      </c>
      <c r="C2029" s="2" t="s">
        <v>569</v>
      </c>
      <c r="D2029" s="2" t="str">
        <f t="shared" si="30"/>
        <v>Error?</v>
      </c>
    </row>
    <row r="2030" spans="1:4" x14ac:dyDescent="0.2">
      <c r="A2030" s="5">
        <v>1969</v>
      </c>
      <c r="B2030" s="1825">
        <f>'Cap Outlay Deprec 26'!F13</f>
        <v>2150148</v>
      </c>
      <c r="C2030" s="2" t="s">
        <v>569</v>
      </c>
      <c r="D2030" s="2" t="str">
        <f t="shared" si="30"/>
        <v>Error?</v>
      </c>
    </row>
    <row r="2031" spans="1:4" x14ac:dyDescent="0.2">
      <c r="A2031" s="5">
        <v>1970</v>
      </c>
      <c r="B2031" s="1825">
        <f>'Cap Outlay Deprec 26'!F16</f>
        <v>27979320</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10062898</v>
      </c>
      <c r="D2033" s="2" t="str">
        <f t="shared" si="30"/>
        <v>Error?</v>
      </c>
    </row>
    <row r="2034" spans="1:4" x14ac:dyDescent="0.2">
      <c r="A2034" s="5">
        <v>1973</v>
      </c>
      <c r="B2034" s="1825">
        <f>'Cap Outlay Deprec 26'!H10</f>
        <v>1193998</v>
      </c>
      <c r="D2034" s="2" t="str">
        <f t="shared" si="30"/>
        <v>Error?</v>
      </c>
    </row>
    <row r="2035" spans="1:4" x14ac:dyDescent="0.2">
      <c r="A2035" s="5">
        <v>1974</v>
      </c>
      <c r="B2035" s="1825">
        <f>'Cap Outlay Deprec 26'!H12</f>
        <v>1586336</v>
      </c>
      <c r="D2035" s="2" t="str">
        <f t="shared" si="30"/>
        <v>Error?</v>
      </c>
    </row>
    <row r="2036" spans="1:4" x14ac:dyDescent="0.2">
      <c r="A2036" s="5">
        <v>1975</v>
      </c>
      <c r="B2036" s="1825">
        <f>'Cap Outlay Deprec 26'!H13</f>
        <v>2045659</v>
      </c>
      <c r="D2036" s="2" t="str">
        <f t="shared" si="30"/>
        <v>Error?</v>
      </c>
    </row>
    <row r="2037" spans="1:4" x14ac:dyDescent="0.2">
      <c r="A2037" s="5">
        <v>1976</v>
      </c>
      <c r="B2037" s="1825">
        <f>'Cap Outlay Deprec 26'!H16</f>
        <v>14888891</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324720</v>
      </c>
      <c r="D2039" s="2" t="str">
        <f t="shared" si="30"/>
        <v>Error?</v>
      </c>
    </row>
    <row r="2040" spans="1:4" x14ac:dyDescent="0.2">
      <c r="A2040" s="5">
        <v>1979</v>
      </c>
      <c r="B2040" s="1825">
        <f>'Cap Outlay Deprec 26'!I10</f>
        <v>240713</v>
      </c>
      <c r="D2040" s="2" t="str">
        <f t="shared" si="30"/>
        <v>Error?</v>
      </c>
    </row>
    <row r="2041" spans="1:4" x14ac:dyDescent="0.2">
      <c r="A2041" s="5">
        <v>1980</v>
      </c>
      <c r="B2041" s="1825">
        <f>'Cap Outlay Deprec 26'!I12</f>
        <v>54839</v>
      </c>
      <c r="D2041" s="2" t="str">
        <f t="shared" si="30"/>
        <v>Error?</v>
      </c>
    </row>
    <row r="2042" spans="1:4" x14ac:dyDescent="0.2">
      <c r="A2042" s="5">
        <v>1981</v>
      </c>
      <c r="B2042" s="1825">
        <f>'Cap Outlay Deprec 26'!I13</f>
        <v>24983</v>
      </c>
      <c r="D2042" s="2" t="str">
        <f t="shared" si="30"/>
        <v>Error?</v>
      </c>
    </row>
    <row r="2043" spans="1:4" x14ac:dyDescent="0.2">
      <c r="A2043" s="5">
        <v>1982</v>
      </c>
      <c r="B2043" s="1825">
        <f>'Cap Outlay Deprec 26'!I16</f>
        <v>645255</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10387618</v>
      </c>
      <c r="C2051" s="2" t="s">
        <v>569</v>
      </c>
      <c r="D2051" s="2" t="str">
        <f t="shared" si="31"/>
        <v>Error?</v>
      </c>
    </row>
    <row r="2052" spans="1:4" x14ac:dyDescent="0.2">
      <c r="A2052" s="5">
        <v>1991</v>
      </c>
      <c r="B2052" s="1825">
        <f>'Cap Outlay Deprec 26'!K10</f>
        <v>1434711</v>
      </c>
      <c r="C2052" s="2" t="s">
        <v>569</v>
      </c>
      <c r="D2052" s="2" t="str">
        <f t="shared" si="31"/>
        <v>Error?</v>
      </c>
    </row>
    <row r="2053" spans="1:4" x14ac:dyDescent="0.2">
      <c r="A2053" s="5">
        <v>1992</v>
      </c>
      <c r="B2053" s="1825">
        <f>'Cap Outlay Deprec 26'!K12</f>
        <v>1641175</v>
      </c>
      <c r="C2053" s="2" t="s">
        <v>569</v>
      </c>
      <c r="D2053" s="2" t="str">
        <f t="shared" si="31"/>
        <v>Error?</v>
      </c>
    </row>
    <row r="2054" spans="1:4" x14ac:dyDescent="0.2">
      <c r="A2054" s="5">
        <v>1993</v>
      </c>
      <c r="B2054" s="1825">
        <f>'Cap Outlay Deprec 26'!K13</f>
        <v>2070642</v>
      </c>
      <c r="C2054" s="2" t="s">
        <v>569</v>
      </c>
      <c r="D2054" s="2" t="str">
        <f t="shared" si="31"/>
        <v>Error?</v>
      </c>
    </row>
    <row r="2055" spans="1:4" x14ac:dyDescent="0.2">
      <c r="A2055" s="5">
        <v>1994</v>
      </c>
      <c r="B2055" s="1825">
        <f>'Cap Outlay Deprec 26'!K16</f>
        <v>15534146</v>
      </c>
      <c r="C2055" s="2" t="s">
        <v>569</v>
      </c>
      <c r="D2055" s="2" t="str">
        <f t="shared" si="31"/>
        <v>Error?</v>
      </c>
    </row>
    <row r="2056" spans="1:4" x14ac:dyDescent="0.2">
      <c r="A2056" s="5">
        <v>1995</v>
      </c>
      <c r="B2056" s="1825">
        <f>'Cap Outlay Deprec 26'!L5</f>
        <v>77950</v>
      </c>
      <c r="C2056" s="2" t="s">
        <v>569</v>
      </c>
      <c r="D2056" s="2" t="str">
        <f t="shared" si="31"/>
        <v>Error?</v>
      </c>
    </row>
    <row r="2057" spans="1:4" x14ac:dyDescent="0.2">
      <c r="A2057" s="5">
        <v>1996</v>
      </c>
      <c r="B2057" s="1825">
        <f>'Cap Outlay Deprec 26'!L8</f>
        <v>8434211</v>
      </c>
      <c r="C2057" s="2" t="s">
        <v>569</v>
      </c>
      <c r="D2057" s="2" t="str">
        <f t="shared" si="31"/>
        <v>Error?</v>
      </c>
    </row>
    <row r="2058" spans="1:4" x14ac:dyDescent="0.2">
      <c r="A2058" s="5">
        <v>1997</v>
      </c>
      <c r="B2058" s="1825">
        <f>'Cap Outlay Deprec 26'!L10</f>
        <v>3636477</v>
      </c>
      <c r="C2058" s="2" t="s">
        <v>569</v>
      </c>
      <c r="D2058" s="2" t="str">
        <f t="shared" si="31"/>
        <v>Error?</v>
      </c>
    </row>
    <row r="2059" spans="1:4" x14ac:dyDescent="0.2">
      <c r="A2059" s="5">
        <v>1998</v>
      </c>
      <c r="B2059" s="1825">
        <f>'Cap Outlay Deprec 26'!L12</f>
        <v>217030</v>
      </c>
      <c r="C2059" s="2" t="s">
        <v>569</v>
      </c>
      <c r="D2059" s="2" t="str">
        <f t="shared" si="31"/>
        <v>Error?</v>
      </c>
    </row>
    <row r="2060" spans="1:4" x14ac:dyDescent="0.2">
      <c r="A2060" s="5">
        <v>1999</v>
      </c>
      <c r="B2060" s="1825">
        <f>'Cap Outlay Deprec 26'!L13</f>
        <v>79506</v>
      </c>
      <c r="C2060" s="2" t="s">
        <v>569</v>
      </c>
      <c r="D2060" s="2" t="str">
        <f t="shared" si="31"/>
        <v>Error?</v>
      </c>
    </row>
    <row r="2061" spans="1:4" x14ac:dyDescent="0.2">
      <c r="A2061" s="5">
        <v>2000</v>
      </c>
      <c r="B2061" s="1825">
        <f>'Cap Outlay Deprec 26'!L16</f>
        <v>12445174</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419362</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419362</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11512</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11512</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162150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2972725</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2476890</v>
      </c>
      <c r="C2553" s="2" t="s">
        <v>569</v>
      </c>
      <c r="D2553" s="2" t="str">
        <f t="shared" si="38"/>
        <v>Error?</v>
      </c>
    </row>
    <row r="2554" spans="1:4" x14ac:dyDescent="0.2">
      <c r="A2554" s="5">
        <v>2493</v>
      </c>
      <c r="B2554" s="1825">
        <f>'Acct Summary 7-8'!C7</f>
        <v>417987</v>
      </c>
      <c r="C2554" s="2" t="s">
        <v>569</v>
      </c>
      <c r="D2554" s="2" t="str">
        <f t="shared" si="38"/>
        <v>Error?</v>
      </c>
    </row>
    <row r="2555" spans="1:4" x14ac:dyDescent="0.2">
      <c r="A2555" s="5">
        <v>2494</v>
      </c>
      <c r="B2555" s="1825">
        <f>'Acct Summary 7-8'!C8</f>
        <v>5867602</v>
      </c>
      <c r="C2555" s="2" t="s">
        <v>569</v>
      </c>
      <c r="D2555" s="2" t="str">
        <f t="shared" si="38"/>
        <v>Error?</v>
      </c>
    </row>
    <row r="2556" spans="1:4" x14ac:dyDescent="0.2">
      <c r="A2556" s="5">
        <v>2495</v>
      </c>
      <c r="B2556" s="1825">
        <f>'Acct Summary 7-8'!C12</f>
        <v>4268472</v>
      </c>
      <c r="C2556" s="2" t="s">
        <v>569</v>
      </c>
      <c r="D2556" s="2" t="str">
        <f t="shared" si="38"/>
        <v>Error?</v>
      </c>
    </row>
    <row r="2557" spans="1:4" x14ac:dyDescent="0.2">
      <c r="A2557" s="5">
        <v>2496</v>
      </c>
      <c r="B2557" s="1825">
        <f>'Acct Summary 7-8'!C13</f>
        <v>1359632</v>
      </c>
      <c r="C2557" s="2" t="s">
        <v>569</v>
      </c>
      <c r="D2557" s="2" t="str">
        <f t="shared" si="38"/>
        <v>Error?</v>
      </c>
    </row>
    <row r="2558" spans="1:4" x14ac:dyDescent="0.2">
      <c r="A2558" s="5">
        <v>2497</v>
      </c>
      <c r="B2558" s="1825">
        <f>'Acct Summary 7-8'!C14</f>
        <v>16392</v>
      </c>
      <c r="C2558" s="2" t="s">
        <v>569</v>
      </c>
      <c r="D2558" s="2" t="str">
        <f t="shared" si="38"/>
        <v>Error?</v>
      </c>
    </row>
    <row r="2559" spans="1:4" x14ac:dyDescent="0.2">
      <c r="A2559" s="5">
        <v>2498</v>
      </c>
      <c r="B2559" s="1825">
        <f>'Acct Summary 7-8'!C15</f>
        <v>419362</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6063858</v>
      </c>
      <c r="C2561" s="2" t="s">
        <v>569</v>
      </c>
      <c r="D2561" s="2" t="str">
        <f t="shared" si="39"/>
        <v>Error?</v>
      </c>
    </row>
    <row r="2562" spans="1:4" x14ac:dyDescent="0.2">
      <c r="A2562" s="5">
        <v>2501</v>
      </c>
      <c r="B2562" s="1825">
        <f>'Acct Summary 7-8'!C20</f>
        <v>-196256</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467686</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467686</v>
      </c>
      <c r="C2568" s="2" t="s">
        <v>569</v>
      </c>
      <c r="D2568" s="2" t="str">
        <f t="shared" si="39"/>
        <v>Error?</v>
      </c>
    </row>
    <row r="2569" spans="1:4" x14ac:dyDescent="0.2">
      <c r="A2569" s="5">
        <v>2508</v>
      </c>
      <c r="B2569" s="1825">
        <f>'Acct Summary 7-8'!D13</f>
        <v>719172</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11512</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730684</v>
      </c>
      <c r="C2573" s="2" t="s">
        <v>569</v>
      </c>
      <c r="D2573" s="2" t="str">
        <f t="shared" si="39"/>
        <v>Error?</v>
      </c>
    </row>
    <row r="2574" spans="1:4" x14ac:dyDescent="0.2">
      <c r="A2574" s="5">
        <v>2513</v>
      </c>
      <c r="B2574" s="1825">
        <f>'Acct Summary 7-8'!D20</f>
        <v>-262998</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200016</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394616</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594632</v>
      </c>
      <c r="C2595" s="2" t="s">
        <v>569</v>
      </c>
      <c r="D2595" s="2" t="str">
        <f t="shared" si="39"/>
        <v>Error?</v>
      </c>
    </row>
    <row r="2596" spans="1:4" x14ac:dyDescent="0.2">
      <c r="A2596" s="5">
        <v>2535</v>
      </c>
      <c r="B2596" s="1825">
        <f>'Acct Summary 7-8'!F13</f>
        <v>625624</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625624</v>
      </c>
      <c r="C2600" s="2" t="s">
        <v>569</v>
      </c>
      <c r="D2600" s="2" t="str">
        <f t="shared" si="39"/>
        <v>Error?</v>
      </c>
    </row>
    <row r="2601" spans="1:4" x14ac:dyDescent="0.2">
      <c r="A2601" s="5">
        <v>2540</v>
      </c>
      <c r="B2601" s="1825">
        <f>'Acct Summary 7-8'!F20</f>
        <v>-30992</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162872</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162872</v>
      </c>
      <c r="C2606" s="2" t="s">
        <v>569</v>
      </c>
      <c r="D2606" s="2" t="str">
        <f t="shared" si="39"/>
        <v>Error?</v>
      </c>
    </row>
    <row r="2607" spans="1:4" x14ac:dyDescent="0.2">
      <c r="A2607" s="5">
        <v>2546</v>
      </c>
      <c r="B2607" s="1825">
        <f>'Acct Summary 7-8'!G12</f>
        <v>60278</v>
      </c>
      <c r="C2607" s="2" t="s">
        <v>569</v>
      </c>
      <c r="D2607" s="2" t="str">
        <f t="shared" si="39"/>
        <v>Error?</v>
      </c>
    </row>
    <row r="2608" spans="1:4" x14ac:dyDescent="0.2">
      <c r="A2608" s="5">
        <v>2547</v>
      </c>
      <c r="B2608" s="1825">
        <f>'Acct Summary 7-8'!G13</f>
        <v>91665</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151943</v>
      </c>
      <c r="C2612" s="2" t="s">
        <v>569</v>
      </c>
      <c r="D2612" s="2" t="str">
        <f t="shared" si="39"/>
        <v>Error?</v>
      </c>
    </row>
    <row r="2613" spans="1:4" x14ac:dyDescent="0.2">
      <c r="A2613" s="5">
        <v>2552</v>
      </c>
      <c r="B2613" s="1825">
        <f>'Acct Summary 7-8'!G20</f>
        <v>10929</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911690</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911690</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1091524</v>
      </c>
      <c r="C2634" s="2" t="s">
        <v>569</v>
      </c>
      <c r="D2634" s="2" t="str">
        <f t="shared" si="40"/>
        <v>Error?</v>
      </c>
    </row>
    <row r="2635" spans="1:4" x14ac:dyDescent="0.2">
      <c r="A2635" s="5">
        <v>2574</v>
      </c>
      <c r="B2635" s="1825">
        <f>'Acct Summary 7-8'!E17</f>
        <v>1091524</v>
      </c>
      <c r="C2635" s="2" t="s">
        <v>569</v>
      </c>
      <c r="D2635" s="2" t="str">
        <f t="shared" si="40"/>
        <v>Error?</v>
      </c>
    </row>
    <row r="2636" spans="1:4" x14ac:dyDescent="0.2">
      <c r="A2636" s="5">
        <v>2575</v>
      </c>
      <c r="B2636" s="1825">
        <f>'Acct Summary 7-8'!E20</f>
        <v>-179834</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25984</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25984</v>
      </c>
      <c r="C2658" s="2" t="s">
        <v>569</v>
      </c>
      <c r="D2658" s="2" t="str">
        <f t="shared" si="40"/>
        <v>Error?</v>
      </c>
    </row>
    <row r="2659" spans="1:4" x14ac:dyDescent="0.2">
      <c r="A2659" s="5">
        <v>2598</v>
      </c>
      <c r="B2659" s="1825">
        <f>'Acct Summary 7-8'!H13</f>
        <v>63090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63090</v>
      </c>
      <c r="C2661" s="2" t="s">
        <v>569</v>
      </c>
      <c r="D2661" s="2" t="str">
        <f t="shared" si="40"/>
        <v>Error?</v>
      </c>
    </row>
    <row r="2662" spans="1:4" x14ac:dyDescent="0.2">
      <c r="A2662" s="5">
        <v>2601</v>
      </c>
      <c r="B2662" s="1825">
        <f>'Acct Summary 7-8'!H20</f>
        <v>-37106</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337485</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760623</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131230</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760623</v>
      </c>
      <c r="D2912" s="2" t="str">
        <f t="shared" si="44"/>
        <v>Error?</v>
      </c>
    </row>
    <row r="2913" spans="1:4" x14ac:dyDescent="0.2">
      <c r="A2913" s="5">
        <v>2852</v>
      </c>
      <c r="B2913" s="1825">
        <f>'Assets-Liab 5-6'!I41</f>
        <v>760623</v>
      </c>
      <c r="C2913" s="2" t="s">
        <v>569</v>
      </c>
      <c r="D2913" s="2" t="str">
        <f t="shared" si="44"/>
        <v>Error?</v>
      </c>
    </row>
    <row r="2914" spans="1:4" x14ac:dyDescent="0.2">
      <c r="A2914" s="5">
        <v>2853</v>
      </c>
      <c r="B2914" s="1825">
        <f>'Assets-Liab 5-6'!L33</f>
        <v>131230</v>
      </c>
      <c r="D2914" s="2" t="str">
        <f t="shared" si="44"/>
        <v>Error?</v>
      </c>
    </row>
    <row r="2915" spans="1:4" x14ac:dyDescent="0.2">
      <c r="A2915" s="10">
        <v>2854</v>
      </c>
      <c r="B2915" s="1825"/>
      <c r="D2915" s="2" t="str">
        <f t="shared" si="44"/>
        <v>OK</v>
      </c>
    </row>
    <row r="2916" spans="1:4" x14ac:dyDescent="0.2">
      <c r="A2916" s="5">
        <v>2855</v>
      </c>
      <c r="B2916" s="1825">
        <f>'Assets-Liab 5-6'!L34</f>
        <v>131230</v>
      </c>
      <c r="C2916" s="2" t="s">
        <v>569</v>
      </c>
      <c r="D2916" s="2" t="str">
        <f t="shared" si="44"/>
        <v>Error?</v>
      </c>
    </row>
    <row r="2917" spans="1:4" x14ac:dyDescent="0.2">
      <c r="A2917" s="5">
        <v>2856</v>
      </c>
      <c r="B2917" s="1825">
        <f>'Assets-Liab 5-6'!L41</f>
        <v>131230</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388380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30982</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388380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30982</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3512</v>
      </c>
      <c r="D2979" s="2" t="str">
        <f t="shared" si="45"/>
        <v>Error?</v>
      </c>
    </row>
    <row r="2980" spans="1:4" x14ac:dyDescent="0.2">
      <c r="A2980" s="5">
        <v>2919</v>
      </c>
      <c r="B2980" s="1825">
        <f>'Expenditures 15-22'!H135</f>
        <v>8000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3512</v>
      </c>
      <c r="C2986" s="2" t="s">
        <v>569</v>
      </c>
      <c r="D2986" s="2" t="str">
        <f t="shared" si="45"/>
        <v>Error?</v>
      </c>
    </row>
    <row r="2987" spans="1:4" x14ac:dyDescent="0.2">
      <c r="A2987" s="5">
        <v>2926</v>
      </c>
      <c r="B2987" s="1825">
        <f>'Expenditures 15-22'!K135</f>
        <v>8000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97506</v>
      </c>
      <c r="D3055" s="2" t="str">
        <f t="shared" si="46"/>
        <v>Error?</v>
      </c>
    </row>
    <row r="3056" spans="1:4" x14ac:dyDescent="0.2">
      <c r="A3056" s="5">
        <v>2995</v>
      </c>
      <c r="B3056" s="1825">
        <f>'Expenditures 15-22'!D10</f>
        <v>17828</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115334</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1400</v>
      </c>
      <c r="D3064" s="2" t="str">
        <f t="shared" si="46"/>
        <v>Error?</v>
      </c>
    </row>
    <row r="3065" spans="1:4" x14ac:dyDescent="0.2">
      <c r="A3065" s="5">
        <v>3004</v>
      </c>
      <c r="B3065" s="1825">
        <f>'Expenditures 15-22'!K219</f>
        <v>1400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58387</v>
      </c>
      <c r="C3225" s="2" t="s">
        <v>569</v>
      </c>
      <c r="D3225" s="2" t="str">
        <f t="shared" si="49"/>
        <v>Error?</v>
      </c>
    </row>
    <row r="3226" spans="1:4" x14ac:dyDescent="0.2">
      <c r="A3226" s="5">
        <v>3165</v>
      </c>
      <c r="B3226" s="1825">
        <f>'Acct Summary 7-8'!I8</f>
        <v>58387</v>
      </c>
      <c r="C3226" s="2" t="s">
        <v>569</v>
      </c>
      <c r="D3226" s="2" t="str">
        <f t="shared" si="49"/>
        <v>Error?</v>
      </c>
    </row>
    <row r="3227" spans="1:4" x14ac:dyDescent="0.2">
      <c r="A3227" s="5">
        <v>3166</v>
      </c>
      <c r="B3227" s="1825">
        <f>'Acct Summary 7-8'!I20</f>
        <v>58387</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-196256</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162150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162150</v>
      </c>
      <c r="C3238" s="2" t="s">
        <v>569</v>
      </c>
      <c r="D3238" s="2" t="str">
        <f t="shared" si="49"/>
        <v>Error?</v>
      </c>
    </row>
    <row r="3239" spans="1:4" x14ac:dyDescent="0.2">
      <c r="A3239" s="5">
        <v>3178</v>
      </c>
      <c r="B3239" s="1825">
        <f>'Acct Summary 7-8'!D78</f>
        <v>-100848</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-30992</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10929</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-179834</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-37106</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162150</v>
      </c>
      <c r="C3318" s="2" t="s">
        <v>569</v>
      </c>
      <c r="D3318" s="2" t="str">
        <f t="shared" si="50"/>
        <v>Error?</v>
      </c>
    </row>
    <row r="3319" spans="1:4" x14ac:dyDescent="0.2">
      <c r="A3319" s="5">
        <v>3258</v>
      </c>
      <c r="B3319" s="1825">
        <f>'Acct Summary 7-8'!I77</f>
        <v>-162150</v>
      </c>
      <c r="C3319" s="2" t="s">
        <v>569</v>
      </c>
      <c r="D3319" s="2" t="str">
        <f t="shared" si="50"/>
        <v>Error?</v>
      </c>
    </row>
    <row r="3320" spans="1:4" x14ac:dyDescent="0.2">
      <c r="A3320" s="5">
        <v>3259</v>
      </c>
      <c r="B3320" s="1825">
        <f>'Acct Summary 7-8'!I78</f>
        <v>-103763</v>
      </c>
      <c r="C3320" s="2" t="s">
        <v>569</v>
      </c>
      <c r="D3320" s="2" t="str">
        <f t="shared" si="50"/>
        <v>Error?</v>
      </c>
    </row>
    <row r="3321" spans="1:4" x14ac:dyDescent="0.2">
      <c r="A3321" s="5">
        <v>3260</v>
      </c>
      <c r="B3321" s="1825">
        <f>'Acct Summary 7-8'!I79</f>
        <v>864386</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760623</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517415</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112769</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1887</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7813</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639884</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31879</v>
      </c>
      <c r="D3387" s="2" t="str">
        <f t="shared" si="51"/>
        <v>Error?</v>
      </c>
    </row>
    <row r="3388" spans="1:4" x14ac:dyDescent="0.2">
      <c r="A3388" s="5">
        <v>3327</v>
      </c>
      <c r="B3388" s="1825">
        <f>'Expenditures 15-22'!D217</f>
        <v>19307</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31879</v>
      </c>
      <c r="C3390" s="2" t="s">
        <v>569</v>
      </c>
      <c r="D3390" s="2" t="str">
        <f t="shared" si="51"/>
        <v>Error?</v>
      </c>
    </row>
    <row r="3391" spans="1:4" x14ac:dyDescent="0.2">
      <c r="A3391" s="5">
        <v>3330</v>
      </c>
      <c r="B3391" s="1825">
        <f>'Expenditures 15-22'!K217</f>
        <v>19307</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2006320</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588869</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36739</v>
      </c>
      <c r="D3417" s="2" t="str">
        <f t="shared" si="52"/>
        <v>Error?</v>
      </c>
    </row>
    <row r="3418" spans="1:4" x14ac:dyDescent="0.2">
      <c r="A3418" s="10">
        <v>3357</v>
      </c>
      <c r="B3418" s="1825"/>
      <c r="D3418" s="2" t="str">
        <f t="shared" si="52"/>
        <v>OK</v>
      </c>
    </row>
    <row r="3419" spans="1:4" x14ac:dyDescent="0.2">
      <c r="A3419" s="5">
        <v>3358</v>
      </c>
      <c r="B3419" s="1825">
        <f>'Assets-Liab 5-6'!F4</f>
        <v>670437</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249223</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254418</v>
      </c>
      <c r="D3425" s="2" t="str">
        <f t="shared" si="52"/>
        <v>Error?</v>
      </c>
    </row>
    <row r="3426" spans="1:4" x14ac:dyDescent="0.2">
      <c r="A3426" s="10">
        <v>3365</v>
      </c>
      <c r="B3426" s="1825"/>
      <c r="D3426" s="2" t="str">
        <f t="shared" si="52"/>
        <v>OK</v>
      </c>
    </row>
    <row r="3427" spans="1:4" x14ac:dyDescent="0.2">
      <c r="A3427" s="5">
        <v>3366</v>
      </c>
      <c r="B3427" s="1825">
        <f>'Assets-Liab 5-6'!I4</f>
        <v>423138</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131230</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111797</v>
      </c>
      <c r="C3446" s="2" t="s">
        <v>569</v>
      </c>
      <c r="D3446" s="2" t="str">
        <f t="shared" si="52"/>
        <v>Error?</v>
      </c>
    </row>
    <row r="3447" spans="1:4" x14ac:dyDescent="0.2">
      <c r="A3447" s="5">
        <v>3386</v>
      </c>
      <c r="B3447" s="1825">
        <f>'Tax Sched 23'!D16</f>
        <v>88757</v>
      </c>
      <c r="C3447" s="2" t="s">
        <v>569</v>
      </c>
      <c r="D3447" s="2" t="str">
        <f t="shared" si="52"/>
        <v>Error?</v>
      </c>
    </row>
    <row r="3448" spans="1:4" x14ac:dyDescent="0.2">
      <c r="A3448" s="5">
        <v>3387</v>
      </c>
      <c r="B3448" s="1825">
        <f>'Tax Sched 23'!C16</f>
        <v>23040</v>
      </c>
      <c r="D3448" s="2" t="str">
        <f t="shared" si="52"/>
        <v>Error?</v>
      </c>
    </row>
    <row r="3449" spans="1:4" x14ac:dyDescent="0.2">
      <c r="A3449" s="5">
        <v>3388</v>
      </c>
      <c r="B3449" s="1825">
        <f>'Tax Sched 23'!F16</f>
        <v>108180</v>
      </c>
      <c r="C3449" s="2" t="s">
        <v>569</v>
      </c>
      <c r="D3449" s="2" t="str">
        <f t="shared" si="52"/>
        <v>Error?</v>
      </c>
    </row>
    <row r="3450" spans="1:4" x14ac:dyDescent="0.2">
      <c r="A3450" s="5">
        <v>3389</v>
      </c>
      <c r="B3450" s="1825">
        <f>'Tax Sched 23'!E16</f>
        <v>131220</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752504</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205004</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957508</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957508</v>
      </c>
      <c r="D3567" s="2" t="str">
        <f t="shared" si="54"/>
        <v>Error?</v>
      </c>
    </row>
    <row r="3568" spans="1:4" x14ac:dyDescent="0.2">
      <c r="A3568" s="5">
        <v>3507</v>
      </c>
      <c r="B3568" s="1825">
        <f>'Assets-Liab 5-6'!K41</f>
        <v>957508</v>
      </c>
      <c r="C3568" s="2" t="s">
        <v>569</v>
      </c>
      <c r="D3568" s="2" t="str">
        <f t="shared" si="54"/>
        <v>Error?</v>
      </c>
    </row>
    <row r="3569" spans="1:4" x14ac:dyDescent="0.2">
      <c r="A3569" s="5">
        <v>3508</v>
      </c>
      <c r="B3569" s="1825">
        <f>'Acct Summary 7-8'!K4</f>
        <v>58597</v>
      </c>
      <c r="C3569" s="2" t="s">
        <v>569</v>
      </c>
      <c r="D3569" s="2" t="str">
        <f t="shared" si="54"/>
        <v>Error?</v>
      </c>
    </row>
    <row r="3570" spans="1:4" x14ac:dyDescent="0.2">
      <c r="A3570" s="5">
        <v>3509</v>
      </c>
      <c r="B3570" s="1825">
        <f>'Acct Summary 7-8'!K6</f>
        <v>50000</v>
      </c>
      <c r="C3570" s="2" t="s">
        <v>569</v>
      </c>
      <c r="D3570" s="2" t="str">
        <f t="shared" si="54"/>
        <v>Error?</v>
      </c>
    </row>
    <row r="3571" spans="1:4" x14ac:dyDescent="0.2">
      <c r="A3571" s="5">
        <v>3510</v>
      </c>
      <c r="B3571" s="1825">
        <f>'Acct Summary 7-8'!K8</f>
        <v>108597</v>
      </c>
      <c r="C3571" s="2" t="s">
        <v>569</v>
      </c>
      <c r="D3571" s="2" t="str">
        <f t="shared" si="54"/>
        <v>Error?</v>
      </c>
    </row>
    <row r="3572" spans="1:4" x14ac:dyDescent="0.2">
      <c r="A3572" s="5">
        <v>3511</v>
      </c>
      <c r="B3572" s="1825">
        <f>'Acct Summary 7-8'!K13</f>
        <v>81111</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81111</v>
      </c>
      <c r="C3575" s="2" t="s">
        <v>569</v>
      </c>
      <c r="D3575" s="2" t="str">
        <f t="shared" si="54"/>
        <v>Error?</v>
      </c>
    </row>
    <row r="3576" spans="1:4" x14ac:dyDescent="0.2">
      <c r="A3576" s="5">
        <v>3515</v>
      </c>
      <c r="B3576" s="1825">
        <f>'Acct Summary 7-8'!K20</f>
        <v>27486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27486</v>
      </c>
      <c r="C3588" s="2" t="s">
        <v>569</v>
      </c>
      <c r="D3588" s="2" t="str">
        <f t="shared" si="55"/>
        <v>Error?</v>
      </c>
    </row>
    <row r="3589" spans="1:4" x14ac:dyDescent="0.2">
      <c r="A3589" s="5">
        <v>3528</v>
      </c>
      <c r="B3589" s="1825">
        <f>'Acct Summary 7-8'!K79</f>
        <v>930022</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957508</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75373</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75373</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75373</v>
      </c>
      <c r="C3635" s="2" t="s">
        <v>569</v>
      </c>
      <c r="D3635" s="2" t="str">
        <f t="shared" si="55"/>
        <v>Error?</v>
      </c>
    </row>
    <row r="3636" spans="1:4" x14ac:dyDescent="0.2">
      <c r="A3636" s="5">
        <v>3575</v>
      </c>
      <c r="B3636" s="1825">
        <f>'Expenditures 15-22'!E367</f>
        <v>75373</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5738</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5738</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5738</v>
      </c>
      <c r="C3649" s="2" t="s">
        <v>569</v>
      </c>
      <c r="D3649" s="2" t="str">
        <f t="shared" si="56"/>
        <v>Error?</v>
      </c>
    </row>
    <row r="3650" spans="1:4" x14ac:dyDescent="0.2">
      <c r="A3650" s="5">
        <v>3589</v>
      </c>
      <c r="B3650" s="1825">
        <f>'Expenditures 15-22'!G367</f>
        <v>5738</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81111</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81111</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81111</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81111</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27486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45273</v>
      </c>
      <c r="C3725" s="2" t="s">
        <v>569</v>
      </c>
      <c r="D3725" s="2" t="str">
        <f t="shared" si="57"/>
        <v>Error?</v>
      </c>
    </row>
    <row r="3726" spans="1:4" x14ac:dyDescent="0.2">
      <c r="A3726" s="5">
        <v>3665</v>
      </c>
      <c r="B3726" s="1825">
        <f>'Tax Sched 23'!D13</f>
        <v>35305</v>
      </c>
      <c r="C3726" s="2" t="s">
        <v>569</v>
      </c>
      <c r="D3726" s="2" t="str">
        <f t="shared" si="57"/>
        <v>Error?</v>
      </c>
    </row>
    <row r="3727" spans="1:4" x14ac:dyDescent="0.2">
      <c r="A3727" s="5">
        <v>3666</v>
      </c>
      <c r="B3727" s="1825">
        <f>'Tax Sched 23'!C13</f>
        <v>9968</v>
      </c>
      <c r="D3727" s="2" t="str">
        <f t="shared" si="57"/>
        <v>Error?</v>
      </c>
    </row>
    <row r="3728" spans="1:4" x14ac:dyDescent="0.2">
      <c r="A3728" s="5">
        <v>3667</v>
      </c>
      <c r="B3728" s="1825">
        <f>'Tax Sched 23'!F13</f>
        <v>46803</v>
      </c>
      <c r="C3728" s="2" t="s">
        <v>569</v>
      </c>
      <c r="D3728" s="2" t="str">
        <f t="shared" si="57"/>
        <v>Error?</v>
      </c>
    </row>
    <row r="3729" spans="1:4" x14ac:dyDescent="0.2">
      <c r="A3729" s="5">
        <v>3668</v>
      </c>
      <c r="B3729" s="1825">
        <f>'Tax Sched 23'!E13</f>
        <v>56771</v>
      </c>
      <c r="D3729" s="2" t="str">
        <f t="shared" si="57"/>
        <v>Error?</v>
      </c>
    </row>
    <row r="3730" spans="1:4" x14ac:dyDescent="0.2">
      <c r="A3730" s="5">
        <v>3669</v>
      </c>
      <c r="B3730" s="1825">
        <f>'ICR Computation 30'!E10</f>
        <v>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7532</v>
      </c>
      <c r="D4074" s="2" t="str">
        <f t="shared" si="62"/>
        <v>Error?</v>
      </c>
    </row>
    <row r="4075" spans="1:4" x14ac:dyDescent="0.2">
      <c r="A4075" s="5">
        <v>4014</v>
      </c>
      <c r="B4075" s="1825">
        <f>'Expenditures 15-22'!D120</f>
        <v>2284</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9816</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3099362</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8966964</v>
      </c>
      <c r="C4122" s="2" t="s">
        <v>569</v>
      </c>
      <c r="D4122" s="2" t="str">
        <f t="shared" si="63"/>
        <v>Error?</v>
      </c>
    </row>
    <row r="4123" spans="1:4" x14ac:dyDescent="0.2">
      <c r="A4123" s="5">
        <v>4062</v>
      </c>
      <c r="B4123" s="1825">
        <f>'Acct Summary 7-8'!D10</f>
        <v>467686</v>
      </c>
      <c r="C4123" s="2" t="s">
        <v>569</v>
      </c>
      <c r="D4123" s="2" t="str">
        <f t="shared" si="63"/>
        <v>Error?</v>
      </c>
    </row>
    <row r="4124" spans="1:4" x14ac:dyDescent="0.2">
      <c r="A4124" s="5">
        <v>4063</v>
      </c>
      <c r="B4124" s="1825">
        <f>'Acct Summary 7-8'!E10</f>
        <v>911690</v>
      </c>
      <c r="C4124" s="2" t="s">
        <v>569</v>
      </c>
      <c r="D4124" s="2" t="str">
        <f t="shared" si="63"/>
        <v>Error?</v>
      </c>
    </row>
    <row r="4125" spans="1:4" x14ac:dyDescent="0.2">
      <c r="A4125" s="5">
        <v>4064</v>
      </c>
      <c r="B4125" s="1825">
        <f>'Acct Summary 7-8'!F10</f>
        <v>594632</v>
      </c>
      <c r="C4125" s="2" t="s">
        <v>569</v>
      </c>
      <c r="D4125" s="2" t="str">
        <f t="shared" si="63"/>
        <v>Error?</v>
      </c>
    </row>
    <row r="4126" spans="1:4" x14ac:dyDescent="0.2">
      <c r="A4126" s="5">
        <v>4065</v>
      </c>
      <c r="B4126" s="1825">
        <f>'Acct Summary 7-8'!G10</f>
        <v>162872</v>
      </c>
      <c r="C4126" s="2" t="s">
        <v>569</v>
      </c>
      <c r="D4126" s="2" t="str">
        <f t="shared" si="63"/>
        <v>Error?</v>
      </c>
    </row>
    <row r="4127" spans="1:4" x14ac:dyDescent="0.2">
      <c r="A4127" s="5">
        <v>4066</v>
      </c>
      <c r="B4127" s="1825">
        <f>'Acct Summary 7-8'!H10</f>
        <v>25984</v>
      </c>
      <c r="C4127" s="2" t="s">
        <v>569</v>
      </c>
      <c r="D4127" s="2" t="str">
        <f t="shared" si="63"/>
        <v>Error?</v>
      </c>
    </row>
    <row r="4128" spans="1:4" x14ac:dyDescent="0.2">
      <c r="A4128" s="5">
        <v>4067</v>
      </c>
      <c r="B4128" s="1825">
        <f>'Acct Summary 7-8'!I10</f>
        <v>58387</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108597</v>
      </c>
      <c r="C4130" s="2" t="s">
        <v>569</v>
      </c>
      <c r="D4130" s="2" t="str">
        <f t="shared" si="63"/>
        <v>Error?</v>
      </c>
    </row>
    <row r="4131" spans="1:4" x14ac:dyDescent="0.2">
      <c r="A4131" s="5">
        <v>4070</v>
      </c>
      <c r="B4131" s="1825">
        <f>'Acct Summary 7-8'!C18</f>
        <v>3099362</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9163220</v>
      </c>
      <c r="C4136" s="2" t="s">
        <v>569</v>
      </c>
      <c r="D4136" s="2" t="str">
        <f t="shared" si="63"/>
        <v>Error?</v>
      </c>
    </row>
    <row r="4137" spans="1:4" x14ac:dyDescent="0.2">
      <c r="A4137" s="5">
        <v>4076</v>
      </c>
      <c r="B4137" s="1825">
        <f>'Acct Summary 7-8'!D19</f>
        <v>730684</v>
      </c>
      <c r="C4137" s="2" t="s">
        <v>569</v>
      </c>
      <c r="D4137" s="2" t="str">
        <f t="shared" si="63"/>
        <v>Error?</v>
      </c>
    </row>
    <row r="4138" spans="1:4" x14ac:dyDescent="0.2">
      <c r="A4138" s="5">
        <v>4077</v>
      </c>
      <c r="B4138" s="1825">
        <f>'Acct Summary 7-8'!E19</f>
        <v>1091524</v>
      </c>
      <c r="C4138" s="2" t="s">
        <v>569</v>
      </c>
      <c r="D4138" s="2" t="str">
        <f t="shared" si="63"/>
        <v>Error?</v>
      </c>
    </row>
    <row r="4139" spans="1:4" x14ac:dyDescent="0.2">
      <c r="A4139" s="5">
        <v>4078</v>
      </c>
      <c r="B4139" s="1825">
        <f>'Acct Summary 7-8'!F19</f>
        <v>625624</v>
      </c>
      <c r="C4139" s="2" t="s">
        <v>569</v>
      </c>
      <c r="D4139" s="2" t="str">
        <f t="shared" si="63"/>
        <v>Error?</v>
      </c>
    </row>
    <row r="4140" spans="1:4" x14ac:dyDescent="0.2">
      <c r="A4140" s="5">
        <v>4079</v>
      </c>
      <c r="B4140" s="1825">
        <f>'Acct Summary 7-8'!G19</f>
        <v>151943</v>
      </c>
      <c r="C4140" s="2" t="s">
        <v>569</v>
      </c>
      <c r="D4140" s="2" t="str">
        <f t="shared" si="63"/>
        <v>Error?</v>
      </c>
    </row>
    <row r="4141" spans="1:4" x14ac:dyDescent="0.2">
      <c r="A4141" s="5">
        <v>4080</v>
      </c>
      <c r="B4141" s="1825">
        <f>'Acct Summary 7-8'!H19</f>
        <v>63090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81111</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4784346</v>
      </c>
      <c r="C4171" s="2" t="s">
        <v>569</v>
      </c>
      <c r="D4171" s="2" t="str">
        <f t="shared" si="64"/>
        <v>Error?</v>
      </c>
    </row>
    <row r="4172" spans="1:4" x14ac:dyDescent="0.2">
      <c r="A4172" s="5">
        <v>4111</v>
      </c>
      <c r="B4172" s="1825">
        <f>'Short-Term Long-Term Debt 24'!J49</f>
        <v>4549460</v>
      </c>
      <c r="C4172" s="2" t="s">
        <v>569</v>
      </c>
      <c r="D4172" s="2" t="str">
        <f t="shared" si="64"/>
        <v>Error?</v>
      </c>
    </row>
    <row r="4173" spans="1:4" x14ac:dyDescent="0.2">
      <c r="A4173" s="5">
        <v>4112</v>
      </c>
      <c r="B4173" s="1825">
        <f>'Short-Term Long-Term Debt 24'!H49</f>
        <v>238977</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2430</v>
      </c>
      <c r="C4265" s="2" t="s">
        <v>569</v>
      </c>
      <c r="D4265" s="2" t="str">
        <f t="shared" si="65"/>
        <v>Error?</v>
      </c>
      <c r="E4265" s="125"/>
    </row>
    <row r="4266" spans="1:5" x14ac:dyDescent="0.2">
      <c r="A4266" s="12">
        <v>4205</v>
      </c>
      <c r="B4266" s="1825">
        <f>('FP Info 3'!F10)*100000</f>
        <v>501.99800000000005</v>
      </c>
      <c r="C4266" s="2" t="s">
        <v>569</v>
      </c>
      <c r="D4266" s="2" t="str">
        <f t="shared" si="65"/>
        <v>Error?</v>
      </c>
      <c r="E4266" s="125"/>
    </row>
    <row r="4267" spans="1:5" x14ac:dyDescent="0.2">
      <c r="A4267" s="12">
        <v>4206</v>
      </c>
      <c r="B4267" s="1825">
        <f>('FP Info 3'!H10)*100000</f>
        <v>200.79899999999998</v>
      </c>
      <c r="C4267" s="2" t="s">
        <v>569</v>
      </c>
      <c r="D4267" s="2" t="str">
        <f t="shared" si="65"/>
        <v>Error?</v>
      </c>
      <c r="E4267" s="125"/>
    </row>
    <row r="4268" spans="1:5" x14ac:dyDescent="0.2">
      <c r="A4268" s="12">
        <v>4207</v>
      </c>
      <c r="B4268" s="1825">
        <f>('FP Info 3'!J10)*100000</f>
        <v>3132.9999999999995</v>
      </c>
      <c r="C4268" s="2" t="s">
        <v>569</v>
      </c>
      <c r="D4268" s="2" t="str">
        <f t="shared" si="65"/>
        <v>Error?</v>
      </c>
    </row>
    <row r="4269" spans="1:5" x14ac:dyDescent="0.2">
      <c r="A4269" s="12">
        <v>4208</v>
      </c>
      <c r="B4269" s="1825">
        <f>'FP Info 3'!J16</f>
        <v>5607649</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54265</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9493</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23877</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6480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50000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113541713</v>
      </c>
      <c r="D4995" s="2" t="str">
        <f t="shared" si="77"/>
        <v>Error?</v>
      </c>
    </row>
    <row r="4996" spans="1:4" x14ac:dyDescent="0.2">
      <c r="A4996" s="12">
        <v>4935</v>
      </c>
      <c r="B4996" s="1825">
        <f>'FP Info 3'!H31</f>
        <v>15668756.394000001</v>
      </c>
      <c r="D4996" s="2" t="str">
        <f t="shared" si="77"/>
        <v>Error?</v>
      </c>
    </row>
    <row r="4997" spans="1:4" x14ac:dyDescent="0.2">
      <c r="A4997" s="12">
        <v>4936</v>
      </c>
      <c r="B4997" s="1825">
        <f>'FP Info 3'!H37</f>
        <v>4784346</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45273</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2200326</v>
      </c>
      <c r="D5061" s="2" t="str">
        <f t="shared" si="78"/>
        <v>Error?</v>
      </c>
    </row>
    <row r="5062" spans="1:4" x14ac:dyDescent="0.2">
      <c r="A5062" s="10">
        <v>5001</v>
      </c>
      <c r="B5062" s="1825"/>
      <c r="D5062" s="2" t="str">
        <f t="shared" si="78"/>
        <v>OK</v>
      </c>
    </row>
    <row r="5063" spans="1:4" x14ac:dyDescent="0.2">
      <c r="A5063" s="5">
        <v>5002</v>
      </c>
      <c r="B5063" s="1825">
        <f>'Revenues 9-14'!C7</f>
        <v>36220</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2281819</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205407</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205407</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57940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57940</v>
      </c>
      <c r="C5087" s="2" t="s">
        <v>569</v>
      </c>
      <c r="D5087" s="2" t="str">
        <f t="shared" si="78"/>
        <v>Error?</v>
      </c>
    </row>
    <row r="5088" spans="1:4" x14ac:dyDescent="0.2">
      <c r="A5088" s="5">
        <v>5027</v>
      </c>
      <c r="B5088" s="1825">
        <f>'Revenues 9-14'!C65</f>
        <v>53758</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53758</v>
      </c>
      <c r="C5090" s="2" t="s">
        <v>569</v>
      </c>
      <c r="D5090" s="2" t="str">
        <f t="shared" si="78"/>
        <v>Error?</v>
      </c>
    </row>
    <row r="5091" spans="1:4" x14ac:dyDescent="0.2">
      <c r="A5091" s="5">
        <v>5030</v>
      </c>
      <c r="B5091" s="1825">
        <f>'Revenues 9-14'!C70</f>
        <v>6288</v>
      </c>
      <c r="D5091" s="2" t="str">
        <f t="shared" si="78"/>
        <v>Error?</v>
      </c>
    </row>
    <row r="5092" spans="1:4" x14ac:dyDescent="0.2">
      <c r="A5092" s="5">
        <v>5031</v>
      </c>
      <c r="B5092" s="1825">
        <f>'Revenues 9-14'!C71</f>
        <v>57476</v>
      </c>
      <c r="D5092" s="2" t="str">
        <f t="shared" si="78"/>
        <v>Error?</v>
      </c>
    </row>
    <row r="5093" spans="1:4" x14ac:dyDescent="0.2">
      <c r="A5093" s="5">
        <v>5032</v>
      </c>
      <c r="B5093" s="1825">
        <f>'Revenues 9-14'!C72</f>
        <v>2541</v>
      </c>
      <c r="D5093" s="2" t="str">
        <f t="shared" si="78"/>
        <v>Error?</v>
      </c>
    </row>
    <row r="5094" spans="1:4" x14ac:dyDescent="0.2">
      <c r="A5094" s="5">
        <v>5033</v>
      </c>
      <c r="B5094" s="1825">
        <f>'Revenues 9-14'!C73</f>
        <v>1983</v>
      </c>
      <c r="D5094" s="2" t="str">
        <f t="shared" si="78"/>
        <v>Error?</v>
      </c>
    </row>
    <row r="5095" spans="1:4" x14ac:dyDescent="0.2">
      <c r="A5095" s="5">
        <v>5034</v>
      </c>
      <c r="B5095" s="1825">
        <f>'Revenues 9-14'!C74</f>
        <v>9334</v>
      </c>
      <c r="D5095" s="2" t="str">
        <f t="shared" si="78"/>
        <v>Error?</v>
      </c>
    </row>
    <row r="5096" spans="1:4" x14ac:dyDescent="0.2">
      <c r="A5096" s="5">
        <v>5035</v>
      </c>
      <c r="B5096" s="1825">
        <f>'Revenues 9-14'!C75</f>
        <v>145405</v>
      </c>
      <c r="C5096" s="2" t="s">
        <v>569</v>
      </c>
      <c r="D5096" s="2" t="str">
        <f t="shared" si="78"/>
        <v>Error?</v>
      </c>
    </row>
    <row r="5097" spans="1:4" x14ac:dyDescent="0.2">
      <c r="A5097" s="5">
        <v>5036</v>
      </c>
      <c r="B5097" s="1825">
        <f>'Revenues 9-14'!C77</f>
        <v>11352</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28080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24746</v>
      </c>
      <c r="D5101" s="2" t="str">
        <f t="shared" si="78"/>
        <v>Error?</v>
      </c>
    </row>
    <row r="5102" spans="1:4" x14ac:dyDescent="0.2">
      <c r="A5102" s="5">
        <v>5041</v>
      </c>
      <c r="B5102" s="1825">
        <f>'Revenues 9-14'!C82</f>
        <v>64178</v>
      </c>
      <c r="C5102" s="2" t="s">
        <v>569</v>
      </c>
      <c r="D5102" s="2" t="str">
        <f t="shared" si="78"/>
        <v>Error?</v>
      </c>
    </row>
    <row r="5103" spans="1:4" x14ac:dyDescent="0.2">
      <c r="A5103" s="5">
        <v>5042</v>
      </c>
      <c r="B5103" s="1825">
        <f>'Revenues 9-14'!C84</f>
        <v>90586</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90586</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44087</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9324</v>
      </c>
      <c r="D5118" s="2" t="str">
        <f t="shared" si="78"/>
        <v>Error?</v>
      </c>
    </row>
    <row r="5119" spans="1:4" x14ac:dyDescent="0.2">
      <c r="A5119" s="5">
        <v>5058</v>
      </c>
      <c r="B5119" s="1825">
        <f>'Revenues 9-14'!C107</f>
        <v>7695</v>
      </c>
      <c r="D5119" s="2" t="str">
        <f t="shared" ref="D5119:D5182" si="79">IF(ISBLANK(B5119),"OK",IF(A5119-B5119=0,"OK","Error?"))</f>
        <v>Error?</v>
      </c>
    </row>
    <row r="5120" spans="1:4" x14ac:dyDescent="0.2">
      <c r="A5120" s="5">
        <v>5059</v>
      </c>
      <c r="B5120" s="1825">
        <f>'Revenues 9-14'!C108</f>
        <v>73632</v>
      </c>
      <c r="C5120" s="2" t="s">
        <v>569</v>
      </c>
      <c r="D5120" s="2" t="str">
        <f t="shared" si="79"/>
        <v>Error?</v>
      </c>
    </row>
    <row r="5121" spans="1:4" x14ac:dyDescent="0.2">
      <c r="A5121" s="5">
        <v>5060</v>
      </c>
      <c r="B5121" s="1825">
        <f>'Revenues 9-14'!C109</f>
        <v>2972725</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2268959</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2268959</v>
      </c>
      <c r="C5132" s="2" t="s">
        <v>569</v>
      </c>
      <c r="D5132" s="2" t="str">
        <f t="shared" si="79"/>
        <v>Error?</v>
      </c>
    </row>
    <row r="5133" spans="1:4" x14ac:dyDescent="0.2">
      <c r="A5133" s="5">
        <v>5072</v>
      </c>
      <c r="B5133" s="1825">
        <f>'Revenues 9-14'!C125</f>
        <v>80582</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10457</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91039</v>
      </c>
      <c r="C5147" s="2" t="s">
        <v>569</v>
      </c>
      <c r="D5147" s="2" t="str">
        <f t="shared" si="79"/>
        <v>Error?</v>
      </c>
    </row>
    <row r="5148" spans="1:4" x14ac:dyDescent="0.2">
      <c r="A5148" s="5">
        <v>5087</v>
      </c>
      <c r="B5148" s="1825">
        <f>'Revenues 9-14'!C134</f>
        <v>16931</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5686</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24767</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1440</v>
      </c>
      <c r="D5167" s="2" t="str">
        <f t="shared" si="79"/>
        <v>Error?</v>
      </c>
    </row>
    <row r="5168" spans="1:4" x14ac:dyDescent="0.2">
      <c r="A5168" s="5">
        <v>5107</v>
      </c>
      <c r="B5168" s="1825">
        <f>'Revenues 9-14'!C148</f>
        <v>7544</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83141</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207931</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2476890</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89450</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16311</v>
      </c>
      <c r="D5241" s="2" t="str">
        <f t="shared" si="80"/>
        <v>Error?</v>
      </c>
    </row>
    <row r="5242" spans="1:4" x14ac:dyDescent="0.2">
      <c r="A5242" s="5">
        <v>5181</v>
      </c>
      <c r="B5242" s="1825">
        <f>'Revenues 9-14'!C194</f>
        <v>12707</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118468</v>
      </c>
      <c r="C5246" s="2" t="s">
        <v>569</v>
      </c>
      <c r="D5246" s="2" t="str">
        <f t="shared" si="80"/>
        <v>Error?</v>
      </c>
    </row>
    <row r="5247" spans="1:4" x14ac:dyDescent="0.2">
      <c r="A5247" s="5">
        <v>5186</v>
      </c>
      <c r="B5247" s="1825">
        <f>'Revenues 9-14'!C200</f>
        <v>154926</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9493</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154926</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40407</v>
      </c>
      <c r="D5274" s="2" t="str">
        <f t="shared" si="81"/>
        <v>Error?</v>
      </c>
    </row>
    <row r="5275" spans="1:4" x14ac:dyDescent="0.2">
      <c r="A5275" s="5">
        <v>5214</v>
      </c>
      <c r="B5275" s="1825">
        <f>'Revenues 9-14'!C212</f>
        <v>10071</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50478</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417987</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417987</v>
      </c>
      <c r="C5326" s="2" t="s">
        <v>569</v>
      </c>
      <c r="D5326" s="2" t="str">
        <f t="shared" si="82"/>
        <v>Error?</v>
      </c>
    </row>
    <row r="5327" spans="1:5" x14ac:dyDescent="0.2">
      <c r="A5327" s="5">
        <v>5266</v>
      </c>
      <c r="B5327" s="1825">
        <f>'Revenues 9-14'!C268</f>
        <v>5867602</v>
      </c>
      <c r="C5327" s="2" t="s">
        <v>569</v>
      </c>
      <c r="D5327" s="2" t="str">
        <f t="shared" si="82"/>
        <v>Error?</v>
      </c>
    </row>
    <row r="5328" spans="1:5" x14ac:dyDescent="0.2">
      <c r="A5328" s="5">
        <v>5267</v>
      </c>
      <c r="B5328" s="1825">
        <f>'Revenues 9-14'!D5</f>
        <v>452741</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452741</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14945</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14945</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0</v>
      </c>
      <c r="C5355" s="2" t="s">
        <v>569</v>
      </c>
      <c r="D5355" s="2" t="str">
        <f t="shared" si="82"/>
        <v>Error?</v>
      </c>
    </row>
    <row r="5356" spans="1:4" x14ac:dyDescent="0.2">
      <c r="A5356" s="5">
        <v>5295</v>
      </c>
      <c r="B5356" s="1825">
        <f>'Revenues 9-14'!D109</f>
        <v>467686</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467686</v>
      </c>
      <c r="C5508" s="2" t="s">
        <v>569</v>
      </c>
      <c r="D5508" s="2" t="str">
        <f t="shared" si="85"/>
        <v>Error?</v>
      </c>
    </row>
    <row r="5509" spans="1:4" x14ac:dyDescent="0.2">
      <c r="A5509" s="5">
        <v>5448</v>
      </c>
      <c r="B5509" s="1825">
        <f>'Revenues 9-14'!E5</f>
        <v>903128</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903128</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8562</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8562</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911690</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911690</v>
      </c>
      <c r="C5552" s="2" t="s">
        <v>569</v>
      </c>
      <c r="D5552" s="2" t="str">
        <f t="shared" si="85"/>
        <v>Error?</v>
      </c>
    </row>
    <row r="5553" spans="1:4" x14ac:dyDescent="0.2">
      <c r="A5553" s="5">
        <v>5492</v>
      </c>
      <c r="B5553" s="1825">
        <f>'Revenues 9-14'!F5</f>
        <v>181096</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181096</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345</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6018</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6363</v>
      </c>
      <c r="C5579" s="2" t="s">
        <v>569</v>
      </c>
      <c r="D5579" s="2" t="str">
        <f t="shared" si="86"/>
        <v>Error?</v>
      </c>
    </row>
    <row r="5580" spans="1:4" x14ac:dyDescent="0.2">
      <c r="A5580" s="5">
        <v>5519</v>
      </c>
      <c r="B5580" s="1825">
        <f>'Revenues 9-14'!F65</f>
        <v>12309</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12309</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248</v>
      </c>
      <c r="D5586" s="2" t="str">
        <f t="shared" si="86"/>
        <v>Error?</v>
      </c>
    </row>
    <row r="5587" spans="1:4" x14ac:dyDescent="0.2">
      <c r="A5587" s="5">
        <v>5526</v>
      </c>
      <c r="B5587" s="1825">
        <f>'Revenues 9-14'!F108</f>
        <v>248</v>
      </c>
      <c r="C5587" s="2" t="s">
        <v>569</v>
      </c>
      <c r="D5587" s="2" t="str">
        <f t="shared" si="86"/>
        <v>Error?</v>
      </c>
    </row>
    <row r="5588" spans="1:4" x14ac:dyDescent="0.2">
      <c r="A5588" s="5">
        <v>5527</v>
      </c>
      <c r="B5588" s="1825">
        <f>'Revenues 9-14'!F109</f>
        <v>200016</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282249</v>
      </c>
      <c r="D5615" s="2" t="str">
        <f t="shared" si="86"/>
        <v>Error?</v>
      </c>
    </row>
    <row r="5616" spans="1:4" x14ac:dyDescent="0.2">
      <c r="A5616" s="10">
        <v>5555</v>
      </c>
      <c r="B5616" s="1825"/>
      <c r="D5616" s="2" t="str">
        <f t="shared" si="86"/>
        <v>OK</v>
      </c>
    </row>
    <row r="5617" spans="1:5" x14ac:dyDescent="0.2">
      <c r="A5617" s="5">
        <v>5556</v>
      </c>
      <c r="B5617" s="1825">
        <f>'Revenues 9-14'!F153</f>
        <v>112367</v>
      </c>
      <c r="D5617" s="2" t="str">
        <f t="shared" si="86"/>
        <v>Error?</v>
      </c>
    </row>
    <row r="5618" spans="1:5" x14ac:dyDescent="0.2">
      <c r="A5618" s="5">
        <v>5557</v>
      </c>
      <c r="B5618" s="1825">
        <f>'Revenues 9-14'!F155</f>
        <v>394616</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394616</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394616</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594632</v>
      </c>
      <c r="C5720" s="2" t="s">
        <v>569</v>
      </c>
      <c r="D5720" s="2" t="str">
        <f t="shared" si="88"/>
        <v>Error?</v>
      </c>
    </row>
    <row r="5721" spans="1:4" x14ac:dyDescent="0.2">
      <c r="A5721" s="5">
        <v>5660</v>
      </c>
      <c r="B5721" s="1825">
        <f>'Revenues 9-14'!G5</f>
        <v>42697</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111797</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154494</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1771</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1771</v>
      </c>
      <c r="C5730" s="2" t="s">
        <v>569</v>
      </c>
      <c r="D5730" s="2" t="str">
        <f t="shared" si="88"/>
        <v>Error?</v>
      </c>
    </row>
    <row r="5731" spans="1:4" x14ac:dyDescent="0.2">
      <c r="A5731" s="5">
        <v>5670</v>
      </c>
      <c r="B5731" s="1825">
        <f>'Revenues 9-14'!G65</f>
        <v>6607</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6607</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162872</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18166</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18166</v>
      </c>
      <c r="C5881" s="2" t="s">
        <v>569</v>
      </c>
      <c r="D5881" s="2" t="str">
        <f t="shared" si="90"/>
        <v>Error?</v>
      </c>
    </row>
    <row r="5882" spans="1:4" x14ac:dyDescent="0.2">
      <c r="A5882" s="5">
        <v>5821</v>
      </c>
      <c r="B5882" s="1825">
        <f>'Revenues 9-14'!H96</f>
        <v>7818</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7818</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25984</v>
      </c>
      <c r="C5915" s="2" t="s">
        <v>569</v>
      </c>
      <c r="D5915" s="2" t="str">
        <f t="shared" si="91"/>
        <v>Error?</v>
      </c>
    </row>
    <row r="5916" spans="1:4" x14ac:dyDescent="0.2">
      <c r="A5916" s="5">
        <v>5855</v>
      </c>
      <c r="B5916" s="1825">
        <f>'Revenues 9-14'!I5</f>
        <v>45273</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45273</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13114</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13114</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58387</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45273</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45273</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11644</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11644</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1680</v>
      </c>
      <c r="D5998" s="2" t="str">
        <f t="shared" si="92"/>
        <v>Error?</v>
      </c>
    </row>
    <row r="5999" spans="1:4" x14ac:dyDescent="0.2">
      <c r="A5999" s="5">
        <v>5938</v>
      </c>
      <c r="B5999" s="1825">
        <f>'Revenues 9-14'!K108</f>
        <v>1680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50000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50000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108597</v>
      </c>
      <c r="C6023" s="2" t="s">
        <v>569</v>
      </c>
      <c r="D6023" s="2" t="str">
        <f t="shared" si="93"/>
        <v>Error?</v>
      </c>
    </row>
    <row r="6024" spans="1:5" x14ac:dyDescent="0.2">
      <c r="A6024" s="5">
        <v>5963</v>
      </c>
      <c r="B6024" s="1825">
        <f>'Revenues 9-14'!G109</f>
        <v>162872</v>
      </c>
      <c r="C6024" s="2" t="s">
        <v>569</v>
      </c>
      <c r="D6024" s="2" t="str">
        <f t="shared" si="93"/>
        <v>Error?</v>
      </c>
    </row>
    <row r="6025" spans="1:5" x14ac:dyDescent="0.2">
      <c r="A6025" s="5">
        <v>5964</v>
      </c>
      <c r="B6025" s="1825">
        <f>'Revenues 9-14'!H109</f>
        <v>25984</v>
      </c>
      <c r="C6025" s="2" t="s">
        <v>569</v>
      </c>
      <c r="D6025" s="2" t="str">
        <f t="shared" si="93"/>
        <v>Error?</v>
      </c>
    </row>
    <row r="6026" spans="1:5" x14ac:dyDescent="0.2">
      <c r="A6026" s="5">
        <v>5965</v>
      </c>
      <c r="B6026" s="1825">
        <f>'Revenues 9-14'!I109</f>
        <v>58387</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58597</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67783</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18924</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751.3</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103343</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171582</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103343</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103343</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68239</v>
      </c>
      <c r="D6215" s="2" t="str">
        <f t="shared" si="96"/>
        <v>Error?</v>
      </c>
      <c r="E6215" s="2" t="s">
        <v>189</v>
      </c>
    </row>
    <row r="6216" spans="1:5" x14ac:dyDescent="0.2">
      <c r="A6216">
        <v>6155</v>
      </c>
      <c r="B6216" s="1825">
        <f>'Assets-Liab 5-6'!J41</f>
        <v>171582</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171582</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684361</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684361</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684361</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781318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781318</v>
      </c>
      <c r="D6229" s="2" t="str">
        <f t="shared" si="96"/>
        <v>Error?</v>
      </c>
      <c r="E6229" s="2" t="s">
        <v>189</v>
      </c>
    </row>
    <row r="6230" spans="1:5" x14ac:dyDescent="0.2">
      <c r="A6230">
        <v>6169</v>
      </c>
      <c r="B6230" s="1825">
        <f>'Acct Summary 7-8'!J20</f>
        <v>-96957</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-96957</v>
      </c>
      <c r="D6263" s="2" t="str">
        <f t="shared" si="96"/>
        <v>Error?</v>
      </c>
      <c r="E6263" s="2" t="s">
        <v>189</v>
      </c>
    </row>
    <row r="6264" spans="1:5" x14ac:dyDescent="0.2">
      <c r="A6264">
        <v>6203</v>
      </c>
      <c r="B6264" s="1825">
        <f>'Acct Summary 7-8'!J79</f>
        <v>165196</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68239</v>
      </c>
      <c r="D6266" s="2" t="str">
        <f t="shared" si="96"/>
        <v>Error?</v>
      </c>
      <c r="E6266" s="2" t="s">
        <v>189</v>
      </c>
    </row>
    <row r="6267" spans="1:5" x14ac:dyDescent="0.2">
      <c r="A6267">
        <v>6206</v>
      </c>
      <c r="B6267" s="1825">
        <f>'Acct Summary 7-8'!C82</f>
        <v>-196256</v>
      </c>
      <c r="D6267" s="2" t="str">
        <f t="shared" si="96"/>
        <v>Error?</v>
      </c>
      <c r="E6267" s="2" t="s">
        <v>189</v>
      </c>
    </row>
    <row r="6268" spans="1:5" x14ac:dyDescent="0.2">
      <c r="A6268">
        <v>6207</v>
      </c>
      <c r="B6268" s="1825">
        <f>'Acct Summary 7-8'!D82</f>
        <v>-100848</v>
      </c>
      <c r="D6268" s="2" t="str">
        <f t="shared" si="96"/>
        <v>Error?</v>
      </c>
      <c r="E6268" s="2" t="s">
        <v>189</v>
      </c>
    </row>
    <row r="6269" spans="1:5" x14ac:dyDescent="0.2">
      <c r="A6269">
        <v>6208</v>
      </c>
      <c r="B6269" s="1825">
        <f>'Acct Summary 7-8'!E82</f>
        <v>-179834</v>
      </c>
      <c r="D6269" s="2" t="str">
        <f t="shared" si="96"/>
        <v>Error?</v>
      </c>
      <c r="E6269" s="2" t="s">
        <v>189</v>
      </c>
    </row>
    <row r="6270" spans="1:5" x14ac:dyDescent="0.2">
      <c r="A6270">
        <v>6209</v>
      </c>
      <c r="B6270" s="1825">
        <f>'Acct Summary 7-8'!F82</f>
        <v>-30992</v>
      </c>
      <c r="D6270" s="2" t="str">
        <f t="shared" si="96"/>
        <v>Error?</v>
      </c>
      <c r="E6270" s="2" t="s">
        <v>189</v>
      </c>
    </row>
    <row r="6271" spans="1:5" x14ac:dyDescent="0.2">
      <c r="A6271">
        <v>6210</v>
      </c>
      <c r="B6271" s="1825">
        <f>'Acct Summary 7-8'!G82</f>
        <v>10929</v>
      </c>
      <c r="D6271" s="2" t="str">
        <f t="shared" ref="D6271:D6334" si="97">IF(ISBLANK(B6271),"OK",IF(A6271-B6271=0,"OK","Error?"))</f>
        <v>Error?</v>
      </c>
      <c r="E6271" s="2" t="s">
        <v>189</v>
      </c>
    </row>
    <row r="6272" spans="1:5" x14ac:dyDescent="0.2">
      <c r="A6272">
        <v>6211</v>
      </c>
      <c r="B6272" s="1825">
        <f>'Acct Summary 7-8'!H82</f>
        <v>-37106</v>
      </c>
      <c r="D6272" s="2" t="str">
        <f t="shared" si="97"/>
        <v>Error?</v>
      </c>
      <c r="E6272" s="2" t="s">
        <v>189</v>
      </c>
    </row>
    <row r="6273" spans="1:5" x14ac:dyDescent="0.2">
      <c r="A6273">
        <v>6212</v>
      </c>
      <c r="B6273" s="1825">
        <f>'Acct Summary 7-8'!I82</f>
        <v>-103763</v>
      </c>
      <c r="D6273" s="2" t="str">
        <f t="shared" si="97"/>
        <v>Error?</v>
      </c>
      <c r="E6273" s="2" t="s">
        <v>189</v>
      </c>
    </row>
    <row r="6274" spans="1:5" x14ac:dyDescent="0.2">
      <c r="A6274">
        <v>6213</v>
      </c>
      <c r="B6274" s="1825">
        <f>'Acct Summary 7-8'!J82</f>
        <v>-96957</v>
      </c>
      <c r="D6274" s="2" t="str">
        <f t="shared" si="97"/>
        <v>Error?</v>
      </c>
      <c r="E6274" s="2" t="s">
        <v>189</v>
      </c>
    </row>
    <row r="6275" spans="1:5" x14ac:dyDescent="0.2">
      <c r="A6275">
        <v>6214</v>
      </c>
      <c r="B6275" s="1825">
        <f>'Acct Summary 7-8'!K82</f>
        <v>27486</v>
      </c>
      <c r="D6275" s="2" t="str">
        <f t="shared" si="97"/>
        <v>Error?</v>
      </c>
      <c r="E6275" s="2" t="s">
        <v>189</v>
      </c>
    </row>
    <row r="6276" spans="1:5" x14ac:dyDescent="0.2">
      <c r="A6276">
        <v>6215</v>
      </c>
      <c r="B6276" s="1825">
        <f>'Acct Summary 7-8'!C83</f>
        <v>-6.538468842358254E-2</v>
      </c>
      <c r="D6276" s="2" t="str">
        <f t="shared" si="97"/>
        <v>Error?</v>
      </c>
      <c r="E6276" s="2" t="s">
        <v>189</v>
      </c>
    </row>
    <row r="6277" spans="1:5" x14ac:dyDescent="0.2">
      <c r="A6277">
        <v>6216</v>
      </c>
      <c r="B6277" s="1825">
        <f>'Acct Summary 7-8'!D83</f>
        <v>-0.10633510403859983</v>
      </c>
      <c r="D6277" s="2" t="str">
        <f t="shared" si="97"/>
        <v>Error?</v>
      </c>
      <c r="E6277" s="2" t="s">
        <v>189</v>
      </c>
    </row>
    <row r="6278" spans="1:5" x14ac:dyDescent="0.2">
      <c r="A6278">
        <v>6217</v>
      </c>
      <c r="B6278" s="1825">
        <f>'Acct Summary 7-8'!E83</f>
        <v>-0.76562247217799273</v>
      </c>
      <c r="D6278" s="2" t="str">
        <f t="shared" si="97"/>
        <v>Error?</v>
      </c>
      <c r="E6278" s="2" t="s">
        <v>189</v>
      </c>
    </row>
    <row r="6279" spans="1:5" x14ac:dyDescent="0.2">
      <c r="A6279">
        <v>6218</v>
      </c>
      <c r="B6279" s="1825">
        <f>'Acct Summary 7-8'!F83</f>
        <v>-3.454806709405854E-2</v>
      </c>
      <c r="D6279" s="2" t="str">
        <f t="shared" si="97"/>
        <v>Error?</v>
      </c>
      <c r="E6279" s="2" t="s">
        <v>189</v>
      </c>
    </row>
    <row r="6280" spans="1:5" x14ac:dyDescent="0.2">
      <c r="A6280">
        <v>6219</v>
      </c>
      <c r="B6280" s="1825">
        <f>'Acct Summary 7-8'!G83</f>
        <v>2.7994221341079196E-2</v>
      </c>
      <c r="D6280" s="2" t="str">
        <f t="shared" si="97"/>
        <v>Error?</v>
      </c>
      <c r="E6280" s="2" t="s">
        <v>189</v>
      </c>
    </row>
    <row r="6281" spans="1:5" x14ac:dyDescent="0.2">
      <c r="A6281">
        <v>6220</v>
      </c>
      <c r="B6281" s="1825">
        <f>'Acct Summary 7-8'!H83</f>
        <v>-3.2328016191016357E-2</v>
      </c>
      <c r="D6281" s="2" t="str">
        <f t="shared" si="97"/>
        <v>Error?</v>
      </c>
      <c r="E6281" s="2" t="s">
        <v>189</v>
      </c>
    </row>
    <row r="6282" spans="1:5" x14ac:dyDescent="0.2">
      <c r="A6282">
        <v>6221</v>
      </c>
      <c r="B6282" s="1825">
        <f>'Acct Summary 7-8'!I83</f>
        <v>-0.13641843594001232</v>
      </c>
      <c r="D6282" s="2" t="str">
        <f t="shared" si="97"/>
        <v>Error?</v>
      </c>
      <c r="E6282" s="2" t="s">
        <v>189</v>
      </c>
    </row>
    <row r="6283" spans="1:5" x14ac:dyDescent="0.2">
      <c r="A6283">
        <v>6222</v>
      </c>
      <c r="B6283" s="1825">
        <f>'Acct Summary 7-8'!J83</f>
        <v>-1.4208443851756327</v>
      </c>
      <c r="D6283" s="2" t="str">
        <f t="shared" si="97"/>
        <v>Error?</v>
      </c>
      <c r="E6283" s="2" t="s">
        <v>189</v>
      </c>
    </row>
    <row r="6284" spans="1:5" x14ac:dyDescent="0.2">
      <c r="A6284">
        <v>6223</v>
      </c>
      <c r="B6284" s="1825">
        <f>'Acct Summary 7-8'!K83</f>
        <v>2.8705765382639102E-2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677178</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677178</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7183</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7183</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526</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12000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684361</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2150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0</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781318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684361</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20930</v>
      </c>
      <c r="D7093" s="2" t="str">
        <f t="shared" si="109"/>
        <v>Error?</v>
      </c>
    </row>
    <row r="7094" spans="1:4" x14ac:dyDescent="0.2">
      <c r="A7094">
        <v>7033</v>
      </c>
      <c r="B7094" s="1825">
        <f>'Expenditures 15-22'!K254</f>
        <v>20930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133073</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133073</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7665</v>
      </c>
      <c r="D7156" s="2" t="str">
        <f t="shared" si="110"/>
        <v>Error?</v>
      </c>
    </row>
    <row r="7157" spans="1:4" x14ac:dyDescent="0.2">
      <c r="A7157">
        <v>7096</v>
      </c>
      <c r="B7157" s="1825">
        <f>'Expenditures 15-22'!F323</f>
        <v>893</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8558</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428044</v>
      </c>
      <c r="D7172" s="2" t="str">
        <f t="shared" si="111"/>
        <v>Error?</v>
      </c>
    </row>
    <row r="7173" spans="1:4" x14ac:dyDescent="0.2">
      <c r="A7173">
        <v>7112</v>
      </c>
      <c r="B7173" s="1825">
        <f>'Expenditures 15-22'!D325</f>
        <v>129565</v>
      </c>
      <c r="D7173" s="2" t="str">
        <f t="shared" si="111"/>
        <v>Error?</v>
      </c>
    </row>
    <row r="7174" spans="1:4" x14ac:dyDescent="0.2">
      <c r="A7174">
        <v>7113</v>
      </c>
      <c r="B7174" s="1825">
        <f>'Expenditures 15-22'!E325</f>
        <v>26514</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52159</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636282</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3405</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3405</v>
      </c>
      <c r="D7198" s="2" t="str">
        <f t="shared" si="111"/>
        <v>Error?</v>
      </c>
    </row>
    <row r="7199" spans="1:4" x14ac:dyDescent="0.2">
      <c r="A7199">
        <v>7138</v>
      </c>
      <c r="B7199" s="1825">
        <f>'Expenditures 15-22'!C330</f>
        <v>428044</v>
      </c>
      <c r="D7199" s="2" t="str">
        <f t="shared" si="111"/>
        <v>Error?</v>
      </c>
    </row>
    <row r="7200" spans="1:4" x14ac:dyDescent="0.2">
      <c r="A7200">
        <v>7139</v>
      </c>
      <c r="B7200" s="1825">
        <f>'Expenditures 15-22'!D330</f>
        <v>129565</v>
      </c>
      <c r="D7200" s="2" t="str">
        <f t="shared" si="111"/>
        <v>Error?</v>
      </c>
    </row>
    <row r="7201" spans="1:4" x14ac:dyDescent="0.2">
      <c r="A7201">
        <v>7140</v>
      </c>
      <c r="B7201" s="1825">
        <f>'Expenditures 15-22'!E330</f>
        <v>170657</v>
      </c>
      <c r="D7201" s="2" t="str">
        <f t="shared" si="111"/>
        <v>Error?</v>
      </c>
    </row>
    <row r="7202" spans="1:4" x14ac:dyDescent="0.2">
      <c r="A7202">
        <v>7141</v>
      </c>
      <c r="B7202" s="1825">
        <f>'Expenditures 15-22'!F330</f>
        <v>893</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52159</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781318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428044</v>
      </c>
      <c r="D7216" s="2" t="str">
        <f t="shared" si="111"/>
        <v>Error?</v>
      </c>
    </row>
    <row r="7217" spans="1:4" x14ac:dyDescent="0.2">
      <c r="A7217">
        <v>7156</v>
      </c>
      <c r="B7217" s="1825">
        <f>'Expenditures 15-22'!D342</f>
        <v>129565</v>
      </c>
      <c r="D7217" s="2" t="str">
        <f t="shared" si="111"/>
        <v>Error?</v>
      </c>
    </row>
    <row r="7218" spans="1:4" x14ac:dyDescent="0.2">
      <c r="A7218">
        <v>7157</v>
      </c>
      <c r="B7218" s="1825">
        <f>'Expenditures 15-22'!E342</f>
        <v>170657</v>
      </c>
      <c r="D7218" s="2" t="str">
        <f t="shared" si="111"/>
        <v>Error?</v>
      </c>
    </row>
    <row r="7219" spans="1:4" x14ac:dyDescent="0.2">
      <c r="A7219">
        <v>7158</v>
      </c>
      <c r="B7219" s="1825">
        <f>'Expenditures 15-22'!F342</f>
        <v>893</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52159</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781318</v>
      </c>
      <c r="D7224" s="2" t="str">
        <f t="shared" si="111"/>
        <v>Error?</v>
      </c>
    </row>
    <row r="7225" spans="1:4" x14ac:dyDescent="0.2">
      <c r="A7225">
        <v>7164</v>
      </c>
      <c r="B7225" s="1825">
        <f>'Expenditures 15-22'!K343</f>
        <v>-96957</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0</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645255</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12000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7544</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19544</v>
      </c>
      <c r="D7719" s="2" t="str">
        <f t="shared" si="126"/>
        <v>Error?</v>
      </c>
      <c r="E7719" s="2" t="s">
        <v>822</v>
      </c>
    </row>
    <row r="7720" spans="1:6" x14ac:dyDescent="0.2">
      <c r="A7720">
        <v>7659</v>
      </c>
      <c r="B7720" s="1825">
        <f>'Rest Tax Levies-Tort Im 25'!H14</f>
        <v>36945</v>
      </c>
      <c r="D7720" s="2" t="str">
        <f t="shared" si="126"/>
        <v>Error?</v>
      </c>
      <c r="E7720" s="2" t="s">
        <v>822</v>
      </c>
    </row>
    <row r="7721" spans="1:6" x14ac:dyDescent="0.2">
      <c r="A7721">
        <v>7660</v>
      </c>
      <c r="B7721" s="1825">
        <f>'Rest Tax Levies-Tort Im 25'!K14</f>
        <v>19544</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162150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19544</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5232359</v>
      </c>
      <c r="D7817" s="2" t="str">
        <f t="shared" si="128"/>
        <v>Error?</v>
      </c>
      <c r="E7817" s="4" t="s">
        <v>1969</v>
      </c>
    </row>
    <row r="7818" spans="1:5" x14ac:dyDescent="0.2">
      <c r="A7818">
        <v>7757</v>
      </c>
      <c r="B7818" s="1825">
        <f>'PCTC-OEPP 27-28'!F172</f>
        <v>203610</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9444951</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0</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16392</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1007288</v>
      </c>
      <c r="D7834" s="2" t="str">
        <f t="shared" si="129"/>
        <v>Error?</v>
      </c>
      <c r="E7834" s="4" t="s">
        <v>2001</v>
      </c>
    </row>
    <row r="7835" spans="1:5" x14ac:dyDescent="0.2">
      <c r="A7835">
        <v>7774</v>
      </c>
      <c r="B7835" s="1825">
        <f>'PCTC-OEPP 27-28'!F78</f>
        <v>8437663</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11230.750698788766</v>
      </c>
      <c r="D7837" s="2" t="str">
        <f t="shared" si="129"/>
        <v>Error?</v>
      </c>
      <c r="E7837" s="4" t="s">
        <v>2001</v>
      </c>
    </row>
    <row r="7838" spans="1:5" x14ac:dyDescent="0.2">
      <c r="A7838">
        <v>7777</v>
      </c>
      <c r="B7838" s="1825">
        <f>'PCTC-OEPP 27-28'!F96</f>
        <v>64178</v>
      </c>
      <c r="D7838" s="2" t="str">
        <f t="shared" si="129"/>
        <v>Error?</v>
      </c>
      <c r="E7838" s="4" t="s">
        <v>2001</v>
      </c>
    </row>
    <row r="7839" spans="1:5" x14ac:dyDescent="0.2">
      <c r="A7839">
        <v>7778</v>
      </c>
      <c r="B7839" s="1825">
        <f>'PCTC-OEPP 27-28'!F102</f>
        <v>0</v>
      </c>
      <c r="D7839" s="2" t="str">
        <f t="shared" si="129"/>
        <v>Error?</v>
      </c>
      <c r="E7839" s="4" t="s">
        <v>2001</v>
      </c>
    </row>
    <row r="7840" spans="1:5" x14ac:dyDescent="0.2">
      <c r="A7840">
        <v>7779</v>
      </c>
      <c r="B7840" s="1825">
        <f>'PCTC-OEPP 27-28'!F103</f>
        <v>0</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91039</v>
      </c>
      <c r="D7842" s="2" t="str">
        <f t="shared" si="129"/>
        <v>Error?</v>
      </c>
      <c r="E7842" s="4" t="s">
        <v>2001</v>
      </c>
    </row>
    <row r="7843" spans="1:5" x14ac:dyDescent="0.2">
      <c r="A7843">
        <v>7782</v>
      </c>
      <c r="B7843" s="1825">
        <f>'PCTC-OEPP 27-28'!F107</f>
        <v>24767</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7544</v>
      </c>
      <c r="D7846" s="2" t="str">
        <f t="shared" si="129"/>
        <v>Error?</v>
      </c>
      <c r="E7846" s="4" t="s">
        <v>2001</v>
      </c>
    </row>
    <row r="7847" spans="1:5" x14ac:dyDescent="0.2">
      <c r="A7847">
        <v>7786</v>
      </c>
      <c r="B7847" s="1825">
        <f>'PCTC-OEPP 27-28'!F112</f>
        <v>394616</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0</v>
      </c>
      <c r="D7857" s="2" t="str">
        <f t="shared" si="129"/>
        <v>Error?</v>
      </c>
      <c r="E7857" s="4" t="s">
        <v>2001</v>
      </c>
    </row>
    <row r="7858" spans="1:5" x14ac:dyDescent="0.2">
      <c r="A7858">
        <v>7797</v>
      </c>
      <c r="B7858" s="1825">
        <f>'PCTC-OEPP 27-28'!F126</f>
        <v>118468</v>
      </c>
      <c r="D7858" s="2" t="str">
        <f t="shared" si="129"/>
        <v>Error?</v>
      </c>
      <c r="E7858" s="4" t="s">
        <v>2001</v>
      </c>
    </row>
    <row r="7859" spans="1:5" x14ac:dyDescent="0.2">
      <c r="A7859">
        <v>7798</v>
      </c>
      <c r="B7859" s="1825">
        <f>'PCTC-OEPP 27-28'!F127</f>
        <v>154926</v>
      </c>
      <c r="D7859" s="2" t="str">
        <f t="shared" si="129"/>
        <v>Error?</v>
      </c>
      <c r="E7859" s="4" t="s">
        <v>2001</v>
      </c>
    </row>
    <row r="7860" spans="1:5" x14ac:dyDescent="0.2">
      <c r="A7860">
        <v>7799</v>
      </c>
      <c r="B7860" s="1825">
        <f>'PCTC-OEPP 27-28'!F128</f>
        <v>9493</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23877</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0</v>
      </c>
      <c r="D7874" s="2" t="str">
        <f t="shared" si="129"/>
        <v>Error?</v>
      </c>
      <c r="E7874" s="4" t="s">
        <v>2001</v>
      </c>
    </row>
    <row r="7875" spans="1:5" x14ac:dyDescent="0.2">
      <c r="A7875">
        <v>7814</v>
      </c>
      <c r="B7875" s="1825">
        <f>'PCTC-OEPP 27-28'!F170</f>
        <v>54265</v>
      </c>
      <c r="D7875" s="2" t="str">
        <f t="shared" si="129"/>
        <v>Error?</v>
      </c>
      <c r="E7875" s="4" t="s">
        <v>2001</v>
      </c>
    </row>
    <row r="7876" spans="1:5" x14ac:dyDescent="0.2">
      <c r="A7876">
        <v>7815</v>
      </c>
      <c r="B7876" s="1825">
        <f>'PCTC-OEPP 27-28'!F171</f>
        <v>6480</v>
      </c>
      <c r="D7876" s="2" t="str">
        <f t="shared" si="129"/>
        <v>Error?</v>
      </c>
      <c r="E7876" s="4" t="s">
        <v>2001</v>
      </c>
    </row>
    <row r="7877" spans="1:5" x14ac:dyDescent="0.2">
      <c r="A7877">
        <v>7816</v>
      </c>
      <c r="B7877" s="1825">
        <f>'PCTC-OEPP 27-28'!F175</f>
        <v>1400363</v>
      </c>
      <c r="D7877" s="2" t="str">
        <f t="shared" si="129"/>
        <v>Error?</v>
      </c>
      <c r="E7877" s="4" t="s">
        <v>2001</v>
      </c>
    </row>
    <row r="7878" spans="1:5" x14ac:dyDescent="0.2">
      <c r="A7878">
        <v>7817</v>
      </c>
      <c r="B7878" s="1825">
        <f>'PCTC-OEPP 27-28'!F176</f>
        <v>7037300</v>
      </c>
      <c r="D7878" s="2" t="str">
        <f t="shared" si="129"/>
        <v>Error?</v>
      </c>
      <c r="E7878" s="4" t="s">
        <v>2001</v>
      </c>
    </row>
    <row r="7879" spans="1:5" x14ac:dyDescent="0.2">
      <c r="A7879">
        <v>7818</v>
      </c>
      <c r="B7879" s="1825">
        <f>'PCTC-OEPP 27-28'!F178</f>
        <v>7682555</v>
      </c>
      <c r="D7879" s="2" t="str">
        <f t="shared" si="129"/>
        <v>Error?</v>
      </c>
      <c r="E7879" s="4" t="s">
        <v>2001</v>
      </c>
    </row>
    <row r="7880" spans="1:5" x14ac:dyDescent="0.2">
      <c r="A7880">
        <v>7819</v>
      </c>
      <c r="B7880" s="1825">
        <f>'PCTC-OEPP 27-28'!F180</f>
        <v>10225.682150938374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L31" sqref="L31"/>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16" t="s">
        <v>1183</v>
      </c>
      <c r="B2" s="2516"/>
      <c r="C2" s="2516"/>
      <c r="D2" s="2516"/>
      <c r="E2" s="2516"/>
      <c r="F2" s="2516"/>
      <c r="G2" s="2516"/>
      <c r="H2" s="2516"/>
      <c r="I2" s="2516"/>
      <c r="J2" s="2516"/>
      <c r="K2" s="2516"/>
      <c r="L2" s="2516"/>
    </row>
    <row r="3" spans="1:29" ht="13.5" customHeight="1" x14ac:dyDescent="0.2">
      <c r="A3" s="2548" t="s">
        <v>1182</v>
      </c>
      <c r="B3" s="2548"/>
      <c r="C3" s="2548"/>
      <c r="D3" s="2548"/>
      <c r="E3" s="2548"/>
      <c r="F3" s="2548"/>
      <c r="G3" s="2548"/>
      <c r="H3" s="2548"/>
      <c r="I3" s="2548"/>
      <c r="J3" s="2548"/>
      <c r="K3" s="2548"/>
      <c r="L3" s="2548"/>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9" t="str">
        <f>COVER!A17</f>
        <v xml:space="preserve">   Forrestville Valley CUSD 221</v>
      </c>
      <c r="B7" s="2540"/>
      <c r="C7" s="2540"/>
      <c r="D7" s="2541"/>
      <c r="E7" s="2542">
        <f>COVER!A13</f>
        <v>47071221026</v>
      </c>
      <c r="F7" s="2543"/>
      <c r="G7" s="2549" t="str">
        <f>COVER!T23</f>
        <v>066-004023</v>
      </c>
      <c r="H7" s="2550"/>
      <c r="I7" s="2550"/>
      <c r="J7" s="2550"/>
      <c r="K7" s="2550"/>
      <c r="L7" s="2551"/>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52"/>
      <c r="B9" s="2553"/>
      <c r="C9" s="2553"/>
      <c r="D9" s="2553"/>
      <c r="E9" s="2553"/>
      <c r="F9" s="2554"/>
      <c r="G9" s="2522" t="str">
        <f>COVER!T13</f>
        <v>Wipfli LLP</v>
      </c>
      <c r="H9" s="2555"/>
      <c r="I9" s="2555"/>
      <c r="J9" s="2555"/>
      <c r="K9" s="2555"/>
      <c r="L9" s="2556"/>
    </row>
    <row r="10" spans="1:29" ht="13.5" customHeight="1" x14ac:dyDescent="0.2">
      <c r="A10" s="2528" t="str">
        <f>COVER!A38</f>
        <v>Sheri Smith</v>
      </c>
      <c r="B10" s="2529"/>
      <c r="C10" s="2529"/>
      <c r="D10" s="2529"/>
      <c r="E10" s="2529"/>
      <c r="F10" s="2530"/>
      <c r="G10" s="2522" t="str">
        <f>COVER!T17</f>
        <v>403 East 3rd Street</v>
      </c>
      <c r="H10" s="2523"/>
      <c r="I10" s="2523"/>
      <c r="J10" s="2523"/>
      <c r="K10" s="2523"/>
      <c r="L10" s="2524"/>
    </row>
    <row r="11" spans="1:29" ht="13.5" customHeight="1" x14ac:dyDescent="0.2">
      <c r="A11" s="956" t="s">
        <v>1505</v>
      </c>
      <c r="B11" s="957"/>
      <c r="C11" s="958"/>
      <c r="D11" s="963"/>
      <c r="E11" s="958"/>
      <c r="F11" s="962"/>
      <c r="G11" s="2522" t="str">
        <f>COVER!T19</f>
        <v>Sterling</v>
      </c>
      <c r="H11" s="2523"/>
      <c r="I11" s="2523"/>
      <c r="J11" s="2523"/>
      <c r="K11" s="2523"/>
      <c r="L11" s="2524"/>
    </row>
    <row r="12" spans="1:29" ht="13.5" customHeight="1" x14ac:dyDescent="0.2">
      <c r="A12" s="2531" t="s">
        <v>1504</v>
      </c>
      <c r="B12" s="2532"/>
      <c r="C12" s="2532"/>
      <c r="D12" s="2532"/>
      <c r="E12" s="2532"/>
      <c r="F12" s="2533"/>
      <c r="G12" s="2525"/>
      <c r="H12" s="2526"/>
      <c r="I12" s="2526"/>
      <c r="J12" s="2526"/>
      <c r="K12" s="2526"/>
      <c r="L12" s="2527"/>
    </row>
    <row r="13" spans="1:29" ht="13.5" customHeight="1" x14ac:dyDescent="0.2">
      <c r="A13" s="2522"/>
      <c r="B13" s="2523"/>
      <c r="C13" s="2523"/>
      <c r="D13" s="2523"/>
      <c r="E13" s="2523"/>
      <c r="F13" s="2524"/>
      <c r="G13" s="2517" t="s">
        <v>1506</v>
      </c>
      <c r="H13" s="2518"/>
      <c r="I13" s="2534" t="str">
        <f>COVER!T25</f>
        <v>mschueler@wipfli.com</v>
      </c>
      <c r="J13" s="2535"/>
      <c r="K13" s="2535"/>
      <c r="L13" s="2536"/>
    </row>
    <row r="14" spans="1:29" ht="13.5" customHeight="1" x14ac:dyDescent="0.2">
      <c r="A14" s="2522" t="str">
        <f>COVER!A19</f>
        <v>PO Box 665</v>
      </c>
      <c r="B14" s="2523"/>
      <c r="C14" s="2523"/>
      <c r="D14" s="2523"/>
      <c r="E14" s="2523"/>
      <c r="F14" s="2524"/>
      <c r="G14" s="967" t="s">
        <v>1177</v>
      </c>
      <c r="H14" s="965"/>
      <c r="I14" s="965"/>
      <c r="J14" s="965"/>
      <c r="K14" s="965"/>
      <c r="L14" s="966"/>
    </row>
    <row r="15" spans="1:29" ht="13.5" customHeight="1" x14ac:dyDescent="0.2">
      <c r="A15" s="2522" t="str">
        <f>COVER!A21</f>
        <v>Forreston</v>
      </c>
      <c r="B15" s="2523"/>
      <c r="C15" s="2523"/>
      <c r="D15" s="2523"/>
      <c r="E15" s="2523"/>
      <c r="F15" s="2524"/>
      <c r="G15" s="2519" t="str">
        <f>COVER!T15</f>
        <v>Matthew Schueler</v>
      </c>
      <c r="H15" s="2520"/>
      <c r="I15" s="2520"/>
      <c r="J15" s="2520"/>
      <c r="K15" s="2520"/>
      <c r="L15" s="2521"/>
    </row>
    <row r="16" spans="1:29" ht="12.2" customHeight="1" x14ac:dyDescent="0.2">
      <c r="A16" s="2545">
        <f>COVER!A25</f>
        <v>0</v>
      </c>
      <c r="B16" s="2546"/>
      <c r="C16" s="2546"/>
      <c r="D16" s="2546"/>
      <c r="E16" s="2546"/>
      <c r="F16" s="2547"/>
      <c r="G16" s="2557"/>
      <c r="H16" s="2558"/>
      <c r="I16" s="2558"/>
      <c r="J16" s="2558"/>
      <c r="K16" s="2558"/>
      <c r="L16" s="2559"/>
    </row>
    <row r="17" spans="1:13" ht="12.2" customHeight="1" x14ac:dyDescent="0.2">
      <c r="A17" s="2560"/>
      <c r="B17" s="2546"/>
      <c r="C17" s="2546"/>
      <c r="D17" s="2546"/>
      <c r="E17" s="2546"/>
      <c r="F17" s="2547"/>
      <c r="G17" s="967" t="s">
        <v>1176</v>
      </c>
      <c r="H17" s="965"/>
      <c r="I17" s="965"/>
      <c r="J17" s="965"/>
      <c r="K17" s="969" t="s">
        <v>1175</v>
      </c>
      <c r="L17" s="962"/>
      <c r="M17" s="955"/>
    </row>
    <row r="18" spans="1:13" ht="12.2" customHeight="1" x14ac:dyDescent="0.2">
      <c r="A18" s="2528"/>
      <c r="B18" s="2529"/>
      <c r="C18" s="2529"/>
      <c r="D18" s="2529"/>
      <c r="E18" s="2529"/>
      <c r="F18" s="2530"/>
      <c r="G18" s="2539" t="str">
        <f>COVER!T21</f>
        <v>815-626-1277</v>
      </c>
      <c r="H18" s="2540"/>
      <c r="I18" s="2540"/>
      <c r="J18" s="2540"/>
      <c r="K18" s="2539" t="str">
        <f>COVER!X21</f>
        <v>815-626-9118</v>
      </c>
      <c r="L18" s="254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L31" sqref="L3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1" t="str">
        <f>'Single Audit Cover'!A7</f>
        <v xml:space="preserve">   Forrestville Valley CUSD 221</v>
      </c>
      <c r="B1" s="2562"/>
      <c r="C1" s="2562"/>
      <c r="D1" s="2562"/>
    </row>
    <row r="2" spans="1:11" s="984" customFormat="1" ht="12.75" x14ac:dyDescent="0.2">
      <c r="A2" s="2563">
        <f>'Single Audit Cover'!E7</f>
        <v>47071221026</v>
      </c>
      <c r="B2" s="2564"/>
      <c r="C2" s="2564"/>
      <c r="D2" s="2564"/>
    </row>
    <row r="3" spans="1:11" s="984" customFormat="1" ht="12.75" x14ac:dyDescent="0.2">
      <c r="A3" s="2561" t="s">
        <v>1499</v>
      </c>
      <c r="B3" s="2562"/>
      <c r="C3" s="2562"/>
      <c r="D3" s="2562"/>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L31" sqref="L3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6" t="str">
        <f>'Single Audit Cover'!A7</f>
        <v xml:space="preserve">   Forrestville Valley CUSD 221</v>
      </c>
      <c r="B1" s="2566"/>
      <c r="C1" s="2566"/>
      <c r="D1" s="2566"/>
      <c r="E1" s="2566"/>
    </row>
    <row r="2" spans="1:5" x14ac:dyDescent="0.2">
      <c r="A2" s="2567">
        <f>'Single Audit Cover'!E7</f>
        <v>47071221026</v>
      </c>
      <c r="B2" s="2567"/>
      <c r="C2" s="2567"/>
      <c r="D2" s="2567"/>
      <c r="E2" s="2567"/>
    </row>
    <row r="3" spans="1:5" ht="4.5" customHeight="1" x14ac:dyDescent="0.2"/>
    <row r="4" spans="1:5" x14ac:dyDescent="0.2">
      <c r="A4" s="2566" t="s">
        <v>1236</v>
      </c>
      <c r="B4" s="2566"/>
      <c r="C4" s="2566"/>
      <c r="D4" s="2566"/>
      <c r="E4" s="2566"/>
    </row>
    <row r="5" spans="1:5" x14ac:dyDescent="0.2">
      <c r="A5" s="2569" t="str">
        <f>'Single Audit Cover'!A4</f>
        <v>Year Ending June 30, 2020</v>
      </c>
      <c r="B5" s="2569"/>
      <c r="C5" s="2569"/>
      <c r="D5" s="2569"/>
      <c r="E5" s="2569"/>
    </row>
    <row r="6" spans="1:5" x14ac:dyDescent="0.2">
      <c r="A6" s="2566" t="s">
        <v>1235</v>
      </c>
      <c r="B6" s="2566"/>
      <c r="C6" s="2566"/>
      <c r="D6" s="2566"/>
      <c r="E6" s="2566"/>
    </row>
    <row r="8" spans="1:5" x14ac:dyDescent="0.2">
      <c r="A8" s="1029" t="s">
        <v>1234</v>
      </c>
    </row>
    <row r="10" spans="1:5" x14ac:dyDescent="0.2">
      <c r="A10" s="1030" t="s">
        <v>1233</v>
      </c>
      <c r="B10" s="1031" t="s">
        <v>1232</v>
      </c>
      <c r="C10" s="1031"/>
      <c r="D10" s="1032">
        <f>SUM('Acct Summary 7-8'!C7:K7)</f>
        <v>417987</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18924</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-54265</v>
      </c>
    </row>
    <row r="19" spans="1:4" ht="13.5" thickBot="1" x14ac:dyDescent="0.25">
      <c r="A19" s="1034" t="s">
        <v>1226</v>
      </c>
      <c r="D19" s="1035">
        <f>SUM(D10:D17)</f>
        <v>382646</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8"/>
      <c r="B24" s="2568"/>
      <c r="D24" s="1037"/>
    </row>
    <row r="25" spans="1:4" x14ac:dyDescent="0.2">
      <c r="A25" s="2565"/>
      <c r="B25" s="2565"/>
      <c r="D25" s="1037"/>
    </row>
    <row r="26" spans="1:4" x14ac:dyDescent="0.2">
      <c r="A26" s="2565"/>
      <c r="B26" s="2565"/>
      <c r="D26" s="1037"/>
    </row>
    <row r="27" spans="1:4" x14ac:dyDescent="0.2">
      <c r="A27" s="2565"/>
      <c r="B27" s="2565"/>
      <c r="D27" s="1037"/>
    </row>
    <row r="28" spans="1:4" x14ac:dyDescent="0.2">
      <c r="A28" s="2565"/>
      <c r="B28" s="2565"/>
      <c r="D28" s="1037"/>
    </row>
    <row r="29" spans="1:4" x14ac:dyDescent="0.2">
      <c r="A29" s="2565"/>
      <c r="B29" s="2565"/>
      <c r="D29" s="1037"/>
    </row>
    <row r="30" spans="1:4" x14ac:dyDescent="0.2">
      <c r="A30" s="2565"/>
      <c r="B30" s="2565"/>
      <c r="D30" s="1037"/>
    </row>
    <row r="32" spans="1:4" x14ac:dyDescent="0.2">
      <c r="A32" s="1029" t="s">
        <v>1224</v>
      </c>
      <c r="D32" s="1032">
        <f>SUM(D19:D30)</f>
        <v>382646</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65"/>
      <c r="B40" s="2565"/>
      <c r="D40" s="1037"/>
    </row>
    <row r="41" spans="1:4" x14ac:dyDescent="0.2">
      <c r="A41" s="2565"/>
      <c r="B41" s="2565"/>
      <c r="D41" s="1040"/>
    </row>
    <row r="42" spans="1:4" x14ac:dyDescent="0.2">
      <c r="A42" s="2565"/>
      <c r="B42" s="2565"/>
      <c r="D42" s="1040"/>
    </row>
    <row r="43" spans="1:4" x14ac:dyDescent="0.2">
      <c r="A43" s="2565"/>
      <c r="B43" s="2565"/>
      <c r="D43" s="1040"/>
    </row>
    <row r="44" spans="1:4" x14ac:dyDescent="0.2">
      <c r="A44" s="2565"/>
      <c r="B44" s="2565"/>
      <c r="D44" s="1040"/>
    </row>
    <row r="45" spans="1:4" x14ac:dyDescent="0.2">
      <c r="A45" s="2565"/>
      <c r="B45" s="2565"/>
      <c r="D45" s="1040"/>
    </row>
    <row r="47" spans="1:4" x14ac:dyDescent="0.2">
      <c r="B47" s="1041" t="s">
        <v>1218</v>
      </c>
      <c r="C47" s="1041"/>
      <c r="D47" s="1042">
        <f>SUM(D35:D45)</f>
        <v>0</v>
      </c>
    </row>
    <row r="49" spans="2:4" x14ac:dyDescent="0.2">
      <c r="B49" s="1041" t="s">
        <v>1217</v>
      </c>
      <c r="C49" s="1041"/>
      <c r="D49" s="1042">
        <f>D32-D47</f>
        <v>382646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L31" sqref="L3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8" t="str">
        <f>'Single Audit Cover'!A7</f>
        <v xml:space="preserve">   Forrestville Valley CUSD 221</v>
      </c>
      <c r="C1" s="2570"/>
      <c r="D1" s="2570"/>
      <c r="E1" s="2570"/>
      <c r="F1" s="2570"/>
      <c r="G1" s="2570"/>
      <c r="H1" s="2570"/>
      <c r="I1" s="2570"/>
      <c r="J1" s="2570"/>
      <c r="K1" s="2570"/>
      <c r="L1" s="2570"/>
      <c r="M1" s="2570"/>
    </row>
    <row r="2" spans="2:14" ht="15" x14ac:dyDescent="0.2">
      <c r="B2" s="2571">
        <f>'Single Audit Cover'!E7</f>
        <v>47071221026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3"/>
      <c r="J5" s="1903"/>
    </row>
    <row r="6" spans="2:14" x14ac:dyDescent="0.2">
      <c r="B6" s="1072"/>
      <c r="C6" s="1073"/>
      <c r="D6" s="1074" t="s">
        <v>1256</v>
      </c>
      <c r="E6" s="1075" t="s">
        <v>524</v>
      </c>
      <c r="F6" s="1076"/>
      <c r="G6" s="1077" t="s">
        <v>1714</v>
      </c>
      <c r="H6" s="1075"/>
      <c r="I6" s="1075"/>
      <c r="J6" s="1904"/>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2" t="str">
        <f>"7/1/"&amp;MID('AFR20'!$E$2,3,2)-2&amp;"-6/30/"&amp;MID('AFR20'!$E$2,3,2)-1</f>
        <v>7/1/18-6/30/19</v>
      </c>
      <c r="F9" s="1902" t="str">
        <f>"7/1/"&amp;MID('AFR20'!$E$2,3,2)-1&amp;"-6/30/"&amp;MID('AFR20'!$E$2,3,2)</f>
        <v>7/1/19-6/30/20</v>
      </c>
      <c r="G9" s="1902" t="str">
        <f>"7/1/"&amp;MID('AFR20'!$E$2,3,2)-2&amp;"-6/30/"&amp;MID('AFR20'!$E$2,3,2)-1</f>
        <v>7/1/18-6/30/19</v>
      </c>
      <c r="H9" s="1086" t="s">
        <v>1568</v>
      </c>
      <c r="I9" s="1902"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L31" sqref="L3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Forrestville Valley CUSD 221</v>
      </c>
      <c r="B1" s="2583"/>
      <c r="C1" s="2583"/>
      <c r="D1" s="2583"/>
      <c r="E1" s="2583"/>
      <c r="F1" s="2583"/>
    </row>
    <row r="2" spans="1:7" ht="13.5" customHeight="1" x14ac:dyDescent="0.2">
      <c r="A2" s="2571">
        <f>'Single Audit Cover'!E7</f>
        <v>47071221026</v>
      </c>
      <c r="B2" s="2571"/>
      <c r="C2" s="2571"/>
      <c r="D2" s="2571"/>
      <c r="E2" s="2571"/>
      <c r="F2" s="2571"/>
      <c r="G2" s="1044"/>
    </row>
    <row r="3" spans="1:7" ht="15.75" customHeight="1" x14ac:dyDescent="0.2">
      <c r="A3" s="2584" t="s">
        <v>1262</v>
      </c>
      <c r="B3" s="2584"/>
      <c r="C3" s="2584"/>
      <c r="D3" s="2584"/>
      <c r="E3" s="2584"/>
      <c r="F3" s="2584"/>
    </row>
    <row r="4" spans="1:7" ht="13.5" customHeight="1" x14ac:dyDescent="0.2">
      <c r="A4" s="2585" t="str">
        <f>'Single Audit Cover'!A4</f>
        <v>Year Ending June 30, 2020</v>
      </c>
      <c r="B4" s="2585"/>
      <c r="C4" s="2585"/>
      <c r="D4" s="2585"/>
      <c r="E4" s="2585"/>
      <c r="F4" s="2585"/>
    </row>
    <row r="5" spans="1:7" ht="8.25" customHeight="1" x14ac:dyDescent="0.2">
      <c r="C5" s="295"/>
      <c r="D5" s="295"/>
    </row>
    <row r="6" spans="1:7" ht="13.5" customHeight="1" x14ac:dyDescent="0.2">
      <c r="A6" s="1045" t="s">
        <v>1708</v>
      </c>
      <c r="C6" s="295"/>
      <c r="D6" s="295"/>
    </row>
    <row r="7" spans="1:7" ht="60.95" customHeight="1" x14ac:dyDescent="0.2">
      <c r="A7" s="2582" t="s">
        <v>1709</v>
      </c>
      <c r="B7" s="2582"/>
      <c r="C7" s="2582"/>
      <c r="D7" s="2582"/>
      <c r="E7" s="2582"/>
      <c r="F7" s="2582"/>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82" t="s">
        <v>1711</v>
      </c>
      <c r="B13" s="2582"/>
      <c r="C13" s="2582"/>
      <c r="D13" s="2582"/>
      <c r="E13" s="2582"/>
      <c r="F13" s="2582"/>
    </row>
    <row r="14" spans="1:7" ht="9.75" customHeight="1" x14ac:dyDescent="0.2">
      <c r="C14" s="1029"/>
      <c r="D14" s="1029"/>
    </row>
    <row r="15" spans="1:7" ht="13.5" customHeight="1" x14ac:dyDescent="0.2">
      <c r="C15" s="1469" t="s">
        <v>1261</v>
      </c>
      <c r="D15" s="2580" t="s">
        <v>1260</v>
      </c>
      <c r="E15" s="2580"/>
      <c r="F15" s="2580"/>
    </row>
    <row r="16" spans="1:7" ht="13.5" customHeight="1" x14ac:dyDescent="0.2">
      <c r="A16" s="1051"/>
      <c r="B16" s="1045" t="s">
        <v>1259</v>
      </c>
      <c r="C16" s="1469" t="s">
        <v>1258</v>
      </c>
      <c r="D16" s="2581" t="s">
        <v>1574</v>
      </c>
      <c r="E16" s="2581"/>
      <c r="F16" s="2581"/>
    </row>
    <row r="17" spans="1:6" ht="20.45" customHeight="1" x14ac:dyDescent="0.2">
      <c r="A17" s="1052"/>
      <c r="B17" s="1053"/>
      <c r="C17" s="1054"/>
      <c r="D17" s="2575"/>
      <c r="E17" s="2575"/>
      <c r="F17" s="2575"/>
    </row>
    <row r="18" spans="1:6" ht="20.65" customHeight="1" x14ac:dyDescent="0.2">
      <c r="A18" s="1052"/>
      <c r="B18" s="1053"/>
      <c r="C18" s="1054"/>
      <c r="D18" s="2575"/>
      <c r="E18" s="2575"/>
      <c r="F18" s="2575"/>
    </row>
    <row r="19" spans="1:6" ht="20.65" customHeight="1" x14ac:dyDescent="0.2">
      <c r="A19" s="1052"/>
      <c r="B19" s="1053"/>
      <c r="C19" s="1054"/>
      <c r="D19" s="2575"/>
      <c r="E19" s="2575"/>
      <c r="F19" s="2575"/>
    </row>
    <row r="20" spans="1:6" ht="20.65" customHeight="1" x14ac:dyDescent="0.2">
      <c r="A20" s="1052"/>
      <c r="B20" s="1053"/>
      <c r="C20" s="1054"/>
      <c r="D20" s="2575"/>
      <c r="E20" s="2575"/>
      <c r="F20" s="2575"/>
    </row>
    <row r="21" spans="1:6" ht="20.65" customHeight="1" x14ac:dyDescent="0.2">
      <c r="A21" s="1052"/>
      <c r="B21" s="1053"/>
      <c r="C21" s="1054"/>
      <c r="D21" s="2575"/>
      <c r="E21" s="2575"/>
      <c r="F21" s="2575"/>
    </row>
    <row r="22" spans="1:6" ht="20.65" customHeight="1" x14ac:dyDescent="0.2">
      <c r="A22" s="1052"/>
      <c r="B22" s="1053"/>
      <c r="C22" s="1054"/>
      <c r="D22" s="2575"/>
      <c r="E22" s="2575"/>
      <c r="F22" s="2575"/>
    </row>
    <row r="23" spans="1:6" ht="20.65" customHeight="1" x14ac:dyDescent="0.2">
      <c r="A23" s="1052"/>
      <c r="B23" s="1053"/>
      <c r="C23" s="1054"/>
      <c r="D23" s="2575"/>
      <c r="E23" s="2575"/>
      <c r="F23" s="2575"/>
    </row>
    <row r="24" spans="1:6" ht="20.65" customHeight="1" x14ac:dyDescent="0.2">
      <c r="A24" s="1052"/>
      <c r="B24" s="1053"/>
      <c r="C24" s="1054"/>
      <c r="D24" s="2575"/>
      <c r="E24" s="2575"/>
      <c r="F24" s="2575"/>
    </row>
    <row r="25" spans="1:6" ht="20.65" customHeight="1" x14ac:dyDescent="0.2">
      <c r="A25" s="1052"/>
      <c r="B25" s="1053"/>
      <c r="C25" s="1054"/>
      <c r="D25" s="2575"/>
      <c r="E25" s="2575"/>
      <c r="F25" s="2575"/>
    </row>
    <row r="26" spans="1:6" ht="20.65" customHeight="1" x14ac:dyDescent="0.2">
      <c r="A26" s="1052"/>
      <c r="B26" s="1053"/>
      <c r="C26" s="1054"/>
      <c r="D26" s="2575"/>
      <c r="E26" s="2575"/>
      <c r="F26" s="2575"/>
    </row>
    <row r="27" spans="1:6" ht="20.65" customHeight="1" x14ac:dyDescent="0.2">
      <c r="A27" s="1052"/>
      <c r="B27" s="1053"/>
      <c r="C27" s="1054"/>
      <c r="D27" s="2575"/>
      <c r="E27" s="2575"/>
      <c r="F27" s="2575"/>
    </row>
    <row r="28" spans="1:6" ht="20.65" customHeight="1" x14ac:dyDescent="0.2">
      <c r="A28" s="1052"/>
      <c r="B28" s="1053"/>
      <c r="C28" s="1054"/>
      <c r="D28" s="2575"/>
      <c r="E28" s="2575"/>
      <c r="F28" s="2575"/>
    </row>
    <row r="29" spans="1:6" ht="20.65" customHeight="1" x14ac:dyDescent="0.2">
      <c r="A29" s="1052"/>
      <c r="B29" s="1053"/>
      <c r="C29" s="1054"/>
      <c r="D29" s="2575"/>
      <c r="E29" s="2575"/>
      <c r="F29" s="2575"/>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6" t="s">
        <v>1712</v>
      </c>
      <c r="B32" s="2576"/>
      <c r="C32" s="2576"/>
      <c r="D32" s="2576"/>
      <c r="E32" s="2576"/>
      <c r="F32" s="2576"/>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7">
        <f>+C33+C34</f>
        <v>0</v>
      </c>
      <c r="F34" s="2578"/>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9" t="s">
        <v>1576</v>
      </c>
      <c r="C49" s="2579"/>
      <c r="D49" s="2579"/>
      <c r="E49" s="1161"/>
    </row>
    <row r="50" spans="1:5" s="1069" customFormat="1" ht="3.75" customHeight="1" x14ac:dyDescent="0.2">
      <c r="A50" s="1068"/>
      <c r="B50" s="1468"/>
      <c r="C50" s="1468"/>
      <c r="D50" s="1468"/>
      <c r="E50" s="1161"/>
    </row>
    <row r="51" spans="1:5" s="1069" customFormat="1" ht="20.25" customHeight="1" x14ac:dyDescent="0.2">
      <c r="A51" s="1070">
        <v>6</v>
      </c>
      <c r="B51" s="2574" t="s">
        <v>1537</v>
      </c>
      <c r="C51" s="2574"/>
      <c r="D51" s="2574"/>
    </row>
    <row r="52" spans="1:5" ht="14.25" customHeight="1" x14ac:dyDescent="0.2">
      <c r="A52" s="1070"/>
      <c r="B52" s="2574"/>
      <c r="C52" s="2574"/>
      <c r="D52" s="257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L31" sqref="L3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Forrestville Valley CUSD 221</v>
      </c>
      <c r="C1" s="2598"/>
      <c r="D1" s="2598"/>
      <c r="E1" s="2598"/>
      <c r="F1" s="2598"/>
      <c r="G1" s="2598"/>
      <c r="H1" s="2598"/>
      <c r="I1" s="2598"/>
      <c r="J1" s="1171"/>
    </row>
    <row r="2" spans="2:10" s="295" customFormat="1" ht="12.75" customHeight="1" x14ac:dyDescent="0.2">
      <c r="B2" s="2599">
        <f>'Single Audit Cover'!E7</f>
        <v>47071221026</v>
      </c>
      <c r="C2" s="2600"/>
      <c r="D2" s="2600"/>
      <c r="E2" s="2600"/>
      <c r="F2" s="2600"/>
      <c r="G2" s="2600"/>
      <c r="H2" s="2600"/>
      <c r="I2" s="2600"/>
      <c r="J2" s="1171"/>
    </row>
    <row r="3" spans="2:10" s="295" customFormat="1" ht="12.75" customHeight="1" x14ac:dyDescent="0.2">
      <c r="B3" s="2601" t="s">
        <v>1276</v>
      </c>
      <c r="C3" s="2602"/>
      <c r="D3" s="2602"/>
      <c r="E3" s="2602"/>
      <c r="F3" s="2602"/>
      <c r="G3" s="2602"/>
      <c r="H3" s="2602"/>
      <c r="I3" s="2602"/>
      <c r="J3" s="1172"/>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1" t="s">
        <v>1275</v>
      </c>
      <c r="C7" s="2602"/>
      <c r="D7" s="2602"/>
      <c r="E7" s="2602"/>
      <c r="F7" s="2602"/>
      <c r="G7" s="2602"/>
      <c r="H7" s="2602"/>
      <c r="I7" s="2602"/>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03"/>
      <c r="D11" s="2603"/>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04"/>
      <c r="E29" s="2604"/>
      <c r="F29" s="2604"/>
      <c r="G29" s="2604"/>
      <c r="H29" s="2604"/>
      <c r="I29" s="2604"/>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605" t="s">
        <v>1731</v>
      </c>
      <c r="D37" s="2606"/>
      <c r="E37" s="2606"/>
      <c r="F37" s="2607"/>
      <c r="G37" s="2605" t="s">
        <v>1578</v>
      </c>
      <c r="H37" s="2606"/>
      <c r="I37" s="2607"/>
    </row>
    <row r="38" spans="2:9" ht="16.5" customHeight="1" x14ac:dyDescent="0.2">
      <c r="B38" s="1193"/>
      <c r="C38" s="2593"/>
      <c r="D38" s="2594"/>
      <c r="E38" s="2594"/>
      <c r="F38" s="2595"/>
      <c r="G38" s="2608"/>
      <c r="H38" s="2609"/>
      <c r="I38" s="2610"/>
    </row>
    <row r="39" spans="2:9" ht="16.5" customHeight="1" x14ac:dyDescent="0.2">
      <c r="B39" s="1193"/>
      <c r="C39" s="2593"/>
      <c r="D39" s="2594"/>
      <c r="E39" s="2594"/>
      <c r="F39" s="2595"/>
      <c r="G39" s="2596"/>
      <c r="H39" s="2596"/>
      <c r="I39" s="2596"/>
    </row>
    <row r="40" spans="2:9" ht="16.5" customHeight="1" x14ac:dyDescent="0.2">
      <c r="B40" s="1193"/>
      <c r="C40" s="2593"/>
      <c r="D40" s="2594"/>
      <c r="E40" s="2594"/>
      <c r="F40" s="2595"/>
      <c r="G40" s="2596"/>
      <c r="H40" s="2596"/>
      <c r="I40" s="2596"/>
    </row>
    <row r="41" spans="2:9" ht="16.5" customHeight="1" x14ac:dyDescent="0.2">
      <c r="B41" s="1193"/>
      <c r="C41" s="2593"/>
      <c r="D41" s="2594"/>
      <c r="E41" s="2594"/>
      <c r="F41" s="2595"/>
      <c r="G41" s="2596"/>
      <c r="H41" s="2596"/>
      <c r="I41" s="2596"/>
    </row>
    <row r="42" spans="2:9" ht="16.5" customHeight="1" x14ac:dyDescent="0.2">
      <c r="B42" s="1193"/>
      <c r="C42" s="2593"/>
      <c r="D42" s="2594"/>
      <c r="E42" s="2594"/>
      <c r="F42" s="2595"/>
      <c r="G42" s="2596"/>
      <c r="H42" s="2596"/>
      <c r="I42" s="2596"/>
    </row>
    <row r="43" spans="2:9" ht="16.5" customHeight="1" x14ac:dyDescent="0.2">
      <c r="B43" s="1193"/>
      <c r="C43" s="2586" t="s">
        <v>1579</v>
      </c>
      <c r="D43" s="2587"/>
      <c r="E43" s="2587"/>
      <c r="F43" s="2588"/>
      <c r="G43" s="2589">
        <f>SUM(G38:I42)</f>
        <v>0</v>
      </c>
      <c r="H43" s="2589"/>
      <c r="I43" s="2589"/>
    </row>
    <row r="44" spans="2:9" ht="12.75" customHeight="1" x14ac:dyDescent="0.2"/>
    <row r="45" spans="2:9" ht="12.75" customHeight="1" x14ac:dyDescent="0.2">
      <c r="B45" s="1905" t="str">
        <f>"Total Federal Expenditures for 7/1/"&amp;MID('AFR20'!E2,3,2)-1&amp;"-6/30/"&amp;MID('AFR20'!E2,3,2)</f>
        <v>Total Federal Expenditures for 7/1/19-6/30/20</v>
      </c>
      <c r="C45" s="1906"/>
      <c r="D45" s="2590">
        <v>0</v>
      </c>
      <c r="E45" s="2591"/>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592"/>
      <c r="F49" s="2592"/>
      <c r="G49" s="2592"/>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L31" sqref="L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Forrestville Valley CUSD 221</v>
      </c>
      <c r="C1" s="2597"/>
      <c r="D1" s="2597"/>
      <c r="E1" s="2597"/>
      <c r="F1" s="2597"/>
      <c r="G1" s="2597"/>
      <c r="H1" s="2597"/>
      <c r="I1" s="2597"/>
      <c r="J1" s="2597"/>
      <c r="K1" s="2597"/>
      <c r="L1" s="1137"/>
      <c r="M1" s="1137"/>
    </row>
    <row r="2" spans="1:13" ht="12" customHeight="1" x14ac:dyDescent="0.2">
      <c r="B2" s="2599">
        <f>'Single Audit Cover'!E7</f>
        <v>47071221026</v>
      </c>
      <c r="C2" s="2599"/>
      <c r="D2" s="2599"/>
      <c r="E2" s="2599"/>
      <c r="F2" s="2599"/>
      <c r="G2" s="2599"/>
      <c r="H2" s="2599"/>
      <c r="I2" s="2599"/>
      <c r="J2" s="2599"/>
      <c r="K2" s="2599"/>
      <c r="L2" s="1138"/>
      <c r="M2" s="1139"/>
    </row>
    <row r="3" spans="1:13" ht="10.35" customHeight="1" x14ac:dyDescent="0.2">
      <c r="B3" s="2613" t="s">
        <v>1276</v>
      </c>
      <c r="C3" s="2613"/>
      <c r="D3" s="2613"/>
      <c r="E3" s="2613"/>
      <c r="F3" s="2613"/>
      <c r="G3" s="2613"/>
      <c r="H3" s="2613"/>
      <c r="I3" s="2613"/>
      <c r="J3" s="2613"/>
      <c r="K3" s="2613"/>
      <c r="L3" s="1140"/>
      <c r="M3" s="1140"/>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4" t="s">
        <v>1287</v>
      </c>
      <c r="C7" s="2614"/>
      <c r="D7" s="2615"/>
      <c r="E7" s="2615"/>
      <c r="F7" s="2615"/>
      <c r="G7" s="2615"/>
      <c r="H7" s="2615"/>
      <c r="I7" s="2615"/>
      <c r="J7" s="2615"/>
      <c r="K7" s="261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7"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2"/>
      <c r="C14" s="2612"/>
      <c r="D14" s="2612"/>
      <c r="E14" s="2612"/>
      <c r="F14" s="2612"/>
      <c r="G14" s="2612"/>
      <c r="H14" s="2612"/>
      <c r="I14" s="2612"/>
      <c r="J14" s="2612"/>
      <c r="K14" s="261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2"/>
      <c r="C17" s="2612"/>
      <c r="D17" s="2612"/>
      <c r="E17" s="2612"/>
      <c r="F17" s="2612"/>
      <c r="G17" s="2612"/>
      <c r="H17" s="2612"/>
      <c r="I17" s="2612"/>
      <c r="J17" s="2612"/>
      <c r="K17" s="2612"/>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6"/>
      <c r="C20" s="2616"/>
      <c r="D20" s="2612"/>
      <c r="E20" s="2612"/>
      <c r="F20" s="2612"/>
      <c r="G20" s="2612"/>
      <c r="H20" s="2612"/>
      <c r="I20" s="2612"/>
      <c r="J20" s="2612"/>
      <c r="K20" s="2612"/>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2"/>
      <c r="C23" s="2612"/>
      <c r="D23" s="2612"/>
      <c r="E23" s="2612"/>
      <c r="F23" s="2612"/>
      <c r="G23" s="2612"/>
      <c r="H23" s="2612"/>
      <c r="I23" s="2612"/>
      <c r="J23" s="2612"/>
      <c r="K23" s="2612"/>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2"/>
      <c r="C26" s="2612"/>
      <c r="D26" s="2612"/>
      <c r="E26" s="2612"/>
      <c r="F26" s="2612"/>
      <c r="G26" s="2612"/>
      <c r="H26" s="2612"/>
      <c r="I26" s="2612"/>
      <c r="J26" s="2612"/>
      <c r="K26" s="2612"/>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1"/>
      <c r="C29" s="2611"/>
      <c r="D29" s="2612"/>
      <c r="E29" s="2612"/>
      <c r="F29" s="2612"/>
      <c r="G29" s="2612"/>
      <c r="H29" s="2612"/>
      <c r="I29" s="2612"/>
      <c r="J29" s="2612"/>
      <c r="K29" s="261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1"/>
      <c r="C32" s="2611"/>
      <c r="D32" s="2612"/>
      <c r="E32" s="2612"/>
      <c r="F32" s="2612"/>
      <c r="G32" s="2612"/>
      <c r="H32" s="2612"/>
      <c r="I32" s="2612"/>
      <c r="J32" s="2612"/>
      <c r="K32" s="261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L31" sqref="L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Forrestville Valley CUSD 221</v>
      </c>
      <c r="C1" s="2620"/>
      <c r="D1" s="2620"/>
      <c r="E1" s="2620"/>
      <c r="F1" s="2620"/>
      <c r="G1" s="2620"/>
      <c r="H1" s="2620"/>
      <c r="I1" s="2620"/>
      <c r="J1" s="2620"/>
      <c r="K1" s="2620"/>
      <c r="L1" s="1214"/>
    </row>
    <row r="2" spans="1:12" ht="12.75" customHeight="1" x14ac:dyDescent="0.2">
      <c r="B2" s="2621">
        <f>'Single Audit Cover'!E7</f>
        <v>47071221026</v>
      </c>
      <c r="C2" s="2621"/>
      <c r="D2" s="2621"/>
      <c r="E2" s="2621"/>
      <c r="F2" s="2621"/>
      <c r="G2" s="2621"/>
      <c r="H2" s="2621"/>
      <c r="I2" s="2621"/>
      <c r="J2" s="2621"/>
      <c r="K2" s="2621"/>
      <c r="L2" s="1215"/>
    </row>
    <row r="3" spans="1:12" ht="12.75" customHeight="1" x14ac:dyDescent="0.2">
      <c r="B3" s="2613" t="s">
        <v>1276</v>
      </c>
      <c r="C3" s="2613"/>
      <c r="D3" s="2613"/>
      <c r="E3" s="2613"/>
      <c r="F3" s="2613"/>
      <c r="G3" s="2613"/>
      <c r="H3" s="2613"/>
      <c r="I3" s="2613"/>
      <c r="J3" s="2613"/>
      <c r="K3" s="2613"/>
      <c r="L3" s="1140"/>
    </row>
    <row r="4" spans="1:12" ht="12.75" customHeight="1" x14ac:dyDescent="0.2">
      <c r="B4" s="2613" t="str">
        <f>'Single Audit Cover'!A4</f>
        <v>Year Ending June 30, 2020</v>
      </c>
      <c r="C4" s="2613"/>
      <c r="D4" s="2613"/>
      <c r="E4" s="2613"/>
      <c r="F4" s="2613"/>
      <c r="G4" s="2613"/>
      <c r="H4" s="2613"/>
      <c r="I4" s="2613"/>
      <c r="J4" s="2613"/>
      <c r="K4" s="2613"/>
      <c r="L4" s="1140"/>
    </row>
    <row r="5" spans="1:12" ht="5.25" customHeight="1" x14ac:dyDescent="0.2">
      <c r="B5" s="1029" t="s">
        <v>1161</v>
      </c>
      <c r="C5" s="1029"/>
      <c r="L5" s="300"/>
    </row>
    <row r="6" spans="1:12" ht="30.75" customHeight="1" x14ac:dyDescent="0.2">
      <c r="A6" s="300"/>
      <c r="B6" s="2622" t="s">
        <v>1299</v>
      </c>
      <c r="C6" s="2622"/>
      <c r="D6" s="2622"/>
      <c r="E6" s="2622"/>
      <c r="F6" s="2622"/>
      <c r="G6" s="2622"/>
      <c r="H6" s="2622"/>
      <c r="I6" s="2622"/>
      <c r="J6" s="2622"/>
      <c r="K6" s="2622"/>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7"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04"/>
      <c r="G12" s="2604"/>
      <c r="H12" s="2604"/>
      <c r="I12" s="2604"/>
      <c r="J12" s="2604"/>
      <c r="K12" s="260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7"/>
      <c r="E14" s="2617"/>
      <c r="F14" s="2617"/>
      <c r="H14" s="1223" t="s">
        <v>1294</v>
      </c>
      <c r="I14" s="2618"/>
      <c r="J14" s="2618"/>
      <c r="K14" s="261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8"/>
      <c r="E16" s="2618"/>
      <c r="F16" s="2618"/>
      <c r="G16" s="2618"/>
      <c r="H16" s="2618"/>
      <c r="I16" s="2618"/>
      <c r="J16" s="2618"/>
      <c r="K16" s="2618"/>
      <c r="L16" s="300"/>
    </row>
    <row r="17" spans="2:12" ht="13.5" customHeight="1" x14ac:dyDescent="0.2">
      <c r="B17" s="1149" t="s">
        <v>1292</v>
      </c>
      <c r="C17" s="1149"/>
      <c r="D17" s="2619"/>
      <c r="E17" s="2619"/>
      <c r="F17" s="2619"/>
      <c r="G17" s="2619"/>
      <c r="H17" s="2619"/>
      <c r="I17" s="2619"/>
      <c r="J17" s="2619"/>
      <c r="K17" s="261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2"/>
      <c r="C20" s="2612"/>
      <c r="D20" s="2612"/>
      <c r="E20" s="2612"/>
      <c r="F20" s="2612"/>
      <c r="G20" s="2612"/>
      <c r="H20" s="2612"/>
      <c r="I20" s="2612"/>
      <c r="J20" s="2612"/>
      <c r="K20" s="261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12"/>
      <c r="C23" s="2612"/>
      <c r="D23" s="2612"/>
      <c r="E23" s="2612"/>
      <c r="F23" s="2612"/>
      <c r="G23" s="2612"/>
      <c r="H23" s="2612"/>
      <c r="I23" s="2612"/>
      <c r="J23" s="2612"/>
      <c r="K23" s="261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12"/>
      <c r="C26" s="2612"/>
      <c r="D26" s="2612"/>
      <c r="E26" s="2612"/>
      <c r="F26" s="2612"/>
      <c r="G26" s="2612"/>
      <c r="H26" s="2612"/>
      <c r="I26" s="2612"/>
      <c r="J26" s="2612"/>
      <c r="K26" s="261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12"/>
      <c r="C29" s="2612"/>
      <c r="D29" s="2612"/>
      <c r="E29" s="2612"/>
      <c r="F29" s="2612"/>
      <c r="G29" s="2612"/>
      <c r="H29" s="2612"/>
      <c r="I29" s="2612"/>
      <c r="J29" s="2612"/>
      <c r="K29" s="261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2"/>
      <c r="C32" s="2612"/>
      <c r="D32" s="2612"/>
      <c r="E32" s="2612"/>
      <c r="F32" s="2612"/>
      <c r="G32" s="2612"/>
      <c r="H32" s="2612"/>
      <c r="I32" s="2612"/>
      <c r="J32" s="2612"/>
      <c r="K32" s="261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2"/>
      <c r="C35" s="2612"/>
      <c r="D35" s="2612"/>
      <c r="E35" s="2612"/>
      <c r="F35" s="2612"/>
      <c r="G35" s="2612"/>
      <c r="H35" s="2612"/>
      <c r="I35" s="2612"/>
      <c r="J35" s="2612"/>
      <c r="K35" s="261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12"/>
      <c r="C41" s="2612"/>
      <c r="D41" s="2612"/>
      <c r="E41" s="2612"/>
      <c r="F41" s="2612"/>
      <c r="G41" s="2612"/>
      <c r="H41" s="2612"/>
      <c r="I41" s="2612"/>
      <c r="J41" s="2612"/>
      <c r="K41" s="261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7" t="str">
        <f>'Single Audit Cover'!A7</f>
        <v xml:space="preserve">   Forrestville Valley CUSD 221</v>
      </c>
      <c r="C1" s="2597"/>
      <c r="D1" s="2597"/>
      <c r="E1" s="1233"/>
    </row>
    <row r="2" spans="2:5" s="1051" customFormat="1" ht="12.75" customHeight="1" x14ac:dyDescent="0.2">
      <c r="B2" s="2599">
        <f>'Single Audit Cover'!E7</f>
        <v>47071221026</v>
      </c>
      <c r="C2" s="2599"/>
      <c r="D2" s="2599"/>
      <c r="E2" s="1234"/>
    </row>
    <row r="3" spans="2:5" ht="12.75" customHeight="1" x14ac:dyDescent="0.2">
      <c r="B3" s="2613" t="s">
        <v>1746</v>
      </c>
      <c r="C3" s="2613"/>
      <c r="D3" s="2613"/>
      <c r="E3" s="1043"/>
    </row>
    <row r="4" spans="2:5" s="1051" customFormat="1" ht="12.75" customHeight="1" x14ac:dyDescent="0.2">
      <c r="B4" s="2623" t="str">
        <f>'Single Audit Cover'!A4</f>
        <v>Year Ending June 30, 2020</v>
      </c>
      <c r="C4" s="2623"/>
      <c r="D4" s="2623"/>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2006/documentManagement/types"/>
    <ds:schemaRef ds:uri="d21dc803-237d-4c68-8692-8d731fd29118"/>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2020-10-07T17:47:34Z</cp:lastPrinted>
  <dcterms:created xsi:type="dcterms:W3CDTF">2003-10-29T19:06:34Z</dcterms:created>
  <dcterms:modified xsi:type="dcterms:W3CDTF">2020-10-20T13:23:23Z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