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2EE7F1-1AA7-44BB-9998-06115314BC0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3" l="1"/>
  <c r="C39" i="3"/>
  <c r="C112" i="5"/>
  <c r="D12" i="11" l="1"/>
  <c r="D8" i="11"/>
  <c r="J13" i="11"/>
  <c r="E13" i="11"/>
  <c r="J33" i="8"/>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B7076" i="106" l="1"/>
  <c r="D7076" i="106" s="1"/>
  <c r="C342" i="29"/>
  <c r="B7216" i="106" s="1"/>
  <c r="D7216" i="106" s="1"/>
  <c r="D69" i="36"/>
  <c r="D22" i="37"/>
  <c r="H342" i="29"/>
  <c r="B2724" i="106"/>
  <c r="D2724" i="106" s="1"/>
  <c r="F72" i="34"/>
  <c r="F50" i="34"/>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6216" i="106" l="1"/>
  <c r="D6216" i="106" s="1"/>
  <c r="D44" i="36"/>
  <c r="L114" i="29"/>
  <c r="H151" i="29"/>
  <c r="B1273" i="106" s="1"/>
  <c r="D1273" i="106" s="1"/>
  <c r="C151" i="29"/>
  <c r="B1226" i="106" s="1"/>
  <c r="D1226" i="106" s="1"/>
  <c r="F41" i="108"/>
  <c r="G43" i="108" s="1"/>
  <c r="G170" i="5"/>
  <c r="B5778" i="106" s="1"/>
  <c r="D5778" i="106" s="1"/>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B6223" i="106"/>
  <c r="D6223" i="106" s="1"/>
  <c r="J10" i="4"/>
  <c r="B6225" i="106" s="1"/>
  <c r="D6225"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<sst xmlns="http://schemas.openxmlformats.org/spreadsheetml/2006/main" count="5106" uniqueCount="2057">
  <si>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</si>
  <si>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</si>
  <si>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</si>
  <si>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</si>
  <si>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</si>
  <si>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</si>
  <si>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</si>
  <si>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</si>
  <si>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</si>
  <si>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</si>
  <si>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</si>
  <si>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</si>
  <si>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</si>
  <si>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</si>
  <si>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</si>
  <si>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</si>
  <si>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</si>
  <si>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</si>
  <si>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</si>
  <si>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</si>
  <si>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</si>
  <si>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</si>
  <si>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</si>
  <si>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</si>
  <si>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</si>
  <si>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</si>
  <si>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</si>
  <si>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</si>
  <si>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</si>
  <si>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</si>
  <si>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</si>
  <si>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</si>
  <si>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</si>
  <si>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</si>
  <si>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</si>
  <si>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</si>
  <si>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</si>
  <si>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</si>
  <si>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</si>
  <si>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</si>
  <si>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</si>
  <si>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</si>
  <si>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</si>
  <si>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</si>
  <si>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</si>
  <si>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</si>
  <si>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</si>
  <si>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</si>
  <si>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</si>
  <si>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</si>
  <si>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</si>
  <si>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</si>
  <si>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</si>
  <si>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</si>
  <si>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</si>
  <si>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</si>
  <si>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</si>
  <si>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</si>
  <si>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</si>
  <si>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</si>
  <si>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</si>
  <si>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</si>
  <si>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</si>
  <si>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</si>
  <si>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</si>
  <si>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</si>
  <si>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</si>
  <si>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</si>
  <si>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</si>
  <si>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</si>
  <si>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</si>
  <si>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</si>
  <si>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</si>
  <si>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</si>
  <si>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</si>
  <si>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</si>
  <si>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</si>
  <si>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</si>
  <si>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</si>
  <si>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</si>
  <si>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</si>
  <si>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</si>
  <si>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</si>
  <si>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</si>
  <si>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</si>
  <si>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</si>
  <si>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</si>
  <si>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</si>
  <si>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</si>
  <si>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</si>
  <si>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</si>
  <si>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</si>
  <si>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</si>
  <si>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</si>
  <si>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</si>
  <si>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</si>
  <si>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</si>
  <si>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</si>
  <si>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</si>
  <si>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</si>
  <si>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</si>
  <si>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</si>
  <si>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</si>
  <si>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</si>
  <si>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</si>
  <si>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</si>
  <si>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</si>
  <si>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</si>
  <si>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</si>
  <si>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</si>
  <si>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</si>
  <si>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</si>
  <si>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</si>
  <si>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</si>
  <si>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</si>
  <si>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</si>
  <si>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</si>
  <si>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</si>
  <si>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</si>
  <si>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</si>
  <si>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</si>
  <si>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</si>
  <si>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</si>
  <si>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</si>
  <si>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</si>
  <si>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</si>
  <si>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</si>
  <si>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</si>
  <si>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</si>
  <si>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</si>
  <si>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</si>
  <si>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</si>
  <si>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</si>
  <si>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</si>
  <si>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</si>
  <si>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</si>
  <si>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</si>
  <si>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</si>
  <si>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</si>
  <si>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</si>
  <si>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</si>
  <si>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</si>
  <si>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</si>
  <si>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</si>
  <si>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</si>
  <si>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</si>
  <si>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</si>
  <si>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</si>
  <si>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</si>
  <si>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</si>
  <si>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</si>
  <si>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</si>
  <si>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</si>
  <si>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</si>
  <si>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</si>
  <si>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</si>
  <si>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</si>
  <si>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</si>
  <si>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</si>
  <si>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</si>
  <si>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</si>
  <si>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</si>
  <si>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</si>
  <si>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</si>
  <si>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</si>
  <si>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</si>
  <si>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</si>
  <si>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</si>
  <si>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</si>
  <si>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</si>
  <si>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</si>
  <si>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</si>
  <si>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</si>
  <si>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</si>
  <si>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</si>
  <si>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</si>
  <si>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</si>
  <si>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</si>
  <si>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</si>
  <si>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</si>
  <si>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</si>
  <si>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</si>
  <si>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</si>
  <si>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</si>
  <si>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</si>
  <si>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</si>
  <si>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</si>
  <si>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</si>
  <si>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</si>
  <si>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</si>
  <si>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</si>
  <si>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</si>
  <si>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</si>
  <si>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</si>
  <si>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</si>
  <si>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</si>
  <si>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</si>
  <si>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</si>
  <si>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</si>
  <si>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</si>
  <si>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</si>
  <si>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</si>
  <si>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</si>
  <si>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</si>
  <si>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</si>
  <si>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</si>
  <si>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</si>
  <si>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</si>
  <si>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</si>
  <si>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</si>
  <si>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</si>
  <si>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</si>
  <si>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</si>
  <si>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</si>
  <si>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</si>
  <si>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</si>
  <si>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</si>
  <si>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</si>
  <si>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</si>
  <si>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</si>
  <si>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</si>
  <si>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</si>
  <si>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</si>
  <si>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</si>
  <si>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</si>
  <si>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</si>
  <si>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</si>
  <si>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</si>
  <si>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</si>
  <si>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</si>
  <si>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</si>
  <si>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</si>
  <si>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</si>
  <si>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</si>
  <si>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</si>
  <si>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</si>
  <si>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</si>
  <si>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</si>
  <si>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</si>
  <si>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</si>
  <si>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</si>
  <si>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</si>
  <si>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</si>
  <si>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</si>
  <si>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</si>
  <si>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</si>
  <si>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</si>
  <si>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</si>
  <si>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</si>
  <si>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</si>
  <si>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</si>
  <si>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</si>
  <si>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</si>
  <si>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</si>
  <si>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</si>
  <si>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</si>
  <si>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</si>
  <si>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</si>
  <si>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</si>
  <si>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</si>
  <si>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</si>
  <si>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</si>
  <si>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</si>
  <si>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</si>
  <si>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</si>
  <si>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</si>
  <si>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</si>
  <si>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</si>
  <si>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</si>
  <si>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</si>
  <si>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</si>
  <si>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</si>
  <si>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</si>
  <si>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</si>
  <si>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</si>
  <si>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</si>
  <si>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</si>
  <si>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</si>
  <si>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</si>
  <si>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</si>
  <si>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</si>
  <si>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</si>
  <si>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</si>
  <si>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</si>
  <si>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</si>
  <si>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</si>
  <si>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</si>
  <si>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</si>
  <si>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</si>
  <si>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</si>
  <si>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</si>
  <si>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</si>
  <si>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</si>
  <si>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</si>
  <si>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</si>
  <si>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</si>
  <si>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</si>
  <si>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</si>
  <si>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</si>
  <si>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</si>
  <si>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</si>
  <si>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</si>
  <si>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</si>
  <si>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</si>
  <si>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</si>
  <si>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</si>
  <si>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</si>
  <si>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</si>
  <si>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</si>
  <si>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</si>
  <si>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</si>
  <si>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</si>
  <si>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</si>
  <si>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</si>
  <si>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</si>
  <si>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</si>
  <si>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</si>
  <si>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</si>
  <si>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</si>
  <si>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</si>
  <si>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</si>
  <si>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</si>
  <si>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</si>
  <si>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</si>
  <si>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</si>
  <si>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</si>
  <si>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</si>
  <si>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</si>
  <si>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</si>
  <si>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</si>
  <si>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</si>
  <si>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</si>
  <si>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</si>
  <si>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</si>
  <si>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</si>
  <si>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</si>
  <si>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</si>
  <si>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</si>
  <si>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</si>
  <si>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</si>
  <si>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</si>
  <si>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</si>
  <si>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</si>
  <si>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</si>
  <si>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</si>
  <si>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</si>
  <si>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</si>
  <si>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</si>
  <si>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</si>
  <si>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</si>
  <si>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</si>
  <si>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</si>
  <si>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</si>
  <si>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</si>
  <si>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</si>
  <si>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</si>
  <si>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</si>
  <si>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</si>
  <si>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</si>
  <si>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</si>
  <si>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</si>
  <si>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</si>
  <si>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</si>
  <si>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</si>
  <si>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</si>
  <si>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</si>
  <si>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</si>
  <si>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</si>
  <si>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</si>
  <si>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</si>
  <si>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</si>
  <si>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</si>
  <si>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</si>
  <si>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</si>
  <si>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</si>
  <si>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</si>
  <si>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</si>
  <si>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</si>
  <si>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</si>
  <si>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</si>
  <si>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</si>
  <si>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</si>
  <si>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</si>
  <si>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</si>
  <si>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</si>
  <si>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</si>
  <si>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</si>
  <si>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</si>
  <si>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</si>
  <si>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</si>
  <si>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</si>
  <si>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</si>
  <si>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</si>
  <si>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</si>
  <si>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</si>
  <si>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</si>
  <si>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</si>
  <si>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</si>
  <si>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</si>
  <si>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</si>
  <si>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</si>
  <si>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</si>
  <si>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</si>
  <si>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</si>
  <si>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</si>
  <si>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</si>
  <si>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</si>
  <si>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</si>
  <si>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</si>
  <si>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</si>
  <si>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</si>
  <si>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</si>
  <si>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</si>
  <si>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</si>
  <si>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</si>
  <si>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</si>
  <si>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</si>
  <si>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</si>
  <si>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</si>
  <si>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</si>
  <si>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</si>
  <si>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</si>
  <si>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</si>
  <si>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</si>
  <si>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</si>
  <si>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</si>
  <si>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</si>
  <si>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</si>
  <si>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</si>
  <si>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</si>
  <si>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</si>
  <si>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</si>
  <si>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</si>
  <si>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</si>
  <si>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</si>
  <si>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</si>
  <si>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</si>
  <si>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</si>
  <si>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</si>
  <si>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</si>
  <si>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</si>
  <si>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</si>
  <si>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</si>
  <si>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</si>
  <si>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</si>
  <si>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</si>
  <si>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</si>
  <si>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</si>
  <si>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</si>
  <si>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</si>
  <si>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</si>
  <si>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</si>
  <si>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</si>
  <si>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</si>
  <si>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</si>
  <si>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</si>
  <si>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</si>
  <si>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</si>
  <si>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</si>
  <si>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</si>
  <si>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</si>
  <si>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</si>
  <si>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</si>
  <si>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</si>
  <si>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</si>
  <si>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</si>
  <si>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</si>
  <si>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</si>
  <si>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</si>
  <si>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</si>
  <si>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</si>
  <si>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</si>
  <si>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</si>
  <si>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</si>
  <si>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</si>
  <si>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</si>
  <si>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</si>
  <si>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</si>
  <si>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</si>
  <si>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</si>
  <si>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</si>
  <si>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</si>
  <si>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</si>
  <si>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</si>
  <si>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</si>
  <si>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</si>
  <si>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</si>
  <si>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</si>
  <si>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</si>
  <si>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</si>
  <si>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</si>
  <si>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</si>
  <si>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</si>
  <si>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</si>
  <si>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</si>
  <si>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</si>
  <si>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</si>
  <si>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</si>
  <si>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</si>
  <si>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</si>
  <si>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</si>
  <si>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</si>
  <si>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</si>
  <si>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</si>
  <si>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</si>
  <si>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</si>
  <si>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</si>
  <si>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</si>
  <si>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</si>
  <si>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</si>
  <si>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</si>
  <si>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</si>
  <si>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</si>
  <si>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</si>
  <si>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</si>
  <si>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</si>
  <si>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</si>
  <si>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</si>
  <si>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</si>
  <si>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</si>
  <si>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</si>
  <si>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</si>
  <si>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</si>
  <si>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</si>
  <si>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</si>
  <si>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</si>
  <si>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</si>
  <si>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</si>
  <si>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</si>
  <si>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</si>
  <si>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</si>
  <si>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</si>
  <si>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</si>
  <si>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</si>
  <si>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</si>
  <si>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</si>
  <si>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</si>
  <si>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</si>
  <si>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</si>
  <si>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</si>
  <si>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</si>
  <si>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</si>
  <si>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</si>
  <si>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</si>
  <si>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</si>
  <si>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</si>
  <si>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</si>
  <si>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</si>
  <si>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</si>
  <si>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</si>
  <si>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</si>
  <si>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</si>
  <si>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</si>
  <si>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</si>
  <si>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</si>
  <si>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</si>
  <si>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</si>
  <si>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</si>
  <si>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</si>
  <si>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</si>
  <si>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</si>
  <si>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</si>
  <si>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</si>
  <si>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</si>
  <si>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</si>
  <si>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</si>
  <si>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</si>
  <si>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</si>
  <si>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</si>
  <si>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</si>
  <si>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</si>
  <si>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</si>
  <si>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</si>
  <si>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</si>
  <si>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</si>
  <si>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</si>
  <si>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</si>
  <si>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</si>
  <si>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</si>
  <si>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</si>
  <si>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</si>
  <si>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</si>
  <si>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</si>
  <si>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</si>
  <si>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</si>
  <si>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</si>
  <si>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</si>
  <si>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</si>
  <si>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</si>
  <si>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</si>
  <si>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</si>
  <si>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</si>
  <si>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</si>
  <si>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</si>
  <si>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</si>
  <si>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</si>
  <si>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</si>
  <si>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</si>
  <si>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</si>
  <si>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</si>
  <si>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</si>
  <si>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</si>
  <si>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</si>
  <si>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</si>
  <si>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</si>
  <si>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</si>
  <si>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</si>
  <si>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</si>
  <si>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</si>
  <si>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</si>
  <si>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</si>
  <si>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</si>
  <si>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</si>
  <si>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</si>
  <si>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</si>
  <si>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</si>
  <si>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</si>
  <si>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</si>
  <si>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</si>
  <si>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</si>
  <si>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</si>
  <si>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</si>
  <si>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</si>
  <si>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</si>
  <si>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</si>
  <si>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</si>
  <si>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</si>
  <si>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</si>
  <si>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</si>
  <si>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</si>
  <si>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</si>
  <si>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</si>
  <si>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</si>
  <si>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</si>
  <si>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</si>
  <si>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</si>
  <si>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</si>
  <si>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</si>
  <si>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</si>
  <si>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</si>
  <si>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</si>
  <si>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</si>
  <si>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</si>
  <si>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</si>
  <si>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</si>
  <si>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</si>
  <si>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</si>
  <si>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</si>
  <si>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</si>
  <si>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</si>
  <si>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</si>
  <si>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</si>
  <si>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</si>
  <si>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</si>
  <si>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</si>
  <si>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</si>
  <si>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</si>
  <si>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</si>
  <si>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</si>
  <si>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</si>
  <si>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</si>
  <si>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</si>
  <si>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</si>
  <si>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</si>
  <si>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</si>
  <si>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</si>
  <si>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</si>
  <si>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</si>
  <si>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</si>
  <si>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</si>
  <si>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</si>
  <si>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</si>
  <si>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</si>
  <si>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</si>
  <si>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</si>
  <si>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</si>
  <si>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</si>
  <si>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</si>
  <si>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</si>
  <si>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</si>
  <si>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</si>
  <si>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</si>
  <si>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</si>
  <si>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</si>
  <si>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</si>
  <si>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</si>
  <si>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</si>
  <si>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</si>
  <si>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</si>
  <si>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</si>
  <si>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</si>
  <si>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</si>
  <si>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</si>
  <si>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</si>
  <si>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</si>
  <si>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</si>
  <si>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</si>
  <si>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</si>
  <si>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</si>
  <si>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</si>
  <si>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</si>
  <si>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</si>
  <si>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</si>
  <si>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</si>
  <si>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</si>
  <si>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</si>
  <si>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</si>
  <si>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</si>
  <si>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</si>
  <si>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</si>
  <si>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</si>
  <si>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</si>
  <si>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</si>
  <si>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</si>
  <si>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</si>
  <si>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</si>
  <si>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</si>
  <si>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</si>
  <si>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</si>
  <si>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</si>
  <si>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</si>
  <si>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</si>
  <si>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</si>
  <si>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</si>
  <si>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</si>
  <si>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</si>
  <si>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</si>
  <si>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</si>
  <si>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</si>
  <si>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</si>
  <si>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</si>
  <si>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</si>
  <si>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</si>
  <si>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</si>
  <si>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</si>
  <si>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</si>
  <si>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</si>
  <si>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</si>
  <si>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</si>
  <si>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</si>
  <si>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</si>
  <si>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</si>
  <si>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</si>
  <si>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</si>
  <si>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</si>
  <si>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</si>
  <si>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</si>
  <si>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</si>
  <si>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</si>
  <si>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</si>
  <si>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</si>
  <si>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</si>
  <si>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</si>
  <si>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</si>
  <si>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</si>
  <si>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</si>
  <si>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</si>
  <si>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</si>
  <si>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</si>
  <si>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</si>
  <si>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</si>
  <si>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</si>
  <si>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</si>
  <si>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</si>
  <si>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</si>
  <si>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</si>
  <si>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</si>
  <si>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</si>
  <si>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</si>
  <si>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</si>
  <si>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</si>
  <si>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</si>
  <si>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</si>
  <si>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</si>
  <si>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</si>
  <si>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</si>
  <si>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</si>
  <si>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</si>
  <si>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</si>
  <si>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</si>
  <si>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</si>
  <si>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</si>
  <si>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</si>
  <si>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</si>
  <si>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</si>
  <si>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</si>
  <si>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</si>
  <si>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</si>
  <si>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</si>
  <si>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</si>
  <si>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</si>
  <si>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</si>
  <si>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</si>
  <si>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</si>
  <si>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</si>
  <si>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</si>
  <si>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</si>
  <si>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</si>
  <si>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</si>
  <si>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</si>
  <si>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</si>
  <si>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</si>
  <si>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</si>
  <si>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</si>
  <si>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</si>
  <si>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</si>
  <si>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</si>
  <si>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</si>
  <si>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</si>
  <si>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</si>
  <si>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</si>
  <si>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</si>
  <si>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</si>
  <si>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</si>
  <si>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</si>
  <si>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</si>
  <si>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</si>
  <si>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</si>
  <si>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</si>
  <si>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</si>
  <si>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</si>
  <si>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</si>
  <si>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</si>
  <si>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</si>
  <si>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</si>
  <si>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</si>
  <si>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</si>
  <si>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</si>
  <si>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</si>
  <si>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</si>
  <si>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</si>
  <si>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</si>
  <si>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</si>
  <si>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</si>
  <si>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</si>
  <si>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</si>
  <si>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</si>
  <si>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</si>
  <si>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</si>
  <si>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</si>
  <si>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</si>
  <si>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</si>
  <si>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</si>
  <si>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</si>
  <si>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</si>
  <si>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</si>
  <si>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</si>
  <si>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</si>
  <si>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</si>
  <si>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</si>
  <si>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</si>
  <si>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</si>
  <si>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</si>
  <si>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</si>
  <si>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</si>
  <si>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</si>
  <si>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</si>
  <si>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</si>
  <si>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</si>
  <si>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</si>
  <si>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</si>
  <si>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</si>
  <si>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</si>
  <si>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</si>
  <si>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</si>
  <si>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</si>
  <si>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</si>
  <si>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</si>
  <si>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</si>
  <si>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</si>
  <si>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</si>
  <si>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</si>
  <si>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</si>
  <si>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</si>
  <si>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</si>
  <si>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</si>
  <si>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</si>
  <si>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</si>
  <si>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</si>
  <si>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</si>
  <si>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</si>
  <si>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</si>
  <si>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</si>
  <si>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</si>
  <si>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</si>
  <si>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</si>
  <si>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</si>
  <si>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</si>
  <si>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</si>
  <si>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</si>
  <si>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</si>
  <si>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</si>
  <si>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</si>
  <si>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</si>
  <si>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</si>
  <si>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</si>
  <si>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</si>
  <si>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</si>
  <si>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</si>
  <si>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</si>
  <si>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</si>
  <si>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</si>
  <si>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</si>
  <si>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</si>
  <si>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</si>
  <si>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</si>
  <si>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</si>
  <si>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</si>
  <si>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</si>
  <si>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</si>
  <si>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</si>
  <si>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</si>
  <si>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</si>
  <si>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</si>
  <si>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</si>
  <si>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</si>
  <si>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</si>
  <si>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</si>
  <si>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</si>
  <si>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</si>
  <si>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</si>
  <si>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</si>
  <si>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</si>
  <si>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</si>
  <si>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</si>
  <si>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</si>
  <si>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</si>
  <si>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</si>
  <si>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</si>
  <si>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</si>
  <si>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</si>
  <si>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</si>
  <si>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</si>
  <si>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</si>
  <si>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</si>
  <si>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</si>
  <si>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</si>
  <si>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</si>
  <si>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</si>
  <si>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</si>
  <si>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</si>
  <si>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</si>
  <si>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</si>
  <si>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</si>
  <si>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</si>
  <si>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</si>
  <si>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</si>
  <si>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</si>
  <si>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</si>
  <si>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</si>
  <si>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</si>
  <si>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</si>
  <si>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</si>
  <si>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</si>
  <si>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</si>
  <si>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</si>
  <si>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</si>
  <si>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</si>
  <si>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</si>
  <si>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</si>
  <si>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</si>
  <si>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</si>
  <si>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</si>
  <si>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</si>
  <si>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</si>
  <si>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</si>
  <si>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</si>
  <si>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</si>
  <si>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</si>
  <si>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</si>
  <si>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</si>
  <si>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</si>
  <si>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</si>
  <si>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</si>
  <si>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</si>
  <si>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</si>
  <si>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</si>
  <si>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</si>
  <si>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</si>
  <si>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</si>
  <si>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</si>
  <si>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</si>
  <si>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</si>
  <si>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</si>
  <si>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</si>
  <si>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</si>
  <si>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</si>
  <si>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</si>
  <si>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</si>
  <si>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</si>
  <si>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</si>
  <si>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</si>
  <si>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</si>
  <si>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</si>
  <si>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</si>
  <si>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</si>
  <si>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</si>
  <si>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</si>
  <si>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</si>
  <si>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</si>
  <si>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</si>
  <si>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</si>
  <si>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</si>
  <si>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</si>
  <si>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</si>
  <si>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</si>
  <si>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</si>
  <si>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</si>
  <si>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</si>
  <si>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</si>
  <si>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</si>
  <si>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</si>
  <si>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</si>
  <si>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</si>
  <si>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</si>
  <si>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</si>
  <si>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</si>
  <si>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</si>
  <si>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</si>
  <si>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</si>
  <si>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</si>
  <si>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</si>
  <si>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</si>
  <si>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</si>
  <si>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</si>
  <si>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</si>
  <si>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</si>
  <si>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</si>
  <si>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</si>
  <si>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</si>
  <si>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</si>
  <si>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</si>
  <si>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</si>
  <si>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</si>
  <si>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</si>
  <si>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</si>
  <si>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</si>
  <si>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</si>
  <si>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</si>
  <si>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</si>
  <si>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</si>
  <si>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</si>
  <si>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</si>
  <si>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</si>
  <si>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</si>
  <si>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</si>
  <si>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</si>
  <si>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</si>
  <si>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</si>
  <si>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</si>
  <si>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</si>
  <si>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</si>
  <si>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</si>
  <si>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</si>
  <si>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</si>
  <si>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</si>
  <si>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</si>
  <si>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</si>
  <si>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</si>
  <si>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</si>
  <si>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</si>
  <si>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</si>
  <si>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</si>
  <si>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</si>
  <si>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</si>
  <si>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</si>
  <si>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</si>
  <si>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</si>
  <si>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</si>
  <si>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</si>
  <si>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</si>
  <si>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</si>
  <si>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</si>
  <si>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</si>
  <si>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</si>
  <si>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</si>
  <si>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</si>
  <si>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</si>
  <si>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</si>
  <si>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</si>
  <si>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</si>
  <si>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</si>
  <si>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</si>
  <si>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</si>
  <si>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</si>
  <si>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</si>
  <si>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</si>
  <si>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</si>
  <si>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</si>
  <si>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</si>
  <si>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</si>
  <si>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</si>
  <si>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</si>
  <si>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</si>
  <si>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</si>
  <si>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</si>
  <si>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</si>
  <si>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</si>
  <si>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</si>
  <si>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</si>
  <si>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</si>
  <si>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</si>
  <si>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</si>
  <si>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</si>
  <si>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</si>
  <si>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</si>
  <si>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</si>
  <si>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</si>
  <si>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</si>
  <si>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</si>
  <si>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</si>
  <si>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</si>
  <si>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</si>
  <si>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</si>
  <si>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</si>
  <si>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</si>
  <si>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</si>
  <si>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</si>
  <si>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</si>
  <si>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</si>
  <si>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</si>
  <si>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</si>
  <si>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</si>
  <si>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</si>
  <si>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</si>
  <si>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</si>
  <si>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</si>
  <si>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</si>
  <si>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</si>
  <si>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</si>
  <si>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</si>
  <si>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</si>
  <si>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</si>
  <si>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</si>
  <si>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</si>
  <si>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</si>
  <si>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</si>
  <si>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</si>
  <si>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</si>
  <si>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</si>
  <si>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</si>
  <si>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</si>
  <si>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</si>
  <si>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</si>
  <si>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</si>
  <si>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</si>
  <si>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</si>
  <si>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</si>
  <si>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</si>
  <si>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</si>
  <si>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</si>
  <si>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</si>
  <si>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</si>
  <si>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</si>
  <si>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</si>
  <si>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</si>
  <si>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</si>
  <si>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</si>
  <si>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</si>
  <si>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</si>
  <si>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</si>
  <si>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</si>
  <si>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</si>
  <si>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</si>
  <si>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</si>
  <si>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</si>
  <si>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</si>
  <si>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</si>
  <si>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</si>
  <si>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</si>
  <si>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</si>
  <si>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</si>
  <si>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</si>
  <si>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</si>
  <si>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</si>
  <si>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</si>
  <si>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</si>
  <si>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</si>
  <si>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</si>
  <si>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</si>
  <si>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</si>
  <si>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</si>
  <si>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</si>
  <si>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</si>
  <si>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</si>
  <si>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</si>
  <si>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</si>
  <si>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</si>
  <si>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</si>
  <si>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</si>
  <si>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</si>
  <si>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</si>
  <si>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</si>
  <si>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</si>
  <si>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</si>
  <si>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</si>
  <si>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</si>
  <si>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</si>
  <si>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</si>
  <si>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</si>
  <si>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</si>
  <si>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</si>
  <si>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</si>
  <si>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</si>
  <si>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</si>
  <si>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</si>
  <si>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</si>
  <si>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</si>
  <si>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</si>
  <si>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</si>
  <si>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</si>
  <si>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</si>
  <si>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</si>
  <si>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</si>
  <si>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</si>
  <si>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</si>
  <si>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</si>
  <si>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</si>
  <si>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</si>
  <si>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</si>
  <si>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</si>
  <si>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</si>
  <si>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</si>
  <si>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</si>
  <si>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</si>
  <si>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</si>
  <si>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</si>
  <si>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</si>
  <si>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</si>
  <si>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</si>
  <si>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</si>
  <si>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</si>
  <si>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</si>
  <si>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</si>
  <si>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</si>
  <si>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</si>
  <si>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</si>
  <si>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</si>
  <si>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</si>
  <si>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</si>
  <si>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</si>
  <si>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</si>
  <si>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</si>
  <si>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</si>
  <si>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</si>
  <si>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</si>
  <si>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</si>
  <si>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</si>
  <si>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</si>
  <si>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</si>
  <si>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</si>
  <si>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</si>
  <si>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</si>
  <si>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</si>
  <si>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</si>
  <si>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</si>
  <si>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</si>
  <si>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</si>
  <si>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</si>
  <si>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</si>
  <si>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</si>
  <si>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</si>
  <si>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</si>
  <si>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</si>
  <si>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</si>
  <si>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</si>
  <si>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</si>
  <si>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</si>
  <si>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</si>
  <si>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</si>
  <si>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</si>
  <si>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</si>
  <si>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</si>
  <si>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</si>
  <si>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</si>
  <si>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</si>
  <si>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</si>
  <si>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</si>
  <si>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</si>
  <si>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</si>
  <si>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</si>
  <si>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</si>
  <si>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</si>
  <si>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</si>
  <si>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</si>
  <si>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</si>
  <si>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</si>
  <si>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</si>
  <si>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</si>
  <si>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</si>
  <si>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</si>
  <si>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</si>
  <si>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</si>
  <si>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</si>
  <si>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</si>
  <si>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</si>
  <si>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</si>
  <si>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</si>
  <si>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</si>
  <si>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</si>
  <si>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</si>
  <si>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</si>
  <si>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</si>
  <si>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</si>
  <si>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</si>
  <si>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</si>
  <si>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</si>
  <si>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</si>
  <si>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</si>
  <si>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</si>
  <si>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</si>
  <si>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</si>
  <si>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</si>
  <si>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</si>
  <si>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</si>
  <si>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</si>
  <si>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</si>
  <si>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</si>
  <si>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</si>
  <si>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</si>
  <si>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</si>
  <si>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</si>
  <si>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</si>
  <si>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</si>
  <si>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</si>
  <si>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</si>
  <si>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</si>
  <si>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</si>
  <si>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</si>
  <si>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</si>
  <si>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</si>
  <si>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</si>
  <si>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</si>
  <si>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</si>
  <si>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</si>
  <si>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</si>
  <si>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</si>
  <si>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</si>
  <si>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</si>
  <si>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</si>
  <si>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</si>
  <si>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</si>
  <si>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</si>
  <si>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</si>
  <si>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</si>
  <si>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</si>
  <si>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</si>
  <si>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</si>
  <si>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</si>
  <si>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</si>
  <si>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</si>
  <si>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</si>
  <si>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</si>
  <si>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</si>
  <si>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</si>
  <si>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</si>
  <si>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</si>
  <si>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</si>
  <si>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</si>
  <si>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</si>
  <si>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</si>
  <si>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</si>
  <si>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</si>
  <si>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</si>
  <si>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</si>
  <si>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</si>
  <si>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</si>
  <si>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</si>
  <si>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</si>
  <si>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</si>
  <si>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</si>
  <si>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</si>
  <si>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</si>
  <si>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</si>
  <si>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</si>
  <si>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</si>
  <si>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</si>
  <si>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</si>
  <si>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</si>
  <si>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</si>
  <si>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</si>
  <si>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</si>
  <si>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</si>
  <si>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</si>
  <si>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</si>
  <si>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</si>
  <si>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</si>
  <si>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</si>
  <si>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</si>
  <si>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</si>
  <si>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</si>
  <si>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</si>
  <si>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</si>
  <si>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</si>
  <si>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</si>
  <si>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</si>
  <si>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</si>
  <si>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</si>
  <si>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</si>
  <si>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</si>
  <si>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</si>
  <si>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</si>
  <si>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</si>
  <si>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</si>
  <si>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</si>
  <si>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</si>
  <si>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</si>
  <si>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</si>
  <si>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</si>
  <si>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</si>
  <si>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</si>
  <si>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</si>
  <si>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</si>
  <si>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</si>
  <si>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</si>
  <si>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</si>
  <si>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</si>
  <si>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</si>
  <si>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</si>
  <si>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</si>
  <si>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</si>
  <si>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</si>
  <si>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</si>
  <si>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</si>
  <si>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</si>
  <si>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</si>
  <si>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</si>
  <si>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</si>
  <si>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</si>
  <si>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</si>
  <si>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</si>
  <si>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</si>
  <si>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</si>
  <si>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</si>
  <si>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</si>
  <si>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</si>
  <si>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</si>
  <si>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</si>
  <si>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</si>
  <si>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</si>
  <si>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</si>
  <si>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</si>
  <si>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</si>
  <si>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</si>
  <si>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</si>
  <si>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</si>
  <si>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</si>
  <si>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</si>
  <si>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</si>
  <si>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</si>
  <si>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</si>
  <si>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</si>
  <si>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</si>
  <si>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</si>
  <si>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</si>
  <si>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</si>
  <si>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</si>
  <si>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</si>
  <si>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</si>
  <si>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</si>
  <si>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</si>
  <si>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</si>
  <si>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</si>
  <si>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</si>
  <si>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</si>
  <si>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</si>
  <si>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</si>
  <si>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</si>
  <si>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</si>
  <si>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</si>
  <si>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</si>
  <si>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</si>
  <si>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</si>
  <si>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</si>
  <si>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</si>
  <si>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</si>
  <si>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</si>
  <si>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</si>
  <si>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</si>
  <si>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</si>
  <si>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</si>
  <si>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</si>
  <si>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</si>
  <si>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</si>
  <si>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</si>
  <si>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</si>
  <si>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</si>
  <si>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</si>
  <si>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</si>
  <si>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</si>
  <si>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</si>
  <si>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</si>
  <si>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</si>
  <si>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</si>
  <si>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</si>
  <si>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</si>
  <si>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</si>
  <si>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</si>
  <si>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</si>
  <si>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</si>
  <si>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</si>
  <si>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</si>
  <si>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</si>
  <si>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</si>
  <si>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</si>
  <si>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</si>
  <si>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</si>
  <si>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</si>
  <si>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</si>
  <si>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</si>
  <si>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</si>
  <si>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</si>
  <si>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</si>
  <si>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</si>
  <si>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</si>
  <si>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</si>
  <si>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</si>
  <si>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</si>
  <si>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</si>
  <si>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</si>
  <si>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</si>
  <si>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</si>
  <si>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</si>
  <si>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</si>
  <si>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</si>
  <si>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</si>
  <si>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</si>
  <si>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</si>
  <si>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</si>
  <si>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</si>
  <si>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</si>
  <si>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</si>
  <si>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</si>
  <si>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</si>
  <si>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</si>
  <si>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</si>
  <si>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</si>
  <si>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</si>
  <si>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</si>
  <si>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</si>
  <si>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</si>
  <si>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</si>
  <si>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</si>
  <si>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</si>
  <si>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</si>
  <si>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</si>
  <si>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</si>
  <si>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</si>
  <si>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</si>
  <si>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</si>
  <si>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</si>
  <si>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</si>
  <si>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</si>
  <si>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</si>
  <si>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</si>
  <si>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</si>
  <si>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</si>
  <si>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</si>
  <si>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</si>
  <si>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</si>
  <si>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</si>
  <si>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</si>
  <si>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</si>
  <si>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</si>
  <si>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</si>
  <si>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</si>
  <si>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</si>
  <si>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</si>
  <si>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</si>
  <si>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</si>
  <si>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</si>
  <si>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</si>
  <si>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</si>
  <si>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</si>
  <si>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</si>
  <si>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</si>
  <si>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</si>
  <si>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</si>
  <si>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</si>
  <si>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</si>
  <si>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</si>
  <si>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</si>
  <si>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</si>
  <si>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</si>
  <si>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</si>
  <si>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</si>
  <si>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</si>
  <si>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</si>
  <si>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</si>
  <si>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</si>
  <si>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</si>
  <si>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</si>
  <si>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</si>
  <si>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</si>
  <si>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</si>
  <si>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</si>
  <si>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</si>
  <si>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</si>
  <si>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</si>
  <si>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</si>
  <si>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</si>
  <si>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</si>
  <si>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</si>
  <si>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</si>
  <si>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</si>
  <si>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</si>
  <si>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</si>
  <si>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</si>
  <si>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</si>
  <si>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</si>
  <si>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</si>
  <si>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</si>
  <si>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</si>
  <si>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</si>
  <si>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</si>
  <si>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</si>
  <si>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</si>
  <si>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</si>
  <si>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</si>
  <si>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</si>
  <si>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</si>
  <si>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</si>
  <si>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</si>
  <si>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</si>
  <si>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</si>
  <si>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</si>
  <si>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</si>
  <si>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</si>
  <si>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</si>
  <si>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</si>
  <si>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</si>
  <si>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</si>
  <si>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</si>
  <si>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</si>
  <si>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</si>
  <si>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</si>
  <si>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</si>
  <si>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</si>
  <si>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</si>
  <si>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</si>
  <si>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</si>
  <si>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</si>
  <si>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</si>
  <si>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</si>
  <si>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</si>
  <si>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</si>
  <si>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</si>
  <si>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</si>
  <si>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</si>
  <si>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</si>
  <si>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</si>
  <si>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</si>
  <si>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</si>
  <si>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</si>
  <si>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</si>
  <si>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</si>
  <si>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</si>
  <si>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</si>
  <si>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</si>
  <si>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</si>
  <si>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</si>
  <si>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</si>
  <si>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</si>
  <si>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</si>
  <si>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</si>
  <si>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</si>
  <si>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</si>
  <si>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</si>
  <si>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</si>
  <si>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</si>
  <si>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</si>
  <si>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</si>
  <si>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</si>
  <si>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</si>
  <si>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</si>
  <si>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</si>
  <si>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</si>
  <si>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</si>
  <si>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</si>
  <si>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</si>
  <si>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</si>
  <si>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</si>
  <si>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</si>
  <si>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</si>
  <si>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</si>
  <si>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</si>
  <si>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</si>
  <si>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</si>
  <si>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</si>
  <si>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</si>
  <si>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</si>
  <si>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</si>
  <si>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</si>
  <si>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</si>
  <si>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</si>
  <si>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</si>
  <si>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</si>
  <si>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</si>
  <si>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</si>
  <si>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</si>
  <si>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</si>
  <si>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</si>
  <si>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</si>
  <si>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</si>
  <si>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</si>
  <si>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</si>
  <si>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</si>
  <si>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</si>
  <si>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</si>
  <si>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</si>
  <si>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</si>
  <si>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</si>
  <si>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</si>
  <si>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</si>
  <si>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</si>
  <si>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</si>
  <si>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</si>
  <si>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</si>
  <si>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</si>
  <si>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</si>
  <si>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</si>
  <si>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</si>
  <si>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</si>
  <si>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</si>
  <si>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</si>
  <si>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</si>
  <si>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</si>
  <si>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</si>
  <si>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</si>
  <si>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</si>
  <si>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</si>
  <si>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</si>
  <si>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</si>
  <si>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</si>
  <si>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</si>
  <si>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</si>
  <si>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</si>
  <si>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</si>
  <si>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</si>
  <si>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</si>
  <si>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</si>
  <si>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</si>
  <si>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</si>
  <si>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</si>
  <si>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</si>
  <si>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</si>
  <si>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</si>
  <si>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</si>
  <si>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</si>
  <si>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</si>
  <si>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</si>
  <si>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</si>
  <si>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</si>
  <si>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</si>
  <si>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</si>
  <si>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</si>
  <si>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</si>
  <si>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</si>
  <si>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</si>
  <si>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</si>
  <si>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</si>
  <si>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</si>
  <si>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</si>
  <si>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</si>
  <si>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</si>
  <si>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</si>
  <si>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</si>
  <si>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</si>
  <si>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</si>
  <si>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</si>
  <si>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</si>
  <si>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</si>
  <si>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</si>
  <si>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</si>
  <si>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</si>
  <si>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</si>
  <si>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</si>
  <si>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</si>
  <si>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</si>
  <si>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</si>
  <si>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</si>
  <si>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</si>
  <si>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</si>
  <si>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</si>
  <si>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</si>
  <si>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</si>
  <si>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</si>
  <si>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</si>
  <si>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</si>
  <si>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</si>
  <si>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</si>
  <si>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</si>
  <si>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</si>
  <si>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</si>
  <si>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</si>
  <si>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</si>
  <si>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</si>
  <si>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</si>
  <si>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</si>
  <si>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</si>
  <si>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</si>
  <si>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</si>
  <si>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</si>
  <si>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</si>
  <si>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</si>
  <si>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</si>
  <si>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</si>
  <si>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</si>
  <si>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</si>
  <si>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</si>
  <si>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</si>
  <si>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</si>
  <si>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</si>
  <si>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</si>
  <si>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</si>
  <si>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</si>
  <si>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</si>
  <si>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</si>
  <si>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</si>
  <si>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</si>
  <si>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</si>
  <si>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</si>
  <si>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</si>
  <si>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</si>
  <si>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</si>
  <si>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</si>
  <si>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</si>
  <si>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</si>
  <si>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</si>
  <si>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</si>
  <si>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</si>
  <si>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</si>
  <si>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</si>
  <si>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</si>
  <si>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</si>
  <si>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</si>
  <si>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</si>
  <si>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</si>
  <si>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</si>
  <si>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</si>
  <si>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</si>
  <si>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</si>
  <si>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</si>
  <si>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</si>
  <si>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</si>
  <si>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</si>
  <si>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</si>
  <si>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</si>
  <si>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</si>
  <si>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</si>
  <si>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</si>
  <si>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</si>
  <si>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</si>
  <si>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</si>
  <si>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</si>
  <si>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</si>
  <si>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</si>
  <si>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</si>
  <si>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</si>
  <si>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</si>
  <si>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</si>
  <si>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</si>
  <si>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</si>
  <si>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</si>
  <si>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</si>
  <si>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</si>
  <si>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</si>
  <si>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</si>
  <si>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</si>
  <si>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</si>
  <si>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</si>
  <si>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</si>
  <si>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</si>
  <si>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</si>
  <si>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</si>
  <si>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</si>
  <si>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</si>
  <si>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</si>
  <si>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</si>
  <si>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</si>
  <si>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</si>
  <si>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</si>
  <si>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</si>
  <si>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</si>
  <si>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</si>
  <si>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</si>
  <si>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</si>
  <si>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</si>
  <si>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</si>
  <si>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</si>
  <si>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</si>
  <si>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</si>
  <si>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</si>
  <si>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</si>
  <si>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</si>
  <si>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</si>
  <si>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</si>
  <si>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</si>
  <si>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</si>
  <si>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</si>
  <si>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</si>
  <si>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</si>
  <si>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</si>
  <si>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</si>
  <si>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</si>
  <si>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</si>
  <si>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</si>
  <si>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</si>
  <si>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</si>
  <si>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</si>
  <si>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</si>
  <si>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</si>
  <si>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</si>
  <si>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</si>
  <si>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</si>
  <si>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</si>
  <si>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</si>
  <si>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</si>
  <si>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</si>
  <si>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</si>
  <si>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</si>
  <si>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</si>
  <si>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</si>
  <si>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</si>
  <si>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</si>
  <si>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</si>
  <si>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</si>
  <si>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</si>
  <si>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</si>
  <si>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</si>
  <si>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</si>
  <si>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</si>
  <si>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</si>
  <si>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</si>
  <si>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</si>
  <si>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</si>
  <si>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</si>
  <si>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</si>
  <si>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</si>
  <si>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</si>
  <si>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</si>
  <si>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</si>
  <si>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</si>
  <si>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</si>
  <si>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</si>
  <si>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</si>
  <si>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</si>
  <si>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</si>
  <si>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</si>
  <si>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</si>
  <si>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</si>
  <si>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</si>
  <si>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</si>
  <si>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</si>
  <si>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</si>
  <si>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</si>
  <si>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</si>
  <si>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</si>
  <si>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</si>
  <si>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</si>
  <si>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</si>
  <si>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</si>
  <si>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</si>
  <si>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</si>
  <si>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</si>
  <si>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</si>
  <si>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</si>
  <si>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</si>
  <si>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</si>
  <si>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</si>
  <si>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</si>
  <si>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</si>
  <si>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</si>
  <si>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</si>
  <si>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</si>
  <si>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</si>
  <si>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</si>
  <si>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</si>
  <si>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</si>
  <si>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</si>
  <si>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</si>
  <si>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</si>
  <si>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</si>
  <si>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</si>
  <si>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</si>
  <si>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</si>
  <si>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</si>
  <si>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</si>
  <si>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</si>
  <si>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</si>
  <si>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</si>
  <si>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</si>
  <si>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</si>
  <si>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</si>
  <si>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</si>
  <si>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</si>
  <si>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</si>
  <si>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</si>
  <si>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</si>
  <si>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</si>
  <si>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</si>
  <si>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</si>
  <si>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</si>
  <si>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</si>
  <si>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</si>
  <si>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</si>
  <si>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</si>
  <si>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</si>
  <si>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</si>
  <si>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</si>
  <si>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</si>
  <si>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</si>
  <si>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</si>
  <si>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</si>
  <si>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</si>
  <si>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</si>
  <si>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</si>
  <si>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</si>
  <si>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</si>
  <si>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</si>
  <si>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</si>
  <si>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</si>
  <si>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</si>
  <si>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</si>
  <si>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</si>
  <si>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</si>
  <si>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</si>
  <si>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</si>
  <si>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</si>
  <si>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</si>
  <si>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</si>
  <si>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OCEC</t>
  </si>
  <si>
    <t>OCEC - Amboy, Ashton/Franklin Center, Creston, Eswood, Forreston, Kings, Meridian, Oregon, Polo, RE, RH, Steward</t>
  </si>
  <si>
    <t>WAVC - Amboy, Ashton/Franklin Center, Bureau Valley, Dixon, Eastland, Erie, Forreston, Fulton/Riverbend, Milledgeville/Chadwick, Morrison, Ohio, Polo, Prophetstown/Lyndon, Rock Falls</t>
  </si>
  <si>
    <t>WAVC</t>
  </si>
  <si>
    <t>Lee</t>
  </si>
  <si>
    <t>611 Western Avenue, PO Box 329</t>
  </si>
  <si>
    <t>Ashton</t>
  </si>
  <si>
    <t>mlindy@afcschools.net</t>
  </si>
  <si>
    <t>Michael Lindy</t>
  </si>
  <si>
    <t>815-453-7461</t>
  </si>
  <si>
    <t>815-453-7462</t>
  </si>
  <si>
    <t>23.  Qualified for the District not maintaining historical costs on capital assets and adverse for not adopting GASB Statement No. 34.</t>
  </si>
  <si>
    <t>x</t>
  </si>
  <si>
    <t>General Obligation School Bonds -2009A</t>
  </si>
  <si>
    <t>Note Payable - 2015 Dodge Caravan</t>
  </si>
  <si>
    <t>General Obligation School Refunding Bonds - 2018A</t>
  </si>
  <si>
    <t>Education Fund - 3999 Other Restricted State - $750 State Library Grant</t>
  </si>
  <si>
    <t>Debt services fund - Function 5400 - Fiscal agent fees</t>
  </si>
  <si>
    <t>Education Fund -1614 Sales to Pupils - Other - $1,522 Milk Revenue</t>
  </si>
  <si>
    <t>Education Fund - 1690 Other Food Service - $2,499 Miscellaneous revenues and online payment convenience fee</t>
  </si>
  <si>
    <t>Education Fund - 1719 Admissions - Other - $9,007  Payments for athletic fees</t>
  </si>
  <si>
    <t>OM Fund 1999 - Other local revenue - $15,226 sale of building, $582 other</t>
  </si>
  <si>
    <t>Transportation Fund 1999 - Other local revenue - $155 other revenue</t>
  </si>
  <si>
    <t>Schedule of Long-Term Debt - ($4,235) - Payment of note payable principle out of the Transportation Fund</t>
  </si>
  <si>
    <t>No contracts on page 29</t>
  </si>
  <si>
    <t>Ashton-Franklin Center CUSD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</si>
</sst>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cellStyleXfs>
  <cellXfs count="255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3" fillId="0" borderId="96" xfId="24" applyFont="1" applyBorder="1" applyAlignment="1" applyProtection="1">
      <alignment vertical="top" wrapText="1"/>
      <protection locked="0"/>
    </xf>
    <xf numFmtId="0" fontId="3" fillId="0" borderId="0" xfId="24" applyFont="1" applyBorder="1" applyAlignment="1" applyProtection="1">
      <alignment vertical="top" wrapText="1"/>
      <protection locked="0"/>
    </xf>
    <xf numFmtId="0" fontId="3" fillId="0" borderId="97" xfId="24" applyFont="1" applyBorder="1" applyAlignment="1" applyProtection="1">
      <alignment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1D09862B-31E2-442A-8F7C-4AFAB5343A96}"/>
    <cellStyle name="Normal 3 2 3" xfId="21" xr:uid="{0AA0B357-E852-4F8B-98A8-018D8B723253}"/>
    <cellStyle name="Normal 3 3" xfId="20" xr:uid="{D4E29F45-D8AA-4A48-9208-15D0840FB475}"/>
    <cellStyle name="Normal 4" xfId="16" xr:uid="{00000000-0005-0000-0000-000008000000}"/>
    <cellStyle name="Normal 4 2" xfId="22" xr:uid="{5586D36D-AAB2-48E8-BD47-9255FD569F6E}"/>
    <cellStyle name="Normal 5" xfId="17" xr:uid="{00000000-0005-0000-0000-000009000000}"/>
    <cellStyle name="Normal 5 2" xfId="19" xr:uid="{00000000-0005-0000-0000-00000A000000}"/>
    <cellStyle name="Normal 5 3" xfId="23" xr:uid="{7EF04F9F-8588-4BEF-B28D-D15423F7B59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456398</xdr:colOff>
      <xdr:row>62</xdr:row>
      <xdr:rowOff>19050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1598"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402</v>
      </c>
      <c r="J1" s="2070"/>
      <c r="K1" s="2070"/>
      <c r="L1" s="2070"/>
      <c r="M1" s="2070"/>
      <c r="N1" s="2070"/>
      <c r="O1" s="2070"/>
      <c r="P1" s="2070"/>
      <c r="Q1" s="2070"/>
      <c r="R1" s="2070"/>
      <c r="S1" s="2070"/>
    </row>
    <row r="2" spans="1:32" ht="12" customHeight="1" x14ac:dyDescent="0.2">
      <c r="A2" s="1889" t="str">
        <f>"Due to ISBE on "</f>
        <v xml:space="preserve">Due to ISBE on </v>
      </c>
      <c r="B2" s="1992">
        <f>+'AFR20'!F4</f>
        <v>44151</v>
      </c>
      <c r="C2" s="1992"/>
      <c r="D2" s="1993"/>
      <c r="I2" s="2071" t="s">
        <v>2006</v>
      </c>
      <c r="J2" s="2070"/>
      <c r="K2" s="2070"/>
      <c r="L2" s="2070"/>
      <c r="M2" s="2070"/>
      <c r="N2" s="2070"/>
      <c r="O2" s="2070"/>
      <c r="P2" s="2070"/>
      <c r="Q2" s="2070"/>
      <c r="R2" s="2070"/>
      <c r="S2" s="2070"/>
    </row>
    <row r="3" spans="1:32" ht="12" customHeight="1" x14ac:dyDescent="0.2">
      <c r="A3" s="1892"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c r="C5" s="26" t="s">
        <v>904</v>
      </c>
      <c r="D5" s="81"/>
      <c r="E5" s="81"/>
      <c r="H5" s="38"/>
      <c r="I5" s="2078" t="s">
        <v>675</v>
      </c>
      <c r="J5" s="2023"/>
      <c r="K5" s="2023"/>
      <c r="L5" s="2023"/>
      <c r="M5" s="2023"/>
      <c r="N5" s="2023"/>
      <c r="O5" s="2023"/>
      <c r="P5" s="2023"/>
      <c r="Q5" s="2023"/>
      <c r="R5" s="2023"/>
      <c r="S5" s="2023"/>
      <c r="AF5" s="1885"/>
    </row>
    <row r="6" spans="1:32" ht="14.1" customHeight="1" x14ac:dyDescent="0.2">
      <c r="B6" s="101"/>
      <c r="C6" s="26" t="s">
        <v>905</v>
      </c>
      <c r="D6" s="81"/>
      <c r="E6" s="81"/>
      <c r="I6" s="2077" t="s">
        <v>877</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019" t="s">
        <v>530</v>
      </c>
      <c r="U9" s="2020"/>
      <c r="V9" s="2020"/>
      <c r="W9" s="2020"/>
      <c r="X9" s="2020"/>
      <c r="Y9" s="2020"/>
      <c r="Z9" s="2020"/>
      <c r="AA9" s="2021"/>
    </row>
    <row r="10" spans="1:32" ht="13.5" customHeight="1" x14ac:dyDescent="0.2">
      <c r="A10" s="2028" t="s">
        <v>670</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949</v>
      </c>
      <c r="B11" s="2032"/>
      <c r="C11" s="2032"/>
      <c r="D11" s="2032"/>
      <c r="E11" s="2032"/>
      <c r="F11" s="2032"/>
      <c r="G11" s="2032"/>
      <c r="H11" s="2033"/>
      <c r="I11" s="27"/>
      <c r="J11" s="71"/>
      <c r="K11" s="27"/>
      <c r="O11" s="144" t="s">
        <v>2030</v>
      </c>
      <c r="P11" s="97" t="s">
        <v>199</v>
      </c>
      <c r="Q11" s="30"/>
      <c r="R11" s="28"/>
      <c r="S11" s="27"/>
      <c r="T11" s="2025"/>
      <c r="U11" s="2026"/>
      <c r="V11" s="2026"/>
      <c r="W11" s="2026"/>
      <c r="X11" s="2026"/>
      <c r="Y11" s="2026"/>
      <c r="Z11" s="2026"/>
      <c r="AA11" s="202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9">
        <v>47052275026</v>
      </c>
      <c r="B13" s="2040"/>
      <c r="C13" s="2040"/>
      <c r="D13" s="2040"/>
      <c r="E13" s="2040"/>
      <c r="F13" s="2040"/>
      <c r="G13" s="2040"/>
      <c r="H13" s="2041"/>
      <c r="I13" s="31"/>
      <c r="J13" s="30"/>
      <c r="K13" s="28"/>
      <c r="L13" s="30"/>
      <c r="M13" s="30"/>
      <c r="N13" s="30"/>
      <c r="O13" s="30"/>
      <c r="P13" s="30"/>
      <c r="Q13" s="30"/>
      <c r="R13" s="30"/>
      <c r="S13" s="30"/>
      <c r="T13" s="2044" t="s">
        <v>2021</v>
      </c>
      <c r="U13" s="2045"/>
      <c r="V13" s="2045"/>
      <c r="W13" s="2045"/>
      <c r="X13" s="2045"/>
      <c r="Y13" s="2046"/>
      <c r="Z13" s="2046"/>
      <c r="AA13" s="204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7" t="s">
        <v>2035</v>
      </c>
      <c r="B15" s="2042"/>
      <c r="C15" s="2042"/>
      <c r="D15" s="2042"/>
      <c r="E15" s="2042"/>
      <c r="F15" s="2042"/>
      <c r="G15" s="2042"/>
      <c r="H15" s="2043"/>
      <c r="T15" s="2005" t="s">
        <v>2022</v>
      </c>
      <c r="U15" s="2006"/>
      <c r="V15" s="2006"/>
      <c r="W15" s="2006"/>
      <c r="X15" s="2006"/>
      <c r="Y15" s="2048"/>
      <c r="Z15" s="2048"/>
      <c r="AA15" s="204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7" t="s">
        <v>2056</v>
      </c>
      <c r="B17" s="2067"/>
      <c r="C17" s="2067"/>
      <c r="D17" s="2067"/>
      <c r="E17" s="2067"/>
      <c r="F17" s="2067"/>
      <c r="G17" s="2067"/>
      <c r="H17" s="2068"/>
      <c r="T17" s="2054" t="s">
        <v>2023</v>
      </c>
      <c r="U17" s="2055"/>
      <c r="V17" s="2055"/>
      <c r="W17" s="2055"/>
      <c r="X17" s="2055"/>
      <c r="Y17" s="2055"/>
      <c r="Z17" s="2055"/>
      <c r="AA17" s="2056"/>
    </row>
    <row r="18" spans="1:27" ht="13.5" customHeight="1" x14ac:dyDescent="0.2">
      <c r="A18" s="82" t="s">
        <v>527</v>
      </c>
      <c r="B18" s="73"/>
      <c r="C18" s="69"/>
      <c r="D18" s="73"/>
      <c r="E18" s="73"/>
      <c r="F18" s="73"/>
      <c r="G18" s="73"/>
      <c r="H18" s="53"/>
      <c r="I18" s="206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037" t="s">
        <v>2036</v>
      </c>
      <c r="B19" s="2038"/>
      <c r="C19" s="2038"/>
      <c r="D19" s="2038"/>
      <c r="E19" s="2038"/>
      <c r="F19" s="2038"/>
      <c r="G19" s="2038"/>
      <c r="H19" s="2036"/>
      <c r="I19" s="30"/>
      <c r="J19" s="96"/>
      <c r="K19" s="40"/>
      <c r="L19" s="38"/>
      <c r="M19" s="109" t="s">
        <v>312</v>
      </c>
      <c r="P19" s="27"/>
      <c r="Q19" s="27"/>
      <c r="R19" s="27"/>
      <c r="S19" s="31"/>
      <c r="T19" s="2037" t="s">
        <v>2024</v>
      </c>
      <c r="U19" s="2035"/>
      <c r="V19" s="2035"/>
      <c r="W19" s="2036"/>
      <c r="X19" s="2052" t="s">
        <v>2025</v>
      </c>
      <c r="Y19" s="2053"/>
      <c r="Z19" s="2050">
        <v>61081</v>
      </c>
      <c r="AA19" s="205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4" t="s">
        <v>2037</v>
      </c>
      <c r="B21" s="2035"/>
      <c r="C21" s="2035"/>
      <c r="D21" s="2035"/>
      <c r="E21" s="2035"/>
      <c r="F21" s="2035"/>
      <c r="G21" s="2035"/>
      <c r="H21" s="2036"/>
      <c r="I21" s="2060" t="s">
        <v>673</v>
      </c>
      <c r="J21" s="2023"/>
      <c r="K21" s="2023"/>
      <c r="L21" s="2023"/>
      <c r="M21" s="2023"/>
      <c r="N21" s="2023"/>
      <c r="O21" s="2023"/>
      <c r="P21" s="2023"/>
      <c r="Q21" s="2023"/>
      <c r="R21" s="2023"/>
      <c r="S21" s="2024"/>
      <c r="T21" s="2002" t="s">
        <v>2029</v>
      </c>
      <c r="U21" s="2003"/>
      <c r="V21" s="2003"/>
      <c r="W21" s="2003"/>
      <c r="X21" s="2016" t="s">
        <v>2026</v>
      </c>
      <c r="Y21" s="2017"/>
      <c r="Z21" s="2017"/>
      <c r="AA21" s="2018"/>
    </row>
    <row r="22" spans="1:27" ht="13.5" customHeight="1" x14ac:dyDescent="0.2">
      <c r="A22" s="84" t="s">
        <v>528</v>
      </c>
      <c r="B22" s="56"/>
      <c r="C22" s="56"/>
      <c r="D22" s="56"/>
      <c r="E22" s="56"/>
      <c r="F22" s="56"/>
      <c r="G22" s="56"/>
      <c r="H22" s="57"/>
      <c r="I22" s="2061" t="s">
        <v>1415</v>
      </c>
      <c r="J22" s="2062"/>
      <c r="K22" s="2062"/>
      <c r="L22" s="2062"/>
      <c r="M22" s="2062"/>
      <c r="N22" s="2062"/>
      <c r="O22" s="2062"/>
      <c r="P22" s="2062"/>
      <c r="Q22" s="2062"/>
      <c r="R22" s="2062"/>
      <c r="S22" s="2063"/>
      <c r="T22" s="82" t="s">
        <v>1502</v>
      </c>
      <c r="U22" s="48"/>
      <c r="V22" s="69"/>
      <c r="W22" s="48"/>
      <c r="X22" s="155" t="s">
        <v>1309</v>
      </c>
      <c r="Z22" s="43"/>
      <c r="AA22" s="44"/>
    </row>
    <row r="23" spans="1:27" ht="13.5" customHeight="1" x14ac:dyDescent="0.2">
      <c r="A23" s="2057" t="s">
        <v>2038</v>
      </c>
      <c r="B23" s="2058"/>
      <c r="C23" s="2058"/>
      <c r="D23" s="2058"/>
      <c r="E23" s="2058"/>
      <c r="F23" s="2058"/>
      <c r="G23" s="2058"/>
      <c r="H23" s="2059"/>
      <c r="T23" s="1997" t="s">
        <v>2027</v>
      </c>
      <c r="U23" s="1998"/>
      <c r="V23" s="1998"/>
      <c r="W23" s="1998"/>
      <c r="X23" s="2013">
        <v>44530</v>
      </c>
      <c r="Y23" s="2014"/>
      <c r="Z23" s="2014"/>
      <c r="AA23" s="2015"/>
    </row>
    <row r="24" spans="1:27" ht="14.1" customHeight="1" x14ac:dyDescent="0.2">
      <c r="A24" s="85" t="s">
        <v>672</v>
      </c>
      <c r="B24" s="46"/>
      <c r="C24" s="46"/>
      <c r="D24" s="46"/>
      <c r="E24" s="46"/>
      <c r="F24" s="46"/>
      <c r="G24" s="46"/>
      <c r="H24" s="58"/>
      <c r="J24" s="2099" t="str">
        <f>IF(B5="x",IF(AUDITCHECK!D29="AFR form Incomplete.","",IF(AUDITCHECK!D29="Deficit reduction plan is required.","School District must complete a deficit reduction plan in the 2019-2020 Budget",)),"")</f>
        <v/>
      </c>
      <c r="K24" s="2099"/>
      <c r="L24" s="2099"/>
      <c r="M24" s="2099"/>
      <c r="N24" s="2099"/>
      <c r="O24" s="2099"/>
      <c r="P24" s="2099"/>
      <c r="Q24" s="2099"/>
      <c r="R24" s="2099"/>
      <c r="S24" s="2100"/>
      <c r="T24" s="102" t="s">
        <v>528</v>
      </c>
      <c r="U24" s="103"/>
      <c r="V24" s="103"/>
      <c r="W24" s="103"/>
      <c r="X24" s="104"/>
      <c r="Y24" s="104"/>
      <c r="Z24" s="104"/>
      <c r="AA24" s="105"/>
    </row>
    <row r="25" spans="1:27" ht="14.1" customHeight="1" x14ac:dyDescent="0.2">
      <c r="A25" s="2034">
        <v>61006</v>
      </c>
      <c r="B25" s="2035"/>
      <c r="C25" s="2035"/>
      <c r="D25" s="2035"/>
      <c r="E25" s="2035"/>
      <c r="F25" s="2035"/>
      <c r="G25" s="2035"/>
      <c r="H25" s="2036"/>
      <c r="I25" s="110"/>
      <c r="J25" s="2101"/>
      <c r="K25" s="2101"/>
      <c r="L25" s="2101"/>
      <c r="M25" s="2101"/>
      <c r="N25" s="2101"/>
      <c r="O25" s="2101"/>
      <c r="P25" s="2101"/>
      <c r="Q25" s="2101"/>
      <c r="R25" s="2101"/>
      <c r="S25" s="2102"/>
      <c r="T25" s="1994" t="s">
        <v>2028</v>
      </c>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2"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7" t="s">
        <v>2039</v>
      </c>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3" t="s">
        <v>2038</v>
      </c>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t="s">
        <v>2040</v>
      </c>
      <c r="B42" s="2084"/>
      <c r="C42" s="2085"/>
      <c r="D42" s="2098" t="s">
        <v>2041</v>
      </c>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6" activePane="bottomLeft" state="frozen"/>
      <selection activeCell="B7" sqref="B7"/>
      <selection pane="bottomLeft" activeCell="L326" sqref="L3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0" t="s">
        <v>294</v>
      </c>
      <c r="B3" s="222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1486027</v>
      </c>
      <c r="D5" s="1623">
        <v>336408</v>
      </c>
      <c r="E5" s="1623">
        <v>5728</v>
      </c>
      <c r="F5" s="1623">
        <v>103852</v>
      </c>
      <c r="G5" s="1623"/>
      <c r="H5" s="1623">
        <v>400</v>
      </c>
      <c r="I5" s="1624"/>
      <c r="J5" s="1624"/>
      <c r="K5" s="1722">
        <f>SUM(C5:J5)</f>
        <v>1932415</v>
      </c>
      <c r="L5" s="1623">
        <v>1967957</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251284</v>
      </c>
      <c r="D8" s="1623">
        <v>53567</v>
      </c>
      <c r="E8" s="1623">
        <v>72057</v>
      </c>
      <c r="F8" s="1623">
        <v>306</v>
      </c>
      <c r="G8" s="1623"/>
      <c r="H8" s="1623"/>
      <c r="I8" s="1624"/>
      <c r="J8" s="1624"/>
      <c r="K8" s="1722">
        <f t="shared" si="0"/>
        <v>377214</v>
      </c>
      <c r="L8" s="1623">
        <v>381940</v>
      </c>
    </row>
    <row r="9" spans="1:14" x14ac:dyDescent="0.2">
      <c r="A9" s="1319" t="s">
        <v>716</v>
      </c>
      <c r="B9" s="503" t="s">
        <v>962</v>
      </c>
      <c r="C9" s="1624">
        <v>56209</v>
      </c>
      <c r="D9" s="1624">
        <v>11208</v>
      </c>
      <c r="E9" s="1624"/>
      <c r="F9" s="1624">
        <v>852</v>
      </c>
      <c r="G9" s="1624"/>
      <c r="H9" s="1624"/>
      <c r="I9" s="1624"/>
      <c r="J9" s="1624"/>
      <c r="K9" s="1722">
        <f t="shared" si="0"/>
        <v>68269</v>
      </c>
      <c r="L9" s="1623">
        <v>70474</v>
      </c>
    </row>
    <row r="10" spans="1:14" x14ac:dyDescent="0.2">
      <c r="A10" s="1319" t="s">
        <v>717</v>
      </c>
      <c r="B10" s="503">
        <v>1250</v>
      </c>
      <c r="C10" s="1623">
        <v>58192</v>
      </c>
      <c r="D10" s="1623">
        <v>8617</v>
      </c>
      <c r="E10" s="1623">
        <v>700</v>
      </c>
      <c r="F10" s="1623">
        <v>31230</v>
      </c>
      <c r="G10" s="1623"/>
      <c r="H10" s="1623"/>
      <c r="I10" s="1624"/>
      <c r="J10" s="1624"/>
      <c r="K10" s="1722">
        <f t="shared" si="0"/>
        <v>98739</v>
      </c>
      <c r="L10" s="1623">
        <v>101088</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98949</v>
      </c>
      <c r="D13" s="1623">
        <v>22571</v>
      </c>
      <c r="E13" s="1623">
        <v>2450</v>
      </c>
      <c r="F13" s="1623">
        <v>11487</v>
      </c>
      <c r="G13" s="1623"/>
      <c r="H13" s="1623"/>
      <c r="I13" s="1624"/>
      <c r="J13" s="1624"/>
      <c r="K13" s="1722">
        <f t="shared" si="0"/>
        <v>135457</v>
      </c>
      <c r="L13" s="1623">
        <v>139483</v>
      </c>
    </row>
    <row r="14" spans="1:14" x14ac:dyDescent="0.2">
      <c r="A14" s="1319" t="s">
        <v>957</v>
      </c>
      <c r="B14" s="503">
        <v>1500</v>
      </c>
      <c r="C14" s="1623">
        <v>163725</v>
      </c>
      <c r="D14" s="1623">
        <v>17637</v>
      </c>
      <c r="E14" s="1623">
        <v>20312</v>
      </c>
      <c r="F14" s="1623">
        <v>10139</v>
      </c>
      <c r="G14" s="1623">
        <v>5375</v>
      </c>
      <c r="H14" s="1623">
        <v>21878</v>
      </c>
      <c r="I14" s="1624"/>
      <c r="J14" s="1624"/>
      <c r="K14" s="1722">
        <f t="shared" si="0"/>
        <v>239066</v>
      </c>
      <c r="L14" s="1623">
        <v>242307</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95" customHeight="1" x14ac:dyDescent="0.2">
      <c r="A24" s="1320" t="s">
        <v>737</v>
      </c>
      <c r="B24" s="494" t="s">
        <v>724</v>
      </c>
      <c r="C24" s="1632"/>
      <c r="D24" s="1632"/>
      <c r="E24" s="1632"/>
      <c r="F24" s="1632"/>
      <c r="G24" s="1632"/>
      <c r="H24" s="1629"/>
      <c r="I24" s="1723"/>
      <c r="J24" s="1632"/>
      <c r="K24" s="1722">
        <f t="shared" si="0"/>
        <v>0</v>
      </c>
      <c r="L24" s="1627"/>
    </row>
    <row r="25" spans="1:12" ht="12.9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95" customHeight="1" thickBot="1" x14ac:dyDescent="0.25">
      <c r="A33" s="1429" t="s">
        <v>1652</v>
      </c>
      <c r="B33" s="1430" t="s">
        <v>566</v>
      </c>
      <c r="C33" s="1724">
        <f>SUM(C5:C32)</f>
        <v>2114386</v>
      </c>
      <c r="D33" s="1724">
        <f t="shared" ref="D33:L33" si="1">SUM(D5:D32)</f>
        <v>450008</v>
      </c>
      <c r="E33" s="1724">
        <f t="shared" si="1"/>
        <v>101247</v>
      </c>
      <c r="F33" s="1724">
        <f t="shared" si="1"/>
        <v>157866</v>
      </c>
      <c r="G33" s="1724">
        <f t="shared" si="1"/>
        <v>5375</v>
      </c>
      <c r="H33" s="1724">
        <f t="shared" si="1"/>
        <v>22278</v>
      </c>
      <c r="I33" s="1724">
        <f t="shared" si="1"/>
        <v>0</v>
      </c>
      <c r="J33" s="1724">
        <f t="shared" si="1"/>
        <v>0</v>
      </c>
      <c r="K33" s="1724">
        <f t="shared" si="1"/>
        <v>2851160</v>
      </c>
      <c r="L33" s="1724">
        <f t="shared" si="1"/>
        <v>2903249</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50124</v>
      </c>
      <c r="D37" s="1623">
        <v>11696</v>
      </c>
      <c r="E37" s="1623">
        <v>271</v>
      </c>
      <c r="F37" s="1623">
        <v>148</v>
      </c>
      <c r="G37" s="1623"/>
      <c r="H37" s="1623"/>
      <c r="I37" s="1624"/>
      <c r="J37" s="1624"/>
      <c r="K37" s="1722">
        <f t="shared" si="2"/>
        <v>62239</v>
      </c>
      <c r="L37" s="1623">
        <v>64811</v>
      </c>
    </row>
    <row r="38" spans="1:14" x14ac:dyDescent="0.2">
      <c r="A38" s="1319" t="s">
        <v>196</v>
      </c>
      <c r="B38" s="503">
        <v>2130</v>
      </c>
      <c r="C38" s="1623">
        <v>10822</v>
      </c>
      <c r="D38" s="1623"/>
      <c r="E38" s="1623"/>
      <c r="F38" s="1623">
        <v>318</v>
      </c>
      <c r="G38" s="1623"/>
      <c r="H38" s="1623"/>
      <c r="I38" s="1624"/>
      <c r="J38" s="1624"/>
      <c r="K38" s="1722">
        <f t="shared" si="2"/>
        <v>11140</v>
      </c>
      <c r="L38" s="1623">
        <v>11785</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95" customHeight="1" thickBot="1" x14ac:dyDescent="0.25">
      <c r="A42" s="1429" t="s">
        <v>556</v>
      </c>
      <c r="B42" s="1430" t="s">
        <v>711</v>
      </c>
      <c r="C42" s="1724">
        <f>SUM(C36:C41)</f>
        <v>60946</v>
      </c>
      <c r="D42" s="1724">
        <f t="shared" ref="D42:L42" si="3">SUM(D36:D41)</f>
        <v>11696</v>
      </c>
      <c r="E42" s="1724">
        <f t="shared" si="3"/>
        <v>271</v>
      </c>
      <c r="F42" s="1724">
        <f t="shared" si="3"/>
        <v>466</v>
      </c>
      <c r="G42" s="1724">
        <f t="shared" si="3"/>
        <v>0</v>
      </c>
      <c r="H42" s="1724">
        <f t="shared" si="3"/>
        <v>0</v>
      </c>
      <c r="I42" s="1724">
        <f t="shared" si="3"/>
        <v>0</v>
      </c>
      <c r="J42" s="1724">
        <f t="shared" si="3"/>
        <v>0</v>
      </c>
      <c r="K42" s="1724">
        <f t="shared" si="3"/>
        <v>73379</v>
      </c>
      <c r="L42" s="1724">
        <f t="shared" si="3"/>
        <v>76596</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48390</v>
      </c>
      <c r="D44" s="1636">
        <v>9771</v>
      </c>
      <c r="E44" s="1636">
        <v>19116</v>
      </c>
      <c r="F44" s="1636"/>
      <c r="G44" s="1636">
        <v>28120</v>
      </c>
      <c r="H44" s="1636"/>
      <c r="I44" s="1624"/>
      <c r="J44" s="1624"/>
      <c r="K44" s="1728">
        <f>SUM(C44:J44)</f>
        <v>105397</v>
      </c>
      <c r="L44" s="1636">
        <v>106414</v>
      </c>
    </row>
    <row r="45" spans="1:14" x14ac:dyDescent="0.2">
      <c r="A45" s="1319" t="s">
        <v>810</v>
      </c>
      <c r="B45" s="503">
        <v>2220</v>
      </c>
      <c r="C45" s="1623">
        <v>52169</v>
      </c>
      <c r="D45" s="1623">
        <v>12404</v>
      </c>
      <c r="E45" s="1623">
        <v>200</v>
      </c>
      <c r="F45" s="1623">
        <v>2693</v>
      </c>
      <c r="G45" s="1623"/>
      <c r="H45" s="1623"/>
      <c r="I45" s="1624"/>
      <c r="J45" s="1624"/>
      <c r="K45" s="1728">
        <f>SUM(C45:J45)</f>
        <v>67466</v>
      </c>
      <c r="L45" s="1623">
        <v>68924</v>
      </c>
    </row>
    <row r="46" spans="1:14" x14ac:dyDescent="0.2">
      <c r="A46" s="1319" t="s">
        <v>811</v>
      </c>
      <c r="B46" s="503">
        <v>2230</v>
      </c>
      <c r="C46" s="1623"/>
      <c r="D46" s="1623"/>
      <c r="E46" s="1623"/>
      <c r="F46" s="1623"/>
      <c r="G46" s="1623"/>
      <c r="H46" s="1623"/>
      <c r="I46" s="1624"/>
      <c r="J46" s="1624"/>
      <c r="K46" s="1728">
        <f>SUM(C46:J46)</f>
        <v>0</v>
      </c>
      <c r="L46" s="1623"/>
    </row>
    <row r="47" spans="1:14" ht="12.95" customHeight="1" thickBot="1" x14ac:dyDescent="0.25">
      <c r="A47" s="1429" t="s">
        <v>557</v>
      </c>
      <c r="B47" s="1430" t="s">
        <v>32</v>
      </c>
      <c r="C47" s="1724">
        <f>SUM(C44:C46)</f>
        <v>100559</v>
      </c>
      <c r="D47" s="1724">
        <f t="shared" ref="D47:K47" si="4">SUM(D44:D46)</f>
        <v>22175</v>
      </c>
      <c r="E47" s="1724">
        <f t="shared" si="4"/>
        <v>19316</v>
      </c>
      <c r="F47" s="1724">
        <f t="shared" si="4"/>
        <v>2693</v>
      </c>
      <c r="G47" s="1724">
        <f t="shared" si="4"/>
        <v>28120</v>
      </c>
      <c r="H47" s="1724">
        <f t="shared" si="4"/>
        <v>0</v>
      </c>
      <c r="I47" s="1724">
        <f t="shared" si="4"/>
        <v>0</v>
      </c>
      <c r="J47" s="1724">
        <f t="shared" si="4"/>
        <v>0</v>
      </c>
      <c r="K47" s="1724">
        <f t="shared" si="4"/>
        <v>172863</v>
      </c>
      <c r="L47" s="1724">
        <f>SUM(L44:L46)</f>
        <v>175338</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783</v>
      </c>
      <c r="D49" s="1636"/>
      <c r="E49" s="1636">
        <v>53607</v>
      </c>
      <c r="F49" s="1636">
        <v>204</v>
      </c>
      <c r="G49" s="1636"/>
      <c r="H49" s="1636">
        <v>3161</v>
      </c>
      <c r="I49" s="1624"/>
      <c r="J49" s="1624"/>
      <c r="K49" s="1728">
        <f>SUM(C49:J49)</f>
        <v>57755</v>
      </c>
      <c r="L49" s="1636">
        <v>60373</v>
      </c>
    </row>
    <row r="50" spans="1:14" x14ac:dyDescent="0.2">
      <c r="A50" s="1319" t="s">
        <v>813</v>
      </c>
      <c r="B50" s="503">
        <v>2320</v>
      </c>
      <c r="C50" s="1623">
        <v>41406</v>
      </c>
      <c r="D50" s="1623">
        <v>2521</v>
      </c>
      <c r="E50" s="1623">
        <v>1050</v>
      </c>
      <c r="F50" s="1623">
        <v>342</v>
      </c>
      <c r="G50" s="1623"/>
      <c r="H50" s="1623">
        <v>350</v>
      </c>
      <c r="I50" s="1624"/>
      <c r="J50" s="1624"/>
      <c r="K50" s="1728">
        <f>SUM(C50:J50)</f>
        <v>45669</v>
      </c>
      <c r="L50" s="1623">
        <v>60482</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95" customHeight="1" thickBot="1" x14ac:dyDescent="0.25">
      <c r="A53" s="1429" t="s">
        <v>712</v>
      </c>
      <c r="B53" s="1430" t="s">
        <v>33</v>
      </c>
      <c r="C53" s="1724">
        <f>SUM(C49:C52)</f>
        <v>42189</v>
      </c>
      <c r="D53" s="1724">
        <f t="shared" ref="D53:L53" si="5">SUM(D49:D52)</f>
        <v>2521</v>
      </c>
      <c r="E53" s="1724">
        <f t="shared" si="5"/>
        <v>54657</v>
      </c>
      <c r="F53" s="1724">
        <f t="shared" si="5"/>
        <v>546</v>
      </c>
      <c r="G53" s="1724">
        <f t="shared" si="5"/>
        <v>0</v>
      </c>
      <c r="H53" s="1724">
        <f t="shared" si="5"/>
        <v>3511</v>
      </c>
      <c r="I53" s="1724">
        <f t="shared" si="5"/>
        <v>0</v>
      </c>
      <c r="J53" s="1724">
        <f t="shared" si="5"/>
        <v>0</v>
      </c>
      <c r="K53" s="1724">
        <f t="shared" si="5"/>
        <v>103424</v>
      </c>
      <c r="L53" s="1724">
        <f t="shared" si="5"/>
        <v>120855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190825</v>
      </c>
      <c r="D55" s="1636">
        <v>43227</v>
      </c>
      <c r="E55" s="1636">
        <v>1805</v>
      </c>
      <c r="F55" s="1636">
        <v>753</v>
      </c>
      <c r="G55" s="1636"/>
      <c r="H55" s="1636">
        <v>1017</v>
      </c>
      <c r="I55" s="1624"/>
      <c r="J55" s="1624"/>
      <c r="K55" s="1728">
        <f>SUM(C55:J55)</f>
        <v>237627</v>
      </c>
      <c r="L55" s="1636">
        <v>241011</v>
      </c>
    </row>
    <row r="56" spans="1:14" ht="12.95" customHeight="1" x14ac:dyDescent="0.2">
      <c r="A56" s="1323" t="s">
        <v>373</v>
      </c>
      <c r="B56" s="512">
        <v>2490</v>
      </c>
      <c r="C56" s="1623"/>
      <c r="D56" s="1623"/>
      <c r="E56" s="1623"/>
      <c r="F56" s="1623"/>
      <c r="G56" s="1623"/>
      <c r="H56" s="1623"/>
      <c r="I56" s="1624"/>
      <c r="J56" s="1624"/>
      <c r="K56" s="1728">
        <f>SUM(C56:J56)</f>
        <v>0</v>
      </c>
      <c r="L56" s="1623"/>
    </row>
    <row r="57" spans="1:14" s="321" customFormat="1" ht="12.95" customHeight="1" thickBot="1" x14ac:dyDescent="0.25">
      <c r="A57" s="1429" t="s">
        <v>261</v>
      </c>
      <c r="B57" s="1431" t="s">
        <v>34</v>
      </c>
      <c r="C57" s="1729">
        <f>SUM(C55:C56)</f>
        <v>190825</v>
      </c>
      <c r="D57" s="1729">
        <f t="shared" ref="D57:K57" si="6">SUM(D55:D56)</f>
        <v>43227</v>
      </c>
      <c r="E57" s="1729">
        <f t="shared" si="6"/>
        <v>1805</v>
      </c>
      <c r="F57" s="1729">
        <f t="shared" si="6"/>
        <v>753</v>
      </c>
      <c r="G57" s="1729">
        <f t="shared" si="6"/>
        <v>0</v>
      </c>
      <c r="H57" s="1729">
        <f t="shared" si="6"/>
        <v>1017</v>
      </c>
      <c r="I57" s="1729">
        <f t="shared" si="6"/>
        <v>0</v>
      </c>
      <c r="J57" s="1729">
        <f t="shared" si="6"/>
        <v>0</v>
      </c>
      <c r="K57" s="1729">
        <f t="shared" si="6"/>
        <v>237627</v>
      </c>
      <c r="L57" s="1724">
        <f>SUM(L55:L56)</f>
        <v>241011</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49641</v>
      </c>
      <c r="D60" s="1623">
        <v>6627</v>
      </c>
      <c r="E60" s="1623">
        <v>1710</v>
      </c>
      <c r="F60" s="1623">
        <v>14005</v>
      </c>
      <c r="G60" s="1623"/>
      <c r="H60" s="1623"/>
      <c r="I60" s="1624"/>
      <c r="J60" s="1624"/>
      <c r="K60" s="1728">
        <f t="shared" si="7"/>
        <v>71983</v>
      </c>
      <c r="L60" s="1623">
        <v>72676</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52335</v>
      </c>
      <c r="D63" s="1623">
        <v>3891</v>
      </c>
      <c r="E63" s="1623">
        <v>3628</v>
      </c>
      <c r="F63" s="1623">
        <v>63154</v>
      </c>
      <c r="G63" s="1623"/>
      <c r="H63" s="1623"/>
      <c r="I63" s="1624"/>
      <c r="J63" s="1624"/>
      <c r="K63" s="1728">
        <f t="shared" si="7"/>
        <v>123008</v>
      </c>
      <c r="L63" s="1623">
        <v>130966</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95" customHeight="1" thickBot="1" x14ac:dyDescent="0.25">
      <c r="A65" s="1429" t="s">
        <v>714</v>
      </c>
      <c r="B65" s="1430" t="s">
        <v>35</v>
      </c>
      <c r="C65" s="1724">
        <f>SUM(C59:C64)</f>
        <v>101976</v>
      </c>
      <c r="D65" s="1724">
        <f t="shared" ref="D65:L65" si="8">SUM(D59:D64)</f>
        <v>10518</v>
      </c>
      <c r="E65" s="1724">
        <f t="shared" si="8"/>
        <v>5338</v>
      </c>
      <c r="F65" s="1724">
        <f t="shared" si="8"/>
        <v>77159</v>
      </c>
      <c r="G65" s="1724">
        <f t="shared" si="8"/>
        <v>0</v>
      </c>
      <c r="H65" s="1724">
        <f t="shared" si="8"/>
        <v>0</v>
      </c>
      <c r="I65" s="1724">
        <f t="shared" si="8"/>
        <v>0</v>
      </c>
      <c r="J65" s="1724">
        <f t="shared" si="8"/>
        <v>0</v>
      </c>
      <c r="K65" s="1724">
        <f t="shared" si="8"/>
        <v>194991</v>
      </c>
      <c r="L65" s="1724">
        <f t="shared" si="8"/>
        <v>203642</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v>29396</v>
      </c>
      <c r="F69" s="1623"/>
      <c r="G69" s="1623"/>
      <c r="H69" s="1623"/>
      <c r="I69" s="1624"/>
      <c r="J69" s="1624"/>
      <c r="K69" s="1728">
        <f>SUM(C69:J69)</f>
        <v>29396</v>
      </c>
      <c r="L69" s="1623">
        <v>29527</v>
      </c>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v>58608</v>
      </c>
      <c r="D71" s="1623">
        <v>6790</v>
      </c>
      <c r="E71" s="1623">
        <v>11438</v>
      </c>
      <c r="F71" s="1623">
        <v>40678</v>
      </c>
      <c r="G71" s="1623"/>
      <c r="H71" s="1623"/>
      <c r="I71" s="1624"/>
      <c r="J71" s="1624"/>
      <c r="K71" s="1728">
        <f>SUM(C71:J71)</f>
        <v>117514</v>
      </c>
      <c r="L71" s="1623">
        <v>117971</v>
      </c>
      <c r="M71" s="501"/>
      <c r="N71" s="501"/>
    </row>
    <row r="72" spans="1:14" s="321" customFormat="1" ht="12.95" customHeight="1" thickBot="1" x14ac:dyDescent="0.25">
      <c r="A72" s="1429" t="s">
        <v>37</v>
      </c>
      <c r="B72" s="1432" t="s">
        <v>36</v>
      </c>
      <c r="C72" s="1724">
        <f>SUM(C67:C71)</f>
        <v>58608</v>
      </c>
      <c r="D72" s="1724">
        <f t="shared" ref="D72:K72" si="9">SUM(D67:D71)</f>
        <v>6790</v>
      </c>
      <c r="E72" s="1724">
        <f t="shared" si="9"/>
        <v>40834</v>
      </c>
      <c r="F72" s="1724">
        <f t="shared" si="9"/>
        <v>40678</v>
      </c>
      <c r="G72" s="1724">
        <f t="shared" si="9"/>
        <v>0</v>
      </c>
      <c r="H72" s="1724">
        <f t="shared" si="9"/>
        <v>0</v>
      </c>
      <c r="I72" s="1724">
        <f t="shared" si="9"/>
        <v>0</v>
      </c>
      <c r="J72" s="1724">
        <f t="shared" si="9"/>
        <v>0</v>
      </c>
      <c r="K72" s="1724">
        <f t="shared" si="9"/>
        <v>146910</v>
      </c>
      <c r="L72" s="1724">
        <f>SUM(L67:L71)</f>
        <v>147498</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95" customHeight="1" thickTop="1" thickBot="1" x14ac:dyDescent="0.25">
      <c r="A74" s="1429" t="s">
        <v>806</v>
      </c>
      <c r="B74" s="1433">
        <v>2000</v>
      </c>
      <c r="C74" s="1731">
        <f>SUM(C42,C47,C53,C57,C65,C72,C73)</f>
        <v>555103</v>
      </c>
      <c r="D74" s="1731">
        <f t="shared" ref="D74:K74" si="10">SUM(D42,D47,D53,D57,D65,D72,D73)</f>
        <v>96927</v>
      </c>
      <c r="E74" s="1731">
        <f t="shared" si="10"/>
        <v>122221</v>
      </c>
      <c r="F74" s="1731">
        <f t="shared" si="10"/>
        <v>122295</v>
      </c>
      <c r="G74" s="1731">
        <f t="shared" si="10"/>
        <v>28120</v>
      </c>
      <c r="H74" s="1731">
        <f t="shared" si="10"/>
        <v>4528</v>
      </c>
      <c r="I74" s="1731">
        <f t="shared" si="10"/>
        <v>0</v>
      </c>
      <c r="J74" s="1731">
        <f t="shared" si="10"/>
        <v>0</v>
      </c>
      <c r="K74" s="1731">
        <f t="shared" si="10"/>
        <v>929194</v>
      </c>
      <c r="L74" s="1731">
        <f>SUM(L42,L47,L53,L57,L65,L72,L73)</f>
        <v>964940</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161329</v>
      </c>
      <c r="F79" s="1723"/>
      <c r="G79" s="1723"/>
      <c r="H79" s="1623"/>
      <c r="I79" s="1632"/>
      <c r="J79" s="1632"/>
      <c r="K79" s="1722">
        <f t="shared" si="11"/>
        <v>161329</v>
      </c>
      <c r="L79" s="1623">
        <v>225565</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v>27582</v>
      </c>
      <c r="F81" s="1723"/>
      <c r="G81" s="1723"/>
      <c r="H81" s="1623"/>
      <c r="I81" s="1632"/>
      <c r="J81" s="1632"/>
      <c r="K81" s="1722">
        <f t="shared" si="11"/>
        <v>27582</v>
      </c>
      <c r="L81" s="1623">
        <v>28651</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188911</v>
      </c>
      <c r="F84" s="1723"/>
      <c r="G84" s="1723"/>
      <c r="H84" s="1724">
        <f>SUM(H78:H83)</f>
        <v>0</v>
      </c>
      <c r="I84" s="1632"/>
      <c r="J84" s="1632"/>
      <c r="K84" s="1724">
        <f>SUM(K78:K83)</f>
        <v>188911</v>
      </c>
      <c r="L84" s="1724">
        <f>SUM(L78:L83)</f>
        <v>254216</v>
      </c>
    </row>
    <row r="85" spans="1:12" ht="12.95" customHeight="1" thickTop="1" thickBot="1" x14ac:dyDescent="0.25">
      <c r="A85" s="1326" t="s">
        <v>253</v>
      </c>
      <c r="B85" s="517">
        <v>4210</v>
      </c>
      <c r="C85" s="1723"/>
      <c r="D85" s="1723"/>
      <c r="E85" s="1733"/>
      <c r="F85" s="1723"/>
      <c r="G85" s="1723"/>
      <c r="H85" s="1680"/>
      <c r="I85" s="1632"/>
      <c r="J85" s="1632"/>
      <c r="K85" s="1731">
        <f>H85</f>
        <v>0</v>
      </c>
      <c r="L85" s="1676"/>
    </row>
    <row r="86" spans="1:12" ht="12.9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95" customHeight="1" thickTop="1" thickBot="1" x14ac:dyDescent="0.25">
      <c r="A88" s="1328" t="s">
        <v>760</v>
      </c>
      <c r="B88" s="519">
        <v>4240</v>
      </c>
      <c r="C88" s="1723"/>
      <c r="D88" s="1723"/>
      <c r="E88" s="1734"/>
      <c r="F88" s="1723"/>
      <c r="G88" s="1723"/>
      <c r="H88" s="1624"/>
      <c r="I88" s="1632"/>
      <c r="J88" s="1632"/>
      <c r="K88" s="1731">
        <f t="shared" si="12"/>
        <v>0</v>
      </c>
      <c r="L88" s="1676"/>
    </row>
    <row r="89" spans="1:12" ht="12.95" customHeight="1" thickTop="1" thickBot="1" x14ac:dyDescent="0.25">
      <c r="A89" s="1328" t="s">
        <v>696</v>
      </c>
      <c r="B89" s="519">
        <v>4270</v>
      </c>
      <c r="C89" s="1723"/>
      <c r="D89" s="1723"/>
      <c r="E89" s="1734"/>
      <c r="F89" s="1723"/>
      <c r="G89" s="1723"/>
      <c r="H89" s="1624"/>
      <c r="I89" s="1632"/>
      <c r="J89" s="1632"/>
      <c r="K89" s="1731">
        <f t="shared" si="12"/>
        <v>0</v>
      </c>
      <c r="L89" s="1676"/>
    </row>
    <row r="90" spans="1:12" ht="12.95" customHeight="1" thickTop="1" thickBot="1" x14ac:dyDescent="0.25">
      <c r="A90" s="1328" t="s">
        <v>681</v>
      </c>
      <c r="B90" s="519">
        <v>4280</v>
      </c>
      <c r="C90" s="1723"/>
      <c r="D90" s="1723"/>
      <c r="E90" s="1734"/>
      <c r="F90" s="1723"/>
      <c r="G90" s="1723"/>
      <c r="H90" s="1624"/>
      <c r="I90" s="1632"/>
      <c r="J90" s="1632"/>
      <c r="K90" s="1731">
        <f t="shared" si="12"/>
        <v>0</v>
      </c>
      <c r="L90" s="1676"/>
    </row>
    <row r="91" spans="1:12" ht="12.9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9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9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95" customHeight="1" thickTop="1" thickBot="1" x14ac:dyDescent="0.25">
      <c r="A102" s="1429" t="s">
        <v>1473</v>
      </c>
      <c r="B102" s="1434">
        <v>4000</v>
      </c>
      <c r="C102" s="1723"/>
      <c r="D102" s="1723"/>
      <c r="E102" s="1731">
        <f>SUM(E84,E92,E100,E101)</f>
        <v>188911</v>
      </c>
      <c r="F102" s="1723"/>
      <c r="G102" s="1723"/>
      <c r="H102" s="1731">
        <f>SUM(H84,H92,H100,H101)</f>
        <v>0</v>
      </c>
      <c r="I102" s="1632"/>
      <c r="J102" s="1632"/>
      <c r="K102" s="1731">
        <f>SUM(K84,K92,K100,K101)</f>
        <v>188911</v>
      </c>
      <c r="L102" s="1731">
        <f>SUM(L84,L92,L100,L101)</f>
        <v>254216</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95" customHeight="1" thickTop="1" thickBot="1" x14ac:dyDescent="0.25">
      <c r="A114" s="1429" t="s">
        <v>48</v>
      </c>
      <c r="B114" s="1437"/>
      <c r="C114" s="1724">
        <f>SUM(C33,C74,C75,C102,C112,C113)</f>
        <v>2669489</v>
      </c>
      <c r="D114" s="1724">
        <f t="shared" ref="D114:K114" si="13">SUM(D33,D74,D75,D102,D112,D113)</f>
        <v>546935</v>
      </c>
      <c r="E114" s="1724">
        <f t="shared" si="13"/>
        <v>412379</v>
      </c>
      <c r="F114" s="1724">
        <f t="shared" si="13"/>
        <v>280161</v>
      </c>
      <c r="G114" s="1724">
        <f t="shared" si="13"/>
        <v>33495</v>
      </c>
      <c r="H114" s="1724">
        <f>SUM(H33,H74,H75,H102,H112,H113)</f>
        <v>26806</v>
      </c>
      <c r="I114" s="1724">
        <f t="shared" si="13"/>
        <v>0</v>
      </c>
      <c r="J114" s="1724">
        <f t="shared" si="13"/>
        <v>0</v>
      </c>
      <c r="K114" s="1724">
        <f t="shared" si="13"/>
        <v>3969265</v>
      </c>
      <c r="L114" s="1724">
        <f>SUM(L33,L74,L75,L102,L112,L113)</f>
        <v>4122405</v>
      </c>
    </row>
    <row r="115" spans="1:14" ht="13.5" thickTop="1" x14ac:dyDescent="0.2">
      <c r="A115" s="2239" t="s">
        <v>989</v>
      </c>
      <c r="B115" s="2240"/>
      <c r="C115" s="1725"/>
      <c r="D115" s="1725"/>
      <c r="E115" s="1725"/>
      <c r="F115" s="1725"/>
      <c r="G115" s="1725"/>
      <c r="H115" s="1725"/>
      <c r="I115" s="1725"/>
      <c r="J115" s="1725"/>
      <c r="K115" s="1739">
        <f>'Revenues 9-14'!C268-'Expenditures 15-22'!K114</f>
        <v>346429</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7" t="s">
        <v>293</v>
      </c>
      <c r="B117" s="221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123332</v>
      </c>
      <c r="D124" s="1623">
        <v>24314</v>
      </c>
      <c r="E124" s="1623">
        <v>149519</v>
      </c>
      <c r="F124" s="1623">
        <v>135745</v>
      </c>
      <c r="G124" s="1623">
        <v>381669</v>
      </c>
      <c r="H124" s="1623">
        <v>75</v>
      </c>
      <c r="I124" s="1624"/>
      <c r="J124" s="1624"/>
      <c r="K124" s="1724">
        <f>SUM(C124:J124)</f>
        <v>814654</v>
      </c>
      <c r="L124" s="1623">
        <v>813710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95" customHeight="1" thickTop="1" thickBot="1" x14ac:dyDescent="0.25">
      <c r="A127" s="1429" t="s">
        <v>714</v>
      </c>
      <c r="B127" s="1430" t="s">
        <v>35</v>
      </c>
      <c r="C127" s="1724">
        <f>SUM(C122:C126)</f>
        <v>123332</v>
      </c>
      <c r="D127" s="1724">
        <f t="shared" ref="D127:L127" si="14">SUM(D122:D126)</f>
        <v>24314</v>
      </c>
      <c r="E127" s="1724">
        <f t="shared" si="14"/>
        <v>149519</v>
      </c>
      <c r="F127" s="1724">
        <f t="shared" si="14"/>
        <v>135745</v>
      </c>
      <c r="G127" s="1724">
        <f t="shared" si="14"/>
        <v>381669</v>
      </c>
      <c r="H127" s="1724">
        <f t="shared" si="14"/>
        <v>75</v>
      </c>
      <c r="I127" s="1724">
        <f t="shared" si="14"/>
        <v>0</v>
      </c>
      <c r="J127" s="1724">
        <f t="shared" si="14"/>
        <v>0</v>
      </c>
      <c r="K127" s="1724">
        <f t="shared" si="14"/>
        <v>814654</v>
      </c>
      <c r="L127" s="1724">
        <f t="shared" si="14"/>
        <v>813710</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row>
    <row r="129" spans="1:14" ht="12.95" customHeight="1" thickBot="1" x14ac:dyDescent="0.25">
      <c r="A129" s="1438" t="s">
        <v>806</v>
      </c>
      <c r="B129" s="1439" t="s">
        <v>565</v>
      </c>
      <c r="C129" s="1731">
        <f>SUM(C120,C127,C128)</f>
        <v>123332</v>
      </c>
      <c r="D129" s="1731">
        <f t="shared" ref="D129:L129" si="15">SUM(D120,D127,D128)</f>
        <v>24314</v>
      </c>
      <c r="E129" s="1731">
        <f t="shared" si="15"/>
        <v>149519</v>
      </c>
      <c r="F129" s="1731">
        <f t="shared" si="15"/>
        <v>135745</v>
      </c>
      <c r="G129" s="1731">
        <f t="shared" si="15"/>
        <v>381669</v>
      </c>
      <c r="H129" s="1731">
        <f t="shared" si="15"/>
        <v>75</v>
      </c>
      <c r="I129" s="1731">
        <f t="shared" si="15"/>
        <v>0</v>
      </c>
      <c r="J129" s="1731">
        <f t="shared" si="15"/>
        <v>0</v>
      </c>
      <c r="K129" s="1731">
        <f t="shared" si="15"/>
        <v>814654</v>
      </c>
      <c r="L129" s="1731">
        <f t="shared" si="15"/>
        <v>813710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v>4509</v>
      </c>
      <c r="I135" s="1632"/>
      <c r="J135" s="1723"/>
      <c r="K135" s="1728">
        <f>SUM(E135,H135)</f>
        <v>4509</v>
      </c>
      <c r="L135" s="1623">
        <v>4510</v>
      </c>
    </row>
    <row r="136" spans="1:14" x14ac:dyDescent="0.2">
      <c r="A136" s="1323" t="s">
        <v>693</v>
      </c>
      <c r="B136" s="512">
        <v>4190</v>
      </c>
      <c r="C136" s="1723"/>
      <c r="D136" s="1723"/>
      <c r="E136" s="1624"/>
      <c r="F136" s="1723"/>
      <c r="G136" s="1723"/>
      <c r="H136" s="1623"/>
      <c r="I136" s="1632"/>
      <c r="J136" s="1723"/>
      <c r="K136" s="1728">
        <f>SUM(E136,H136)</f>
        <v>0</v>
      </c>
      <c r="L136" s="1623"/>
    </row>
    <row r="137" spans="1:14" ht="12.95" customHeight="1" thickBot="1" x14ac:dyDescent="0.25">
      <c r="A137" s="1429" t="s">
        <v>477</v>
      </c>
      <c r="B137" s="1434">
        <v>4100</v>
      </c>
      <c r="C137" s="1723"/>
      <c r="D137" s="1723"/>
      <c r="E137" s="1724">
        <f>SUM(E133:E136)</f>
        <v>0</v>
      </c>
      <c r="F137" s="1723"/>
      <c r="G137" s="1723"/>
      <c r="H137" s="1724">
        <f>SUM(H133:H136)</f>
        <v>4509</v>
      </c>
      <c r="I137" s="1632"/>
      <c r="J137" s="1723"/>
      <c r="K137" s="1724">
        <f>SUM(K133:K136)</f>
        <v>4509</v>
      </c>
      <c r="L137" s="1724">
        <f>SUM(L133:L136)</f>
        <v>4510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95" customHeight="1" thickTop="1" thickBot="1" x14ac:dyDescent="0.25">
      <c r="A139" s="1429" t="s">
        <v>1473</v>
      </c>
      <c r="B139" s="1434">
        <v>4000</v>
      </c>
      <c r="C139" s="1723"/>
      <c r="D139" s="1723"/>
      <c r="E139" s="1724">
        <f>SUM(E137,E138)</f>
        <v>0</v>
      </c>
      <c r="F139" s="1723"/>
      <c r="G139" s="1723"/>
      <c r="H139" s="1737">
        <f>SUM(H137:H138)</f>
        <v>4509</v>
      </c>
      <c r="I139" s="1632"/>
      <c r="J139" s="1723"/>
      <c r="K139" s="1728">
        <f>SUM(K137,K138)</f>
        <v>4509</v>
      </c>
      <c r="L139" s="1737">
        <f>SUM(L137,L138)</f>
        <v>4510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9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95" customHeight="1" x14ac:dyDescent="0.2">
      <c r="A146" s="1319" t="s">
        <v>615</v>
      </c>
      <c r="B146" s="503" t="s">
        <v>614</v>
      </c>
      <c r="C146" s="1723"/>
      <c r="D146" s="1723"/>
      <c r="E146" s="1723"/>
      <c r="F146" s="1723"/>
      <c r="G146" s="1723"/>
      <c r="H146" s="1623"/>
      <c r="I146" s="1625"/>
      <c r="J146" s="1723"/>
      <c r="K146" s="1728">
        <f>SUM(H146)</f>
        <v>0</v>
      </c>
      <c r="L146" s="1623"/>
    </row>
    <row r="147" spans="1:14" ht="12.9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9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95" customHeight="1" thickTop="1" thickBot="1" x14ac:dyDescent="0.25">
      <c r="A151" s="2229" t="s">
        <v>616</v>
      </c>
      <c r="B151" s="2211"/>
      <c r="C151" s="1724">
        <f>SUM(C129,C130,C139,C149,C150)</f>
        <v>123332</v>
      </c>
      <c r="D151" s="1724">
        <f t="shared" ref="D151:K151" si="16">SUM(D129,D130,D139,D149,D150)</f>
        <v>24314</v>
      </c>
      <c r="E151" s="1724">
        <f t="shared" si="16"/>
        <v>149519</v>
      </c>
      <c r="F151" s="1724">
        <f t="shared" si="16"/>
        <v>135745</v>
      </c>
      <c r="G151" s="1724">
        <f t="shared" si="16"/>
        <v>381669</v>
      </c>
      <c r="H151" s="1724">
        <f t="shared" si="16"/>
        <v>4584</v>
      </c>
      <c r="I151" s="1724">
        <f t="shared" si="16"/>
        <v>0</v>
      </c>
      <c r="J151" s="1724">
        <f t="shared" si="16"/>
        <v>0</v>
      </c>
      <c r="K151" s="1724">
        <f t="shared" si="16"/>
        <v>819163</v>
      </c>
      <c r="L151" s="1724">
        <f>SUM(L129,L130,L139,L149,L150)</f>
        <v>818220</v>
      </c>
    </row>
    <row r="152" spans="1:14" ht="12.95" customHeight="1" thickTop="1" x14ac:dyDescent="0.2">
      <c r="A152" s="2232" t="s">
        <v>1170</v>
      </c>
      <c r="B152" s="2233"/>
      <c r="C152" s="1725"/>
      <c r="D152" s="1725"/>
      <c r="E152" s="1725"/>
      <c r="F152" s="1725"/>
      <c r="G152" s="1725"/>
      <c r="H152" s="1725"/>
      <c r="I152" s="1725"/>
      <c r="J152" s="1723"/>
      <c r="K152" s="1739">
        <f>'Revenues 9-14'!D268-'Expenditures 15-22'!K151</f>
        <v>-65669</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7" t="s">
        <v>617</v>
      </c>
      <c r="B154" s="221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9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9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377066</v>
      </c>
      <c r="I169" s="1723"/>
      <c r="J169" s="1723"/>
      <c r="K169" s="1722">
        <f>SUM(C169:H169)</f>
        <v>377066</v>
      </c>
      <c r="L169" s="1745">
        <v>377067</v>
      </c>
    </row>
    <row r="170" spans="1:14" ht="33.75" customHeight="1" x14ac:dyDescent="0.2">
      <c r="A170" s="543" t="s">
        <v>1654</v>
      </c>
      <c r="B170" s="545" t="s">
        <v>31</v>
      </c>
      <c r="C170" s="1723"/>
      <c r="D170" s="1723"/>
      <c r="E170" s="1723"/>
      <c r="F170" s="1723"/>
      <c r="G170" s="1723"/>
      <c r="H170" s="1696">
        <v>295000</v>
      </c>
      <c r="I170" s="1723"/>
      <c r="J170" s="1723"/>
      <c r="K170" s="1722">
        <f>SUM(C170:J170)</f>
        <v>295000</v>
      </c>
      <c r="L170" s="1696">
        <v>295000</v>
      </c>
    </row>
    <row r="171" spans="1:14" ht="15.75" customHeight="1" x14ac:dyDescent="0.2">
      <c r="A171" s="507" t="s">
        <v>761</v>
      </c>
      <c r="B171" s="546" t="s">
        <v>84</v>
      </c>
      <c r="C171" s="1723"/>
      <c r="D171" s="1723"/>
      <c r="E171" s="1623"/>
      <c r="F171" s="1723"/>
      <c r="G171" s="1723"/>
      <c r="H171" s="1696">
        <v>1000</v>
      </c>
      <c r="I171" s="1632"/>
      <c r="J171" s="1723"/>
      <c r="K171" s="1722">
        <f>SUM(C171:J171)</f>
        <v>1000</v>
      </c>
      <c r="L171" s="1696">
        <v>1000</v>
      </c>
    </row>
    <row r="172" spans="1:14" ht="12.95" customHeight="1" thickBot="1" x14ac:dyDescent="0.25">
      <c r="A172" s="1429" t="s">
        <v>633</v>
      </c>
      <c r="B172" s="1430" t="s">
        <v>489</v>
      </c>
      <c r="C172" s="1723"/>
      <c r="D172" s="1723"/>
      <c r="E172" s="1731">
        <f>SUM(E168,E169,E170,E171)</f>
        <v>0</v>
      </c>
      <c r="F172" s="1723"/>
      <c r="G172" s="1723"/>
      <c r="H172" s="1731">
        <f>SUM(H168,H169,H170,H171)</f>
        <v>673066</v>
      </c>
      <c r="I172" s="1734"/>
      <c r="J172" s="1723"/>
      <c r="K172" s="1731">
        <f>SUM(K168,K169,K170,K171)</f>
        <v>673066</v>
      </c>
      <c r="L172" s="1731">
        <f>SUM(L168,L169,L170,L171)</f>
        <v>673067</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95" customHeight="1" thickTop="1" thickBot="1" x14ac:dyDescent="0.25">
      <c r="A174" s="1440" t="s">
        <v>90</v>
      </c>
      <c r="B174" s="1441"/>
      <c r="C174" s="1723"/>
      <c r="D174" s="1723"/>
      <c r="E174" s="1731">
        <f>SUM(E172,E173)</f>
        <v>0</v>
      </c>
      <c r="F174" s="1723"/>
      <c r="G174" s="1723"/>
      <c r="H174" s="1731">
        <f>SUM(H160,H172,H173)</f>
        <v>673066</v>
      </c>
      <c r="I174" s="1734"/>
      <c r="J174" s="1723"/>
      <c r="K174" s="1731">
        <f>SUM(K160,K172,K173)</f>
        <v>673066</v>
      </c>
      <c r="L174" s="1731">
        <f>SUM(L160,L172,L173)</f>
        <v>673067</v>
      </c>
    </row>
    <row r="175" spans="1:14" ht="13.5" thickTop="1" x14ac:dyDescent="0.2">
      <c r="A175" s="2239" t="s">
        <v>989</v>
      </c>
      <c r="B175" s="2240"/>
      <c r="C175" s="1723"/>
      <c r="D175" s="1723"/>
      <c r="E175" s="1723"/>
      <c r="F175" s="1723"/>
      <c r="G175" s="1723"/>
      <c r="H175" s="1725"/>
      <c r="I175" s="1723"/>
      <c r="J175" s="1723"/>
      <c r="K175" s="1739">
        <f>'Revenues 9-14'!E268-'Expenditures 15-22'!K174</f>
        <v>-9263</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133753</v>
      </c>
      <c r="D182" s="1623">
        <v>11955</v>
      </c>
      <c r="E182" s="1623">
        <v>146730</v>
      </c>
      <c r="F182" s="1623">
        <v>45221</v>
      </c>
      <c r="G182" s="1623">
        <v>12137</v>
      </c>
      <c r="H182" s="1623">
        <v>378</v>
      </c>
      <c r="I182" s="1624"/>
      <c r="J182" s="1624"/>
      <c r="K182" s="1722">
        <f>SUM(C182:J182)</f>
        <v>350174</v>
      </c>
      <c r="L182" s="1623">
        <v>350300</v>
      </c>
    </row>
    <row r="183" spans="1:14" ht="12.95" customHeight="1" thickBot="1" x14ac:dyDescent="0.25">
      <c r="A183" s="1324" t="s">
        <v>973</v>
      </c>
      <c r="B183" s="551">
        <v>2900</v>
      </c>
      <c r="C183" s="1699"/>
      <c r="D183" s="1699"/>
      <c r="E183" s="1699"/>
      <c r="F183" s="1699"/>
      <c r="G183" s="1699"/>
      <c r="H183" s="1699"/>
      <c r="I183" s="1678"/>
      <c r="J183" s="1678"/>
      <c r="K183" s="1731">
        <f>SUM(C183:J183)</f>
        <v>0</v>
      </c>
      <c r="L183" s="1699"/>
    </row>
    <row r="184" spans="1:14" ht="12.95" customHeight="1" thickTop="1" thickBot="1" x14ac:dyDescent="0.25">
      <c r="A184" s="1442" t="s">
        <v>806</v>
      </c>
      <c r="B184" s="1430" t="s">
        <v>565</v>
      </c>
      <c r="C184" s="1731">
        <f>SUM(C180,C182,C183)</f>
        <v>133753</v>
      </c>
      <c r="D184" s="1731">
        <f t="shared" ref="D184:J184" si="17">SUM(D180,D182,D183)</f>
        <v>11955</v>
      </c>
      <c r="E184" s="1731">
        <f t="shared" si="17"/>
        <v>146730</v>
      </c>
      <c r="F184" s="1731">
        <f t="shared" si="17"/>
        <v>45221</v>
      </c>
      <c r="G184" s="1731">
        <f t="shared" si="17"/>
        <v>12137</v>
      </c>
      <c r="H184" s="1731">
        <f t="shared" si="17"/>
        <v>378</v>
      </c>
      <c r="I184" s="1731">
        <f t="shared" si="17"/>
        <v>0</v>
      </c>
      <c r="J184" s="1731">
        <f t="shared" si="17"/>
        <v>0</v>
      </c>
      <c r="K184" s="1731">
        <f>SUM(K180,K182,K183)</f>
        <v>350174</v>
      </c>
      <c r="L184" s="1731">
        <f>SUM(L180, L182:L183)</f>
        <v>350300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9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9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9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121</v>
      </c>
      <c r="I205" s="1723"/>
      <c r="J205" s="1723"/>
      <c r="K205" s="1746">
        <f>SUM(H205)</f>
        <v>121</v>
      </c>
      <c r="L205" s="1680"/>
    </row>
    <row r="206" spans="1:14" ht="30" customHeight="1" x14ac:dyDescent="0.2">
      <c r="A206" s="555" t="s">
        <v>1655</v>
      </c>
      <c r="B206" s="546" t="s">
        <v>31</v>
      </c>
      <c r="C206" s="1723"/>
      <c r="D206" s="1723"/>
      <c r="E206" s="1723"/>
      <c r="F206" s="1723"/>
      <c r="G206" s="1723"/>
      <c r="H206" s="1623">
        <v>4235</v>
      </c>
      <c r="I206" s="1723"/>
      <c r="J206" s="1723"/>
      <c r="K206" s="1722">
        <f>SUM(H206)</f>
        <v>4235</v>
      </c>
      <c r="L206" s="1623">
        <v>4356</v>
      </c>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95" customHeight="1" thickBot="1" x14ac:dyDescent="0.25">
      <c r="A208" s="1438" t="s">
        <v>633</v>
      </c>
      <c r="B208" s="1439" t="s">
        <v>489</v>
      </c>
      <c r="C208" s="1723"/>
      <c r="D208" s="1723"/>
      <c r="E208" s="1723"/>
      <c r="F208" s="1723"/>
      <c r="G208" s="1723"/>
      <c r="H208" s="1731">
        <f>SUM(H204,H205,H206,H207)</f>
        <v>4356</v>
      </c>
      <c r="I208" s="1723"/>
      <c r="J208" s="1723"/>
      <c r="K208" s="1731">
        <f>SUM(K204,K205,K206,K207)</f>
        <v>4356</v>
      </c>
      <c r="L208" s="1731">
        <f>SUM(L204,L205,L206,L207)</f>
        <v>4356</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95" customHeight="1" thickTop="1" thickBot="1" x14ac:dyDescent="0.25">
      <c r="A210" s="1443" t="s">
        <v>275</v>
      </c>
      <c r="B210" s="1444"/>
      <c r="C210" s="1724">
        <f>SUM(C184,C185)</f>
        <v>133753</v>
      </c>
      <c r="D210" s="1724">
        <f>SUM(D184,D185)</f>
        <v>11955</v>
      </c>
      <c r="E210" s="1724">
        <f>SUM(E184,E185,E196)</f>
        <v>146730</v>
      </c>
      <c r="F210" s="1724">
        <f>SUM(F184,F185)</f>
        <v>45221</v>
      </c>
      <c r="G210" s="1724">
        <f>SUM(G184,G185)</f>
        <v>12137</v>
      </c>
      <c r="H210" s="1724">
        <f>SUM(H184,H185,H196,H208,H209)</f>
        <v>4734</v>
      </c>
      <c r="I210" s="1724">
        <f>SUM(I184,I185)</f>
        <v>0</v>
      </c>
      <c r="J210" s="1724">
        <f>SUM(J184,J185)</f>
        <v>0</v>
      </c>
      <c r="K210" s="1722">
        <f>SUM(K184,K185,K196,K208,K209)</f>
        <v>354530</v>
      </c>
      <c r="L210" s="1724">
        <f>SUM(L184,L185,L196,L208,L209)</f>
        <v>354656</v>
      </c>
    </row>
    <row r="211" spans="1:14" ht="13.5" thickTop="1" x14ac:dyDescent="0.2">
      <c r="A211" s="2239" t="s">
        <v>989</v>
      </c>
      <c r="B211" s="2240"/>
      <c r="C211" s="1725"/>
      <c r="D211" s="1725"/>
      <c r="E211" s="1725"/>
      <c r="F211" s="1725"/>
      <c r="G211" s="1725"/>
      <c r="H211" s="1725"/>
      <c r="I211" s="1723"/>
      <c r="J211" s="1723"/>
      <c r="K211" s="1739">
        <f>'Revenues 9-14'!F268-'Expenditures 15-22'!K210</f>
        <v>17796</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4" t="s">
        <v>959</v>
      </c>
      <c r="B213" s="223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21820</v>
      </c>
      <c r="E215" s="1723"/>
      <c r="F215" s="1723"/>
      <c r="G215" s="1723"/>
      <c r="H215" s="1723"/>
      <c r="I215" s="1723"/>
      <c r="J215" s="1723"/>
      <c r="K215" s="1722">
        <f>D215</f>
        <v>21820</v>
      </c>
      <c r="L215" s="1623">
        <v>21822</v>
      </c>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v>15771</v>
      </c>
      <c r="E217" s="1723"/>
      <c r="F217" s="1723"/>
      <c r="G217" s="1723"/>
      <c r="H217" s="1723"/>
      <c r="I217" s="1723"/>
      <c r="J217" s="1723"/>
      <c r="K217" s="1722">
        <f t="shared" si="19"/>
        <v>15771</v>
      </c>
      <c r="L217" s="1623">
        <v>15775</v>
      </c>
    </row>
    <row r="218" spans="1:14" x14ac:dyDescent="0.2">
      <c r="A218" s="1319" t="s">
        <v>276</v>
      </c>
      <c r="B218" s="503" t="s">
        <v>962</v>
      </c>
      <c r="C218" s="1723"/>
      <c r="D218" s="1624">
        <v>1202</v>
      </c>
      <c r="E218" s="1723"/>
      <c r="F218" s="1723"/>
      <c r="G218" s="1723"/>
      <c r="H218" s="1723"/>
      <c r="I218" s="1723"/>
      <c r="J218" s="1723"/>
      <c r="K218" s="1722">
        <f t="shared" si="19"/>
        <v>1202</v>
      </c>
      <c r="L218" s="1623">
        <v>1204</v>
      </c>
    </row>
    <row r="219" spans="1:14" x14ac:dyDescent="0.2">
      <c r="A219" s="1319" t="s">
        <v>277</v>
      </c>
      <c r="B219" s="503">
        <v>1250</v>
      </c>
      <c r="C219" s="1723"/>
      <c r="D219" s="1623">
        <v>593</v>
      </c>
      <c r="E219" s="1723"/>
      <c r="F219" s="1723"/>
      <c r="G219" s="1723"/>
      <c r="H219" s="1723"/>
      <c r="I219" s="1723"/>
      <c r="J219" s="1723"/>
      <c r="K219" s="1722">
        <f t="shared" si="19"/>
        <v>593</v>
      </c>
      <c r="L219" s="1623">
        <v>593</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1400</v>
      </c>
      <c r="E222" s="1723"/>
      <c r="F222" s="1723"/>
      <c r="G222" s="1723"/>
      <c r="H222" s="1723"/>
      <c r="I222" s="1723"/>
      <c r="J222" s="1723"/>
      <c r="K222" s="1722">
        <f t="shared" si="19"/>
        <v>1400</v>
      </c>
      <c r="L222" s="1623">
        <v>1400</v>
      </c>
    </row>
    <row r="223" spans="1:14" x14ac:dyDescent="0.2">
      <c r="A223" s="1319" t="s">
        <v>957</v>
      </c>
      <c r="B223" s="503">
        <v>1500</v>
      </c>
      <c r="C223" s="1723"/>
      <c r="D223" s="1623">
        <v>7088</v>
      </c>
      <c r="E223" s="1723"/>
      <c r="F223" s="1723"/>
      <c r="G223" s="1723"/>
      <c r="H223" s="1723"/>
      <c r="I223" s="1723"/>
      <c r="J223" s="1723"/>
      <c r="K223" s="1722">
        <f t="shared" si="19"/>
        <v>7088</v>
      </c>
      <c r="L223" s="1623">
        <v>7101</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95" customHeight="1" thickBot="1" x14ac:dyDescent="0.25">
      <c r="A229" s="1429" t="s">
        <v>710</v>
      </c>
      <c r="B229" s="1432" t="s">
        <v>566</v>
      </c>
      <c r="C229" s="1723"/>
      <c r="D229" s="1724">
        <f>SUM(D215:D228)</f>
        <v>47874</v>
      </c>
      <c r="E229" s="1723"/>
      <c r="F229" s="1723"/>
      <c r="G229" s="1723"/>
      <c r="H229" s="1723"/>
      <c r="I229" s="1723"/>
      <c r="J229" s="1723"/>
      <c r="K229" s="1724">
        <f>SUM(K215:K228)</f>
        <v>47874</v>
      </c>
      <c r="L229" s="1724">
        <f>SUM(L215:L228)</f>
        <v>47895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648</v>
      </c>
      <c r="E233" s="1723"/>
      <c r="F233" s="1723"/>
      <c r="G233" s="1723"/>
      <c r="H233" s="1723"/>
      <c r="I233" s="1723"/>
      <c r="J233" s="1723"/>
      <c r="K233" s="1722">
        <f t="shared" si="20"/>
        <v>648</v>
      </c>
      <c r="L233" s="1623">
        <v>648</v>
      </c>
    </row>
    <row r="234" spans="1:12" x14ac:dyDescent="0.2">
      <c r="A234" s="1319" t="s">
        <v>196</v>
      </c>
      <c r="B234" s="503">
        <v>2130</v>
      </c>
      <c r="C234" s="1723"/>
      <c r="D234" s="1623">
        <v>1202</v>
      </c>
      <c r="E234" s="1723"/>
      <c r="F234" s="1723"/>
      <c r="G234" s="1723"/>
      <c r="H234" s="1723"/>
      <c r="I234" s="1723"/>
      <c r="J234" s="1723"/>
      <c r="K234" s="1722">
        <f t="shared" si="20"/>
        <v>1202</v>
      </c>
      <c r="L234" s="1623">
        <v>1203</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95" customHeight="1" thickBot="1" x14ac:dyDescent="0.25">
      <c r="A238" s="1429" t="s">
        <v>556</v>
      </c>
      <c r="B238" s="1432" t="s">
        <v>711</v>
      </c>
      <c r="C238" s="1723"/>
      <c r="D238" s="1724">
        <f>SUM(D232:D237)</f>
        <v>1850</v>
      </c>
      <c r="E238" s="1723"/>
      <c r="F238" s="1723"/>
      <c r="G238" s="1723"/>
      <c r="H238" s="1723"/>
      <c r="I238" s="1723"/>
      <c r="J238" s="1723"/>
      <c r="K238" s="1724">
        <f>SUM(K232:K237)</f>
        <v>1850</v>
      </c>
      <c r="L238" s="1724">
        <f>SUM(L232:L237)</f>
        <v>1851</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900</v>
      </c>
      <c r="E240" s="1723"/>
      <c r="F240" s="1723"/>
      <c r="G240" s="1723"/>
      <c r="H240" s="1723"/>
      <c r="I240" s="1723"/>
      <c r="J240" s="1723"/>
      <c r="K240" s="1728">
        <f>D240</f>
        <v>900</v>
      </c>
      <c r="L240" s="1636">
        <v>901</v>
      </c>
    </row>
    <row r="241" spans="1:12" x14ac:dyDescent="0.2">
      <c r="A241" s="1319" t="s">
        <v>810</v>
      </c>
      <c r="B241" s="503">
        <v>2220</v>
      </c>
      <c r="C241" s="1723"/>
      <c r="D241" s="1623">
        <v>720</v>
      </c>
      <c r="E241" s="1723"/>
      <c r="F241" s="1723"/>
      <c r="G241" s="1723"/>
      <c r="H241" s="1723"/>
      <c r="I241" s="1723"/>
      <c r="J241" s="1723"/>
      <c r="K241" s="1728">
        <f>D241</f>
        <v>720</v>
      </c>
      <c r="L241" s="1623">
        <v>722</v>
      </c>
    </row>
    <row r="242" spans="1:12" x14ac:dyDescent="0.2">
      <c r="A242" s="1319" t="s">
        <v>811</v>
      </c>
      <c r="B242" s="503">
        <v>2230</v>
      </c>
      <c r="C242" s="1723"/>
      <c r="D242" s="1623"/>
      <c r="E242" s="1723"/>
      <c r="F242" s="1723"/>
      <c r="G242" s="1723"/>
      <c r="H242" s="1723"/>
      <c r="I242" s="1723"/>
      <c r="J242" s="1723"/>
      <c r="K242" s="1728">
        <f>D242</f>
        <v>0</v>
      </c>
      <c r="L242" s="1623"/>
    </row>
    <row r="243" spans="1:12" ht="12.95" customHeight="1" thickBot="1" x14ac:dyDescent="0.25">
      <c r="A243" s="1445" t="s">
        <v>557</v>
      </c>
      <c r="B243" s="1446">
        <v>2200</v>
      </c>
      <c r="C243" s="1723"/>
      <c r="D243" s="1724">
        <f>SUM(D240:D242)</f>
        <v>1620</v>
      </c>
      <c r="E243" s="1723"/>
      <c r="F243" s="1723"/>
      <c r="G243" s="1723"/>
      <c r="H243" s="1723"/>
      <c r="I243" s="1723"/>
      <c r="J243" s="1723"/>
      <c r="K243" s="1724">
        <f>SUM(K240:K242)</f>
        <v>1620</v>
      </c>
      <c r="L243" s="1724">
        <f>SUM(L240:L242)</f>
        <v>1623</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48</v>
      </c>
      <c r="E245" s="1723"/>
      <c r="F245" s="1723"/>
      <c r="G245" s="1723"/>
      <c r="H245" s="1723"/>
      <c r="I245" s="1723"/>
      <c r="J245" s="1723"/>
      <c r="K245" s="1728">
        <f>D245</f>
        <v>48</v>
      </c>
      <c r="L245" s="1636">
        <v>49</v>
      </c>
    </row>
    <row r="246" spans="1:12" x14ac:dyDescent="0.2">
      <c r="A246" s="1319" t="s">
        <v>813</v>
      </c>
      <c r="B246" s="503">
        <v>2320</v>
      </c>
      <c r="C246" s="1723"/>
      <c r="D246" s="1623">
        <v>600</v>
      </c>
      <c r="E246" s="1723"/>
      <c r="F246" s="1723"/>
      <c r="G246" s="1723"/>
      <c r="H246" s="1723"/>
      <c r="I246" s="1723"/>
      <c r="J246" s="1723"/>
      <c r="K246" s="1728">
        <f t="shared" ref="K246:K256" si="21">D246</f>
        <v>600</v>
      </c>
      <c r="L246" s="1623">
        <v>601</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4497</v>
      </c>
      <c r="E254" s="1723"/>
      <c r="F254" s="1723"/>
      <c r="G254" s="1723"/>
      <c r="H254" s="1723"/>
      <c r="I254" s="1723"/>
      <c r="J254" s="1723"/>
      <c r="K254" s="1728">
        <f t="shared" si="21"/>
        <v>4497</v>
      </c>
      <c r="L254" s="1623">
        <v>4497</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95" customHeight="1" thickBot="1" x14ac:dyDescent="0.25">
      <c r="A257" s="1429" t="s">
        <v>712</v>
      </c>
      <c r="B257" s="1447">
        <v>2300</v>
      </c>
      <c r="C257" s="1723"/>
      <c r="D257" s="1724">
        <f>SUM(D245:D256)</f>
        <v>5145</v>
      </c>
      <c r="E257" s="1723"/>
      <c r="F257" s="1723"/>
      <c r="G257" s="1723"/>
      <c r="H257" s="1723"/>
      <c r="I257" s="1723"/>
      <c r="J257" s="1723"/>
      <c r="K257" s="1724">
        <f>SUM(K245:K256)</f>
        <v>5145</v>
      </c>
      <c r="L257" s="1724">
        <f>SUM(L245:L256)</f>
        <v>5147</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8245</v>
      </c>
      <c r="E259" s="1723"/>
      <c r="F259" s="1723"/>
      <c r="G259" s="1723"/>
      <c r="H259" s="1723"/>
      <c r="I259" s="1723"/>
      <c r="J259" s="1723"/>
      <c r="K259" s="1728">
        <f>D259</f>
        <v>8245</v>
      </c>
      <c r="L259" s="1636">
        <v>8246</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95" customHeight="1" thickBot="1" x14ac:dyDescent="0.25">
      <c r="A261" s="1443" t="s">
        <v>261</v>
      </c>
      <c r="B261" s="1448" t="s">
        <v>34</v>
      </c>
      <c r="C261" s="1723"/>
      <c r="D261" s="1724">
        <f>SUM(D259:D260)</f>
        <v>8245</v>
      </c>
      <c r="E261" s="1723"/>
      <c r="F261" s="1723"/>
      <c r="G261" s="1723"/>
      <c r="H261" s="1723"/>
      <c r="I261" s="1723"/>
      <c r="J261" s="1723"/>
      <c r="K261" s="1724">
        <f>SUM(K259:K260)</f>
        <v>8245</v>
      </c>
      <c r="L261" s="1724">
        <f>SUM(L259:L260)</f>
        <v>8246</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5294</v>
      </c>
      <c r="E264" s="1723"/>
      <c r="F264" s="1723"/>
      <c r="G264" s="1723"/>
      <c r="H264" s="1723"/>
      <c r="I264" s="1723"/>
      <c r="J264" s="1723"/>
      <c r="K264" s="1728">
        <f t="shared" ref="K264:K269" si="22">D264</f>
        <v>5294</v>
      </c>
      <c r="L264" s="1623">
        <v>5347</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14180</v>
      </c>
      <c r="E266" s="1723"/>
      <c r="F266" s="1723"/>
      <c r="G266" s="1723"/>
      <c r="H266" s="1723"/>
      <c r="I266" s="1723"/>
      <c r="J266" s="1723"/>
      <c r="K266" s="1728">
        <f t="shared" si="22"/>
        <v>14180</v>
      </c>
      <c r="L266" s="1623">
        <v>14014</v>
      </c>
    </row>
    <row r="267" spans="1:14" x14ac:dyDescent="0.2">
      <c r="A267" s="1319" t="s">
        <v>947</v>
      </c>
      <c r="B267" s="503">
        <v>2550</v>
      </c>
      <c r="C267" s="1723"/>
      <c r="D267" s="1623">
        <v>13526</v>
      </c>
      <c r="E267" s="1723"/>
      <c r="F267" s="1723"/>
      <c r="G267" s="1723"/>
      <c r="H267" s="1723"/>
      <c r="I267" s="1723"/>
      <c r="J267" s="1723"/>
      <c r="K267" s="1728">
        <f t="shared" si="22"/>
        <v>13526</v>
      </c>
      <c r="L267" s="1623">
        <v>13541</v>
      </c>
    </row>
    <row r="268" spans="1:14" x14ac:dyDescent="0.2">
      <c r="A268" s="1319" t="s">
        <v>100</v>
      </c>
      <c r="B268" s="503">
        <v>2560</v>
      </c>
      <c r="C268" s="1723"/>
      <c r="D268" s="1623">
        <v>6261</v>
      </c>
      <c r="E268" s="1723"/>
      <c r="F268" s="1723"/>
      <c r="G268" s="1723"/>
      <c r="H268" s="1723"/>
      <c r="I268" s="1723"/>
      <c r="J268" s="1723"/>
      <c r="K268" s="1728">
        <f t="shared" si="22"/>
        <v>6261</v>
      </c>
      <c r="L268" s="1623">
        <v>6261</v>
      </c>
    </row>
    <row r="269" spans="1:14" x14ac:dyDescent="0.2">
      <c r="A269" s="1319" t="s">
        <v>101</v>
      </c>
      <c r="B269" s="503">
        <v>2570</v>
      </c>
      <c r="C269" s="1723"/>
      <c r="D269" s="1623"/>
      <c r="E269" s="1723"/>
      <c r="F269" s="1723"/>
      <c r="G269" s="1723"/>
      <c r="H269" s="1723"/>
      <c r="I269" s="1723"/>
      <c r="J269" s="1723"/>
      <c r="K269" s="1728">
        <f t="shared" si="22"/>
        <v>0</v>
      </c>
      <c r="L269" s="1623"/>
    </row>
    <row r="270" spans="1:14" ht="12.95" customHeight="1" thickBot="1" x14ac:dyDescent="0.25">
      <c r="A270" s="1429" t="s">
        <v>714</v>
      </c>
      <c r="B270" s="1432" t="s">
        <v>35</v>
      </c>
      <c r="C270" s="1723"/>
      <c r="D270" s="1724">
        <f>SUM(D263:D269)</f>
        <v>39261</v>
      </c>
      <c r="E270" s="1723"/>
      <c r="F270" s="1723"/>
      <c r="G270" s="1723"/>
      <c r="H270" s="1723"/>
      <c r="I270" s="1723"/>
      <c r="J270" s="1723"/>
      <c r="K270" s="1724">
        <f>SUM(K263:K269)</f>
        <v>39261</v>
      </c>
      <c r="L270" s="1724">
        <f>SUM(L263:L269)</f>
        <v>39163</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v>6951</v>
      </c>
      <c r="E276" s="1723"/>
      <c r="F276" s="1723"/>
      <c r="G276" s="1723"/>
      <c r="H276" s="1723"/>
      <c r="I276" s="1723"/>
      <c r="J276" s="1723"/>
      <c r="K276" s="1728">
        <f>D276</f>
        <v>6951</v>
      </c>
      <c r="L276" s="1623">
        <v>6952</v>
      </c>
    </row>
    <row r="277" spans="1:12" ht="12.95" customHeight="1" thickBot="1" x14ac:dyDescent="0.25">
      <c r="A277" s="1442" t="s">
        <v>37</v>
      </c>
      <c r="B277" s="1430" t="s">
        <v>36</v>
      </c>
      <c r="C277" s="1723"/>
      <c r="D277" s="1724">
        <f>SUM(D272:D276)</f>
        <v>6951</v>
      </c>
      <c r="E277" s="1723"/>
      <c r="F277" s="1723"/>
      <c r="G277" s="1723"/>
      <c r="H277" s="1723"/>
      <c r="I277" s="1723"/>
      <c r="J277" s="1723"/>
      <c r="K277" s="1724">
        <f>SUM(K272:K276)</f>
        <v>6951</v>
      </c>
      <c r="L277" s="1724">
        <f>SUM(L272:L276)</f>
        <v>6952</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95" customHeight="1" thickBot="1" x14ac:dyDescent="0.25">
      <c r="A279" s="1449" t="s">
        <v>806</v>
      </c>
      <c r="B279" s="1436">
        <v>2000</v>
      </c>
      <c r="C279" s="1723"/>
      <c r="D279" s="1731">
        <f>SUM(D238,D243,D257,D261,D270,D277,D278)</f>
        <v>63072</v>
      </c>
      <c r="E279" s="1723"/>
      <c r="F279" s="1723"/>
      <c r="G279" s="1723"/>
      <c r="H279" s="1723"/>
      <c r="I279" s="1723"/>
      <c r="J279" s="1723"/>
      <c r="K279" s="1731">
        <f>SUM(K238,K243,K257,K261,K270,K277,K278)</f>
        <v>63072</v>
      </c>
      <c r="L279" s="1731">
        <f>SUM(L238,L243,L257,L261,L270,L277,L278)</f>
        <v>62982</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9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95" customHeight="1" thickTop="1" thickBot="1" x14ac:dyDescent="0.25">
      <c r="A295" s="2230" t="s">
        <v>502</v>
      </c>
      <c r="B295" s="2231"/>
      <c r="C295" s="1723"/>
      <c r="D295" s="1724">
        <f>SUM(D229,D279,D280,D285)</f>
        <v>110946</v>
      </c>
      <c r="E295" s="1723"/>
      <c r="F295" s="1723"/>
      <c r="G295" s="1723"/>
      <c r="H295" s="1724">
        <f>H293</f>
        <v>0</v>
      </c>
      <c r="I295" s="1723"/>
      <c r="J295" s="1723"/>
      <c r="K295" s="1724">
        <f>SUM(K229,K279,K280,K285,K293,K294)</f>
        <v>110946</v>
      </c>
      <c r="L295" s="1724">
        <f>SUM(L229,L279,L280,L285,L293,L294)</f>
        <v>110877</v>
      </c>
    </row>
    <row r="296" spans="1:14" ht="13.5" thickTop="1" x14ac:dyDescent="0.2">
      <c r="A296" s="2239" t="s">
        <v>989</v>
      </c>
      <c r="B296" s="2240"/>
      <c r="C296" s="1723"/>
      <c r="D296" s="1725"/>
      <c r="E296" s="1723"/>
      <c r="F296" s="1723"/>
      <c r="G296" s="1723"/>
      <c r="H296" s="1757"/>
      <c r="I296" s="1723"/>
      <c r="J296" s="1723"/>
      <c r="K296" s="1739">
        <f>'Revenues 9-14'!G268-'Expenditures 15-22'!K295</f>
        <v>34962</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2" t="s">
        <v>142</v>
      </c>
      <c r="B298" s="221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137452</v>
      </c>
      <c r="F301" s="1623"/>
      <c r="G301" s="1623">
        <v>5333785</v>
      </c>
      <c r="H301" s="1623"/>
      <c r="I301" s="1624"/>
      <c r="J301" s="1624"/>
      <c r="K301" s="1722">
        <f>SUM(C301:J301)</f>
        <v>5471237</v>
      </c>
      <c r="L301" s="1624">
        <v>5471238</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95" customHeight="1" thickBot="1" x14ac:dyDescent="0.25">
      <c r="A303" s="1429" t="s">
        <v>806</v>
      </c>
      <c r="B303" s="1430" t="s">
        <v>565</v>
      </c>
      <c r="C303" s="1731">
        <f>SUM(C301:C302)</f>
        <v>0</v>
      </c>
      <c r="D303" s="1731">
        <f t="shared" ref="D303:L303" si="23">SUM(D301:D302)</f>
        <v>0</v>
      </c>
      <c r="E303" s="1731">
        <f t="shared" si="23"/>
        <v>137452</v>
      </c>
      <c r="F303" s="1731">
        <f t="shared" si="23"/>
        <v>0</v>
      </c>
      <c r="G303" s="1731">
        <f t="shared" si="23"/>
        <v>5333785</v>
      </c>
      <c r="H303" s="1731">
        <f t="shared" si="23"/>
        <v>0</v>
      </c>
      <c r="I303" s="1731">
        <f t="shared" si="23"/>
        <v>0</v>
      </c>
      <c r="J303" s="1731">
        <f t="shared" si="23"/>
        <v>0</v>
      </c>
      <c r="K303" s="1731">
        <f t="shared" si="23"/>
        <v>5471237</v>
      </c>
      <c r="L303" s="1731">
        <f t="shared" si="23"/>
        <v>5471238</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95" customHeight="1" x14ac:dyDescent="0.2">
      <c r="A309" s="1323" t="s">
        <v>693</v>
      </c>
      <c r="B309" s="512">
        <v>4190</v>
      </c>
      <c r="C309" s="1723"/>
      <c r="D309" s="1723"/>
      <c r="E309" s="1624"/>
      <c r="F309" s="1723"/>
      <c r="G309" s="1723"/>
      <c r="H309" s="1624"/>
      <c r="I309" s="1632"/>
      <c r="J309" s="1723"/>
      <c r="K309" s="1722">
        <f>SUM(E309,H309)</f>
        <v>0</v>
      </c>
      <c r="L309" s="1623"/>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95" customHeight="1" thickTop="1" thickBot="1" x14ac:dyDescent="0.25">
      <c r="A312" s="2227" t="s">
        <v>275</v>
      </c>
      <c r="B312" s="2228"/>
      <c r="C312" s="1724">
        <f>SUM(C303)</f>
        <v>0</v>
      </c>
      <c r="D312" s="1724">
        <f>SUM(D303)</f>
        <v>0</v>
      </c>
      <c r="E312" s="1724">
        <f>SUM(E303,E310)</f>
        <v>137452</v>
      </c>
      <c r="F312" s="1724">
        <f>SUM(F303)</f>
        <v>0</v>
      </c>
      <c r="G312" s="1724">
        <f>SUM(G303)</f>
        <v>5333785</v>
      </c>
      <c r="H312" s="1724">
        <f>SUM(H303,H310)</f>
        <v>0</v>
      </c>
      <c r="I312" s="1724">
        <f>SUM(I303)</f>
        <v>0</v>
      </c>
      <c r="J312" s="1724">
        <f>SUM(J303)</f>
        <v>0</v>
      </c>
      <c r="K312" s="1724">
        <f>SUM(K303,K310,K311)</f>
        <v>5471237</v>
      </c>
      <c r="L312" s="1724">
        <f>SUM(L303,L310,L311)</f>
        <v>5471238</v>
      </c>
      <c r="M312" s="539"/>
      <c r="N312" s="539"/>
    </row>
    <row r="313" spans="1:14" ht="13.5" thickTop="1" x14ac:dyDescent="0.2">
      <c r="A313" s="2223" t="s">
        <v>989</v>
      </c>
      <c r="B313" s="2224"/>
      <c r="C313" s="1727"/>
      <c r="D313" s="1727"/>
      <c r="E313" s="1727"/>
      <c r="F313" s="1727"/>
      <c r="G313" s="1727"/>
      <c r="H313" s="1727"/>
      <c r="I313" s="1727"/>
      <c r="J313" s="1727"/>
      <c r="K313" s="1746">
        <f>'Revenues 9-14'!H268-'Expenditures 15-22'!K312</f>
        <v>-5225424</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6" t="s">
        <v>148</v>
      </c>
      <c r="B315" s="2237"/>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8" t="s">
        <v>892</v>
      </c>
      <c r="B317" s="223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88823</v>
      </c>
      <c r="F320" s="1624"/>
      <c r="G320" s="1624"/>
      <c r="H320" s="1624"/>
      <c r="I320" s="1624"/>
      <c r="J320" s="1624"/>
      <c r="K320" s="1722">
        <f t="shared" ref="K320:K327" si="24">SUM(C320:J320)</f>
        <v>88823</v>
      </c>
      <c r="L320" s="1624">
        <v>91332</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203032</v>
      </c>
      <c r="D325" s="1624">
        <v>34870</v>
      </c>
      <c r="E325" s="1624">
        <v>62788</v>
      </c>
      <c r="F325" s="1624"/>
      <c r="G325" s="1624"/>
      <c r="H325" s="1624"/>
      <c r="I325" s="1624"/>
      <c r="J325" s="1624"/>
      <c r="K325" s="1722">
        <f t="shared" si="24"/>
        <v>300690</v>
      </c>
      <c r="L325" s="1624">
        <v>250932</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95" customHeight="1" thickBot="1" x14ac:dyDescent="0.25">
      <c r="A330" s="1450" t="s">
        <v>712</v>
      </c>
      <c r="B330" s="1430" t="s">
        <v>565</v>
      </c>
      <c r="C330" s="1724">
        <f>SUM(C319:C329)</f>
        <v>203032</v>
      </c>
      <c r="D330" s="1724">
        <f t="shared" ref="D330:J330" si="25">SUM(D319:D329)</f>
        <v>34870</v>
      </c>
      <c r="E330" s="1724">
        <f t="shared" si="25"/>
        <v>151611</v>
      </c>
      <c r="F330" s="1724">
        <f t="shared" si="25"/>
        <v>0</v>
      </c>
      <c r="G330" s="1724">
        <f t="shared" si="25"/>
        <v>0</v>
      </c>
      <c r="H330" s="1724">
        <f t="shared" si="25"/>
        <v>0</v>
      </c>
      <c r="I330" s="1724">
        <f t="shared" si="25"/>
        <v>0</v>
      </c>
      <c r="J330" s="1724">
        <f t="shared" si="25"/>
        <v>0</v>
      </c>
      <c r="K330" s="1724">
        <f>SUM(K319:K329)</f>
        <v>389513</v>
      </c>
      <c r="L330" s="1724">
        <f>SUM(L319:L329)</f>
        <v>342264</v>
      </c>
      <c r="M330" s="539"/>
      <c r="N330" s="539"/>
    </row>
    <row r="331" spans="1:14" s="548" customFormat="1" ht="12.9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9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9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9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95" customHeight="1" thickTop="1" thickBot="1" x14ac:dyDescent="0.25">
      <c r="A342" s="1438" t="s">
        <v>502</v>
      </c>
      <c r="B342" s="1451"/>
      <c r="C342" s="1724">
        <f>SUM(C330)</f>
        <v>203032</v>
      </c>
      <c r="D342" s="1724">
        <f>SUM(D330)</f>
        <v>34870</v>
      </c>
      <c r="E342" s="1724">
        <f>SUM(E330)</f>
        <v>151611</v>
      </c>
      <c r="F342" s="1724">
        <f>SUM(F330)</f>
        <v>0</v>
      </c>
      <c r="G342" s="1724">
        <f>SUM(G330)</f>
        <v>0</v>
      </c>
      <c r="H342" s="1724">
        <f>SUM(H330,H334,H340)</f>
        <v>0</v>
      </c>
      <c r="I342" s="1724">
        <f>SUM(I330)</f>
        <v>0</v>
      </c>
      <c r="J342" s="1724">
        <f>SUM(J330)</f>
        <v>0</v>
      </c>
      <c r="K342" s="1724">
        <f>SUM(K330,K334,K340)</f>
        <v>389513</v>
      </c>
      <c r="L342" s="1731">
        <f>SUM(L330,L334,L340,L341)</f>
        <v>342264</v>
      </c>
    </row>
    <row r="343" spans="1:14" ht="12.95" customHeight="1" thickTop="1" x14ac:dyDescent="0.2">
      <c r="A343" s="2225" t="s">
        <v>989</v>
      </c>
      <c r="B343" s="2226"/>
      <c r="C343" s="1723"/>
      <c r="D343" s="1723"/>
      <c r="E343" s="1723"/>
      <c r="F343" s="1723"/>
      <c r="G343" s="1723"/>
      <c r="H343" s="1723"/>
      <c r="I343" s="1723"/>
      <c r="J343" s="1723"/>
      <c r="K343" s="1739">
        <f>'Revenues 9-14'!J268-'Expenditures 15-22'!K342</f>
        <v>28777</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5" t="s">
        <v>960</v>
      </c>
      <c r="B345" s="221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9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row>
    <row r="352" spans="1:14" ht="12.9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95" customHeight="1" x14ac:dyDescent="0.2">
      <c r="A355" s="1328" t="s">
        <v>1828</v>
      </c>
      <c r="B355" s="562" t="s">
        <v>1821</v>
      </c>
      <c r="C355" s="1723"/>
      <c r="D355" s="1723"/>
      <c r="E355" s="1723"/>
      <c r="F355" s="1723"/>
      <c r="G355" s="1723"/>
      <c r="H355" s="1624"/>
      <c r="I355" s="1766"/>
      <c r="J355" s="1723"/>
      <c r="K355" s="1657">
        <f>H355</f>
        <v>0</v>
      </c>
      <c r="L355" s="1624"/>
    </row>
    <row r="356" spans="1:14" ht="12.95" customHeight="1" x14ac:dyDescent="0.2">
      <c r="A356" s="1518" t="s">
        <v>693</v>
      </c>
      <c r="B356" s="557" t="s">
        <v>554</v>
      </c>
      <c r="C356" s="1723"/>
      <c r="D356" s="1723"/>
      <c r="E356" s="1723"/>
      <c r="F356" s="1723"/>
      <c r="G356" s="1723"/>
      <c r="H356" s="1634"/>
      <c r="I356" s="1766"/>
      <c r="J356" s="1723"/>
      <c r="K356" s="1650">
        <f>H356</f>
        <v>0</v>
      </c>
      <c r="L356" s="1634"/>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95" customHeight="1" x14ac:dyDescent="0.2">
      <c r="A361" s="1320" t="s">
        <v>615</v>
      </c>
      <c r="B361" s="494" t="s">
        <v>614</v>
      </c>
      <c r="C361" s="1723"/>
      <c r="D361" s="1723"/>
      <c r="E361" s="1723"/>
      <c r="F361" s="1723"/>
      <c r="G361" s="1723"/>
      <c r="H361" s="1624"/>
      <c r="I361" s="1723"/>
      <c r="J361" s="1723"/>
      <c r="K361" s="1722">
        <f>SUM(C361:J361)</f>
        <v>0</v>
      </c>
      <c r="L361" s="1623"/>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9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39" t="s">
        <v>989</v>
      </c>
      <c r="B368" s="2240"/>
      <c r="C368" s="1744"/>
      <c r="D368" s="1744"/>
      <c r="E368" s="1727"/>
      <c r="F368" s="1727"/>
      <c r="G368" s="1727"/>
      <c r="H368" s="1727"/>
      <c r="I368" s="1727"/>
      <c r="J368" s="1726"/>
      <c r="K368" s="1722">
        <f>'Revenues 9-14'!K268-'Expenditures 15-22'!K367</f>
        <v>49637</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2932887</v>
      </c>
      <c r="C4" s="1772">
        <v>99039</v>
      </c>
      <c r="D4" s="1773">
        <f>B4-C4</f>
        <v>2833848</v>
      </c>
      <c r="E4" s="1772">
        <v>2823273</v>
      </c>
      <c r="F4" s="1773">
        <f>E4-C4</f>
        <v>2724234</v>
      </c>
    </row>
    <row r="5" spans="1:8" ht="13.7" customHeight="1" x14ac:dyDescent="0.2">
      <c r="A5" s="579" t="s">
        <v>865</v>
      </c>
      <c r="B5" s="1774">
        <f>'Revenues 9-14'!D5</f>
        <v>734041</v>
      </c>
      <c r="C5" s="1714">
        <v>25031</v>
      </c>
      <c r="D5" s="1775">
        <f t="shared" ref="D5:D18" si="0">B5-C5</f>
        <v>709010</v>
      </c>
      <c r="E5" s="1714">
        <v>705818</v>
      </c>
      <c r="F5" s="1775">
        <f>E5-C5</f>
        <v>680787</v>
      </c>
    </row>
    <row r="6" spans="1:8" ht="13.7" customHeight="1" x14ac:dyDescent="0.2">
      <c r="A6" s="579" t="s">
        <v>408</v>
      </c>
      <c r="B6" s="1774">
        <f>'Revenues 9-14'!E5</f>
        <v>663720</v>
      </c>
      <c r="C6" s="1714">
        <v>22317</v>
      </c>
      <c r="D6" s="1775">
        <f t="shared" si="0"/>
        <v>641403</v>
      </c>
      <c r="E6" s="1714">
        <v>607286</v>
      </c>
      <c r="F6" s="1775">
        <f t="shared" ref="F6:F18" si="1">E6-C6</f>
        <v>584969</v>
      </c>
    </row>
    <row r="7" spans="1:8" ht="13.7" customHeight="1" x14ac:dyDescent="0.2">
      <c r="A7" s="579" t="s">
        <v>154</v>
      </c>
      <c r="B7" s="1774">
        <f>'Revenues 9-14'!F5</f>
        <v>195747</v>
      </c>
      <c r="C7" s="1714">
        <v>6675</v>
      </c>
      <c r="D7" s="1775">
        <f t="shared" si="0"/>
        <v>189072</v>
      </c>
      <c r="E7" s="1714">
        <v>188218</v>
      </c>
      <c r="F7" s="1775">
        <f t="shared" si="1"/>
        <v>181543</v>
      </c>
    </row>
    <row r="8" spans="1:8" ht="13.7" customHeight="1" x14ac:dyDescent="0.2">
      <c r="A8" s="579" t="s">
        <v>1171</v>
      </c>
      <c r="B8" s="1774">
        <f>'Revenues 9-14'!G5</f>
        <v>47157</v>
      </c>
      <c r="C8" s="1714">
        <v>1625</v>
      </c>
      <c r="D8" s="1775">
        <f t="shared" si="0"/>
        <v>45532</v>
      </c>
      <c r="E8" s="1714">
        <v>44043</v>
      </c>
      <c r="F8" s="1775">
        <f t="shared" si="1"/>
        <v>42418</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48935</v>
      </c>
      <c r="C10" s="1714">
        <v>1669</v>
      </c>
      <c r="D10" s="1775">
        <f t="shared" si="0"/>
        <v>47266</v>
      </c>
      <c r="E10" s="1714">
        <v>47055</v>
      </c>
      <c r="F10" s="1775">
        <f t="shared" si="1"/>
        <v>45386</v>
      </c>
    </row>
    <row r="11" spans="1:8" x14ac:dyDescent="0.2">
      <c r="A11" s="579" t="s">
        <v>406</v>
      </c>
      <c r="B11" s="1774">
        <f>'Revenues 9-14'!J5</f>
        <v>417317</v>
      </c>
      <c r="C11" s="1714">
        <v>14309</v>
      </c>
      <c r="D11" s="1775">
        <f t="shared" si="0"/>
        <v>403008</v>
      </c>
      <c r="E11" s="1714">
        <v>387447</v>
      </c>
      <c r="F11" s="1775">
        <f t="shared" si="1"/>
        <v>373138</v>
      </c>
    </row>
    <row r="12" spans="1:8" ht="13.7" customHeight="1" x14ac:dyDescent="0.2">
      <c r="A12" s="579" t="s">
        <v>156</v>
      </c>
      <c r="B12" s="1774">
        <f>'Revenues 9-14'!K5</f>
        <v>48935</v>
      </c>
      <c r="C12" s="1714">
        <v>1669</v>
      </c>
      <c r="D12" s="1775">
        <f t="shared" si="0"/>
        <v>47266</v>
      </c>
      <c r="E12" s="1714">
        <v>47055</v>
      </c>
      <c r="F12" s="1775">
        <f t="shared" si="1"/>
        <v>45386</v>
      </c>
    </row>
    <row r="13" spans="1:8" ht="13.7" customHeight="1" x14ac:dyDescent="0.2">
      <c r="A13" s="579" t="s">
        <v>930</v>
      </c>
      <c r="B13" s="1774">
        <f>SUM('Revenues 9-14'!C6:D6)</f>
        <v>48935</v>
      </c>
      <c r="C13" s="1714">
        <v>1669</v>
      </c>
      <c r="D13" s="1775">
        <f t="shared" si="0"/>
        <v>47266</v>
      </c>
      <c r="E13" s="1714">
        <v>47055</v>
      </c>
      <c r="F13" s="1775">
        <f t="shared" si="1"/>
        <v>45386</v>
      </c>
    </row>
    <row r="14" spans="1:8" ht="13.7" customHeight="1" x14ac:dyDescent="0.2">
      <c r="A14" s="579" t="s">
        <v>407</v>
      </c>
      <c r="B14" s="1774">
        <f>SUM('Revenues 9-14'!C7:D7,'Revenues 9-14'!F7:H7)</f>
        <v>39151</v>
      </c>
      <c r="C14" s="1714">
        <v>1335</v>
      </c>
      <c r="D14" s="1775">
        <f t="shared" si="0"/>
        <v>37816</v>
      </c>
      <c r="E14" s="1714">
        <v>37644</v>
      </c>
      <c r="F14" s="1775">
        <f t="shared" si="1"/>
        <v>36309</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92709</v>
      </c>
      <c r="C16" s="1714">
        <v>3150</v>
      </c>
      <c r="D16" s="1775">
        <f t="shared" si="0"/>
        <v>89559</v>
      </c>
      <c r="E16" s="1714">
        <v>85356</v>
      </c>
      <c r="F16" s="1775">
        <f t="shared" si="1"/>
        <v>82206</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5269534</v>
      </c>
      <c r="C19" s="1776">
        <f>SUM(C4:C18)</f>
        <v>178488</v>
      </c>
      <c r="D19" s="1776">
        <f>SUM(D4:D18)</f>
        <v>5091046</v>
      </c>
      <c r="E19" s="1776">
        <f>SUM(E4:E18)</f>
        <v>5020250</v>
      </c>
      <c r="F19" s="1776">
        <f>SUM(F4:F18)</f>
        <v>4841762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G33" sqref="G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47" t="s">
        <v>625</v>
      </c>
      <c r="B1" s="2248"/>
      <c r="C1" s="585"/>
    </row>
    <row r="2" spans="1:7" ht="33.75" x14ac:dyDescent="0.2">
      <c r="A2" s="2256" t="s">
        <v>1782</v>
      </c>
      <c r="B2" s="225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0" t="s">
        <v>1106</v>
      </c>
      <c r="B3" s="2261"/>
      <c r="C3" s="2249"/>
      <c r="D3" s="2250"/>
      <c r="E3" s="2250"/>
      <c r="F3" s="2251"/>
    </row>
    <row r="4" spans="1:7" ht="12.95" customHeight="1" thickBot="1" x14ac:dyDescent="0.25">
      <c r="A4" s="2258" t="s">
        <v>626</v>
      </c>
      <c r="B4" s="2259"/>
      <c r="C4" s="1706"/>
      <c r="D4" s="1706"/>
      <c r="E4" s="1706"/>
      <c r="F4" s="1782">
        <f>SUM(C4+D4)-E4</f>
        <v>0</v>
      </c>
    </row>
    <row r="5" spans="1:7" ht="15.75" customHeight="1" thickTop="1" x14ac:dyDescent="0.2">
      <c r="A5" s="2243" t="s">
        <v>1103</v>
      </c>
      <c r="B5" s="2244"/>
      <c r="C5" s="2252"/>
      <c r="D5" s="2253"/>
      <c r="E5" s="2253"/>
      <c r="F5" s="2254"/>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45" t="s">
        <v>627</v>
      </c>
      <c r="B15" s="2246"/>
      <c r="C15" s="1782">
        <f>SUM(C6:C14)</f>
        <v>0</v>
      </c>
      <c r="D15" s="1782">
        <f>SUM(D6:D14)</f>
        <v>0</v>
      </c>
      <c r="E15" s="1782">
        <f>SUM(E6:E14)</f>
        <v>0</v>
      </c>
      <c r="F15" s="1782">
        <f>SUM(F6:F14)</f>
        <v>0</v>
      </c>
      <c r="G15" s="473"/>
    </row>
    <row r="16" spans="1:7" s="197" customFormat="1" ht="15.75" customHeight="1" thickTop="1" x14ac:dyDescent="0.2">
      <c r="A16" s="2255" t="s">
        <v>1104</v>
      </c>
      <c r="B16" s="2244"/>
      <c r="C16" s="2252"/>
      <c r="D16" s="2253"/>
      <c r="E16" s="2253"/>
      <c r="F16" s="2254"/>
    </row>
    <row r="17" spans="1:11" ht="12.95" customHeight="1" thickBot="1" x14ac:dyDescent="0.25">
      <c r="A17" s="2268" t="s">
        <v>64</v>
      </c>
      <c r="B17" s="2269"/>
      <c r="C17" s="1783"/>
      <c r="D17" s="1714"/>
      <c r="E17" s="1783"/>
      <c r="F17" s="1782">
        <f>SUM(C17+D17)-E17</f>
        <v>0</v>
      </c>
    </row>
    <row r="18" spans="1:11" ht="12.95" customHeight="1" thickTop="1" thickBot="1" x14ac:dyDescent="0.25">
      <c r="A18" s="2268" t="s">
        <v>6</v>
      </c>
      <c r="B18" s="2269"/>
      <c r="C18" s="1783"/>
      <c r="D18" s="1714"/>
      <c r="E18" s="1783"/>
      <c r="F18" s="1782">
        <f>SUM(C18+D18)-E18</f>
        <v>0</v>
      </c>
    </row>
    <row r="19" spans="1:11" ht="12.95" customHeight="1" thickTop="1" thickBot="1" x14ac:dyDescent="0.25">
      <c r="A19" s="2268" t="s">
        <v>385</v>
      </c>
      <c r="B19" s="2269"/>
      <c r="C19" s="1783"/>
      <c r="D19" s="1714"/>
      <c r="E19" s="1783"/>
      <c r="F19" s="1782">
        <f>SUM(C19+D19)-E19</f>
        <v>0</v>
      </c>
    </row>
    <row r="20" spans="1:11" ht="12.95" customHeight="1" thickTop="1" thickBot="1" x14ac:dyDescent="0.25">
      <c r="A20" s="2268" t="s">
        <v>445</v>
      </c>
      <c r="B20" s="2269"/>
      <c r="C20" s="1783"/>
      <c r="D20" s="1714"/>
      <c r="E20" s="1783"/>
      <c r="F20" s="1782">
        <f>SUM(C20+D20)-E20</f>
        <v>0</v>
      </c>
    </row>
    <row r="21" spans="1:11" ht="14.25" thickTop="1" thickBot="1" x14ac:dyDescent="0.25">
      <c r="A21" s="2245" t="s">
        <v>628</v>
      </c>
      <c r="B21" s="2246"/>
      <c r="C21" s="1782">
        <f>SUM(C17:C20)</f>
        <v>0</v>
      </c>
      <c r="D21" s="1782">
        <f>SUM(D17:D20)</f>
        <v>0</v>
      </c>
      <c r="E21" s="1782">
        <f>SUM(E17:E20)</f>
        <v>0</v>
      </c>
      <c r="F21" s="1782">
        <f>SUM(F17:F20)</f>
        <v>0</v>
      </c>
      <c r="G21" s="473"/>
    </row>
    <row r="22" spans="1:11" ht="15.75" customHeight="1" thickTop="1" x14ac:dyDescent="0.2">
      <c r="A22" s="2270" t="s">
        <v>1105</v>
      </c>
      <c r="B22" s="2244"/>
      <c r="C22" s="2252"/>
      <c r="D22" s="2253"/>
      <c r="E22" s="2253"/>
      <c r="F22" s="2254"/>
    </row>
    <row r="23" spans="1:11" ht="13.5" thickBot="1" x14ac:dyDescent="0.25">
      <c r="A23" s="2258" t="s">
        <v>629</v>
      </c>
      <c r="B23" s="2259"/>
      <c r="C23" s="1706"/>
      <c r="D23" s="1706"/>
      <c r="E23" s="1706"/>
      <c r="F23" s="1782">
        <f>SUM(C23+D23)-E23</f>
        <v>0</v>
      </c>
      <c r="G23" s="473"/>
    </row>
    <row r="24" spans="1:11" ht="15.75" customHeight="1" thickTop="1" x14ac:dyDescent="0.2">
      <c r="A24" s="2270" t="s">
        <v>2009</v>
      </c>
      <c r="B24" s="2244"/>
      <c r="C24" s="2252"/>
      <c r="D24" s="2253"/>
      <c r="E24" s="2253"/>
      <c r="F24" s="2254"/>
    </row>
    <row r="25" spans="1:11" ht="13.5" thickBot="1" x14ac:dyDescent="0.25">
      <c r="A25" s="2258" t="s">
        <v>2010</v>
      </c>
      <c r="B25" s="2259"/>
      <c r="C25" s="1706"/>
      <c r="D25" s="1706"/>
      <c r="E25" s="1706"/>
      <c r="F25" s="1782">
        <f>SUM(C25+D25)-E25</f>
        <v>0</v>
      </c>
      <c r="G25" s="473"/>
    </row>
    <row r="26" spans="1:11" ht="15.75" customHeight="1" thickTop="1" x14ac:dyDescent="0.2">
      <c r="A26" s="2243" t="s">
        <v>652</v>
      </c>
      <c r="B26" s="2244"/>
      <c r="C26" s="589"/>
      <c r="D26" s="589"/>
      <c r="E26" s="589"/>
      <c r="F26" s="590"/>
    </row>
    <row r="27" spans="1:11" ht="13.5" thickBot="1" x14ac:dyDescent="0.25">
      <c r="A27" s="2245" t="s">
        <v>1063</v>
      </c>
      <c r="B27" s="2246"/>
      <c r="C27" s="1714"/>
      <c r="D27" s="1714"/>
      <c r="E27" s="1714"/>
      <c r="F27" s="1782">
        <f>SUM(C27+D27)-E27</f>
        <v>0</v>
      </c>
      <c r="G27" s="473"/>
    </row>
    <row r="28" spans="1:11" ht="7.5" customHeight="1" thickTop="1" x14ac:dyDescent="0.2">
      <c r="A28" s="489"/>
    </row>
    <row r="29" spans="1:11" ht="23.25" customHeight="1" x14ac:dyDescent="0.2">
      <c r="A29" s="2271" t="s">
        <v>578</v>
      </c>
      <c r="B29" s="2248"/>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2044</v>
      </c>
      <c r="B31" s="595">
        <v>40148</v>
      </c>
      <c r="C31" s="1784">
        <v>2385000</v>
      </c>
      <c r="D31" s="1785">
        <v>2</v>
      </c>
      <c r="E31" s="1784">
        <v>285000</v>
      </c>
      <c r="F31" s="1784"/>
      <c r="G31" s="1784"/>
      <c r="H31" s="1784">
        <v>285000</v>
      </c>
      <c r="I31" s="1786">
        <f>((E31+F31)-H31)+G31</f>
        <v>0</v>
      </c>
      <c r="J31" s="1784"/>
      <c r="K31" s="596"/>
    </row>
    <row r="32" spans="1:11" ht="12" customHeight="1" x14ac:dyDescent="0.2">
      <c r="A32" s="594" t="s">
        <v>2045</v>
      </c>
      <c r="B32" s="595">
        <v>42005</v>
      </c>
      <c r="C32" s="1784">
        <v>20116</v>
      </c>
      <c r="D32" s="1785">
        <v>8</v>
      </c>
      <c r="E32" s="1784">
        <v>4235</v>
      </c>
      <c r="F32" s="1784"/>
      <c r="G32" s="1784">
        <v>-4235</v>
      </c>
      <c r="H32" s="1784"/>
      <c r="I32" s="1786">
        <f>((E32+F32)-H32)+G32</f>
        <v>0</v>
      </c>
      <c r="J32" s="1784"/>
      <c r="K32" s="596"/>
    </row>
    <row r="33" spans="1:11" ht="12" customHeight="1" x14ac:dyDescent="0.2">
      <c r="A33" s="594" t="s">
        <v>2046</v>
      </c>
      <c r="B33" s="595">
        <v>43144</v>
      </c>
      <c r="C33" s="1784">
        <v>810000</v>
      </c>
      <c r="D33" s="1785">
        <v>3</v>
      </c>
      <c r="E33" s="1784">
        <v>810000</v>
      </c>
      <c r="F33" s="1784"/>
      <c r="G33" s="1784"/>
      <c r="H33" s="1784">
        <v>10000</v>
      </c>
      <c r="I33" s="1786">
        <f t="shared" ref="I33:I48" si="1">((E33+F33)-H33)+G33</f>
        <v>800000</v>
      </c>
      <c r="J33" s="1784">
        <f>800000-57152</f>
        <v>742848</v>
      </c>
      <c r="K33" s="596"/>
    </row>
    <row r="34" spans="1:11" ht="12" customHeight="1" x14ac:dyDescent="0.2">
      <c r="A34" s="594" t="s">
        <v>2046</v>
      </c>
      <c r="B34" s="595">
        <v>43144</v>
      </c>
      <c r="C34" s="1784">
        <v>7500000</v>
      </c>
      <c r="D34" s="1785">
        <v>2</v>
      </c>
      <c r="E34" s="1784">
        <v>7500000</v>
      </c>
      <c r="F34" s="1784"/>
      <c r="G34" s="1784"/>
      <c r="H34" s="1784"/>
      <c r="I34" s="1786">
        <f t="shared" si="1"/>
        <v>7500000</v>
      </c>
      <c r="J34" s="1784">
        <v>7500000</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10715116</v>
      </c>
      <c r="D49" s="1792"/>
      <c r="E49" s="1786">
        <f t="shared" ref="E49:J49" si="2">SUM(E31:E48)</f>
        <v>8599235</v>
      </c>
      <c r="F49" s="1786">
        <f t="shared" si="2"/>
        <v>0</v>
      </c>
      <c r="G49" s="1786">
        <f t="shared" si="2"/>
        <v>-4235</v>
      </c>
      <c r="H49" s="1786">
        <f t="shared" si="2"/>
        <v>295000</v>
      </c>
      <c r="I49" s="1786">
        <f t="shared" si="2"/>
        <v>8300000</v>
      </c>
      <c r="J49" s="1786">
        <f t="shared" si="2"/>
        <v>8242848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2" t="s">
        <v>580</v>
      </c>
      <c r="C52" s="2263"/>
      <c r="D52" s="2263"/>
      <c r="E52" s="603" t="s">
        <v>840</v>
      </c>
      <c r="F52" s="2264"/>
      <c r="G52" s="2265"/>
      <c r="H52" s="596"/>
      <c r="I52" s="596"/>
      <c r="J52" s="600"/>
    </row>
    <row r="53" spans="1:11" ht="11.25" customHeight="1" x14ac:dyDescent="0.2">
      <c r="A53" s="604" t="s">
        <v>907</v>
      </c>
      <c r="B53" s="605" t="s">
        <v>945</v>
      </c>
      <c r="C53" s="600"/>
      <c r="D53" s="597"/>
      <c r="E53" s="603" t="s">
        <v>494</v>
      </c>
      <c r="F53" s="2266"/>
      <c r="G53" s="2267"/>
      <c r="H53" s="596"/>
      <c r="I53" s="596"/>
      <c r="J53" s="600"/>
    </row>
    <row r="54" spans="1:11" ht="11.25" customHeight="1" x14ac:dyDescent="0.2">
      <c r="A54" s="606" t="s">
        <v>908</v>
      </c>
      <c r="B54" s="601" t="s">
        <v>946</v>
      </c>
      <c r="C54" s="600"/>
      <c r="D54" s="597"/>
      <c r="E54" s="603" t="s">
        <v>495</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275" t="s">
        <v>1661</v>
      </c>
      <c r="B2" s="2276"/>
      <c r="C2" s="2276"/>
      <c r="D2" s="2276"/>
      <c r="E2" s="2277"/>
      <c r="F2" s="615" t="s">
        <v>898</v>
      </c>
      <c r="G2" s="616" t="s">
        <v>1658</v>
      </c>
      <c r="H2" s="616" t="s">
        <v>407</v>
      </c>
      <c r="I2" s="616" t="s">
        <v>1150</v>
      </c>
      <c r="J2" s="616" t="s">
        <v>1792</v>
      </c>
      <c r="K2" s="616" t="s">
        <v>137</v>
      </c>
    </row>
    <row r="3" spans="1:11" x14ac:dyDescent="0.2">
      <c r="A3" s="2278" t="str">
        <f>"Cash Basis Fund Balance as of July 1, "&amp;'AFR20'!E2-1</f>
        <v>Cash Basis Fund Balance as of July 1, 2019</v>
      </c>
      <c r="B3" s="2279"/>
      <c r="C3" s="2279"/>
      <c r="D3" s="2279"/>
      <c r="E3" s="2280"/>
      <c r="F3" s="617"/>
      <c r="G3" s="1794"/>
      <c r="H3" s="1794"/>
      <c r="I3" s="1794"/>
      <c r="J3" s="1795"/>
      <c r="K3" s="1795"/>
    </row>
    <row r="4" spans="1:11" x14ac:dyDescent="0.2">
      <c r="A4" s="2281" t="s">
        <v>366</v>
      </c>
      <c r="B4" s="2282"/>
      <c r="C4" s="2282"/>
      <c r="D4" s="2282"/>
      <c r="E4" s="2263"/>
      <c r="F4" s="620"/>
      <c r="G4" s="1796"/>
      <c r="H4" s="1797"/>
      <c r="I4" s="1796"/>
      <c r="J4" s="1798"/>
      <c r="K4" s="1798"/>
    </row>
    <row r="5" spans="1:11" x14ac:dyDescent="0.2">
      <c r="A5" s="2301" t="s">
        <v>1062</v>
      </c>
      <c r="B5" s="2272"/>
      <c r="C5" s="2272"/>
      <c r="D5" s="2272"/>
      <c r="E5" s="2302"/>
      <c r="F5" s="622" t="s">
        <v>843</v>
      </c>
      <c r="G5" s="1799"/>
      <c r="H5" s="1794">
        <v>39151</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3025</v>
      </c>
    </row>
    <row r="8" spans="1:11" x14ac:dyDescent="0.2">
      <c r="A8" s="629" t="s">
        <v>342</v>
      </c>
      <c r="B8" s="630"/>
      <c r="C8" s="630"/>
      <c r="D8" s="630"/>
      <c r="E8" s="631"/>
      <c r="F8" s="622" t="s">
        <v>846</v>
      </c>
      <c r="G8" s="1803"/>
      <c r="H8" s="1803"/>
      <c r="I8" s="1803"/>
      <c r="J8" s="1795">
        <v>235043</v>
      </c>
      <c r="K8" s="1798"/>
    </row>
    <row r="9" spans="1:11" x14ac:dyDescent="0.2">
      <c r="A9" s="629" t="s">
        <v>137</v>
      </c>
      <c r="B9" s="630"/>
      <c r="C9" s="630"/>
      <c r="D9" s="630"/>
      <c r="E9" s="631"/>
      <c r="F9" s="628" t="s">
        <v>848</v>
      </c>
      <c r="G9" s="1803"/>
      <c r="H9" s="1799"/>
      <c r="I9" s="1799"/>
      <c r="J9" s="1802"/>
      <c r="K9" s="1795">
        <v>4501</v>
      </c>
    </row>
    <row r="10" spans="1:11" x14ac:dyDescent="0.2">
      <c r="A10" s="2301" t="s">
        <v>1793</v>
      </c>
      <c r="B10" s="2272"/>
      <c r="C10" s="2272"/>
      <c r="D10" s="2272"/>
      <c r="E10" s="2303"/>
      <c r="F10" s="633" t="s">
        <v>857</v>
      </c>
      <c r="G10" s="1803"/>
      <c r="H10" s="1804"/>
      <c r="I10" s="1794"/>
      <c r="J10" s="1795"/>
      <c r="K10" s="1795"/>
    </row>
    <row r="11" spans="1:11" x14ac:dyDescent="0.2">
      <c r="A11" s="2301" t="s">
        <v>159</v>
      </c>
      <c r="B11" s="2272"/>
      <c r="C11" s="2272"/>
      <c r="D11" s="2272"/>
      <c r="E11" s="2302"/>
      <c r="F11" s="622" t="s">
        <v>847</v>
      </c>
      <c r="G11" s="1799"/>
      <c r="H11" s="1794"/>
      <c r="I11" s="1794"/>
      <c r="J11" s="1795"/>
      <c r="K11" s="1801"/>
    </row>
    <row r="12" spans="1:11" ht="13.5" thickBot="1" x14ac:dyDescent="0.25">
      <c r="A12" s="2289" t="s">
        <v>899</v>
      </c>
      <c r="B12" s="2290"/>
      <c r="C12" s="2290"/>
      <c r="D12" s="2290"/>
      <c r="E12" s="2291"/>
      <c r="F12" s="1482"/>
      <c r="G12" s="1805">
        <f>SUM(G5:G11)</f>
        <v>0</v>
      </c>
      <c r="H12" s="1805">
        <f>SUM(H5:H11)</f>
        <v>39151</v>
      </c>
      <c r="I12" s="1805">
        <f>SUM(I5:I11)</f>
        <v>0</v>
      </c>
      <c r="J12" s="1805">
        <f>SUM(J5:J11)</f>
        <v>235043</v>
      </c>
      <c r="K12" s="1805">
        <f>SUM(K5:K11)</f>
        <v>7526</v>
      </c>
    </row>
    <row r="13" spans="1:11" ht="13.5" thickTop="1" x14ac:dyDescent="0.2">
      <c r="A13" s="2283" t="s">
        <v>367</v>
      </c>
      <c r="B13" s="2284"/>
      <c r="C13" s="2284"/>
      <c r="D13" s="2284"/>
      <c r="E13" s="2285"/>
      <c r="F13" s="634"/>
      <c r="G13" s="1806"/>
      <c r="H13" s="1807"/>
      <c r="I13" s="1808"/>
      <c r="J13" s="1808"/>
      <c r="K13" s="1808"/>
    </row>
    <row r="14" spans="1:11" x14ac:dyDescent="0.2">
      <c r="A14" s="2307" t="s">
        <v>453</v>
      </c>
      <c r="B14" s="2307"/>
      <c r="C14" s="2307"/>
      <c r="D14" s="2307"/>
      <c r="E14" s="2308"/>
      <c r="F14" s="635" t="s">
        <v>849</v>
      </c>
      <c r="G14" s="1803"/>
      <c r="H14" s="1794">
        <v>39151</v>
      </c>
      <c r="I14" s="1799"/>
      <c r="J14" s="1801"/>
      <c r="K14" s="1795">
        <v>7526</v>
      </c>
    </row>
    <row r="15" spans="1:11" x14ac:dyDescent="0.2">
      <c r="A15" s="2272" t="s">
        <v>4</v>
      </c>
      <c r="B15" s="2272"/>
      <c r="C15" s="2272"/>
      <c r="D15" s="2272"/>
      <c r="E15" s="2302"/>
      <c r="F15" s="635" t="s">
        <v>850</v>
      </c>
      <c r="G15" s="1799"/>
      <c r="H15" s="1794"/>
      <c r="I15" s="1794"/>
      <c r="J15" s="1795">
        <v>235043</v>
      </c>
      <c r="K15" s="1795"/>
    </row>
    <row r="16" spans="1:11" x14ac:dyDescent="0.2">
      <c r="A16" s="2272" t="s">
        <v>295</v>
      </c>
      <c r="B16" s="2272"/>
      <c r="C16" s="2272"/>
      <c r="D16" s="2272"/>
      <c r="E16" s="2302"/>
      <c r="F16" s="635" t="s">
        <v>917</v>
      </c>
      <c r="G16" s="1800"/>
      <c r="H16" s="1796"/>
      <c r="I16" s="1796"/>
      <c r="J16" s="1798"/>
      <c r="K16" s="1798"/>
    </row>
    <row r="17" spans="1:15" x14ac:dyDescent="0.2">
      <c r="A17" s="2296" t="s">
        <v>929</v>
      </c>
      <c r="B17" s="2296"/>
      <c r="C17" s="2296"/>
      <c r="D17" s="2296"/>
      <c r="E17" s="2297"/>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309" t="s">
        <v>1789</v>
      </c>
      <c r="B19" s="2309"/>
      <c r="C19" s="2309"/>
      <c r="D19" s="2309"/>
      <c r="E19" s="2310"/>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292" t="s">
        <v>633</v>
      </c>
      <c r="B21" s="2292"/>
      <c r="C21" s="2292"/>
      <c r="D21" s="2292"/>
      <c r="E21" s="2292"/>
      <c r="F21" s="1483"/>
      <c r="G21" s="1810"/>
      <c r="H21" s="1814"/>
      <c r="I21" s="1814"/>
      <c r="J21" s="1815">
        <f>SUM(J18:J20)</f>
        <v>0</v>
      </c>
      <c r="K21" s="1811"/>
    </row>
    <row r="22" spans="1:15" ht="13.5" thickTop="1" x14ac:dyDescent="0.2">
      <c r="A22" s="2272" t="s">
        <v>1795</v>
      </c>
      <c r="B22" s="2272"/>
      <c r="C22" s="2272"/>
      <c r="D22" s="2272"/>
      <c r="E22" s="2302"/>
      <c r="F22" s="635" t="s">
        <v>857</v>
      </c>
      <c r="G22" s="1803"/>
      <c r="H22" s="1794"/>
      <c r="I22" s="1794"/>
      <c r="J22" s="1816"/>
      <c r="K22" s="1795"/>
    </row>
    <row r="23" spans="1:15" ht="13.5" thickBot="1" x14ac:dyDescent="0.25">
      <c r="A23" s="2293" t="s">
        <v>900</v>
      </c>
      <c r="B23" s="2292"/>
      <c r="C23" s="2292"/>
      <c r="D23" s="2292"/>
      <c r="E23" s="2292"/>
      <c r="F23" s="1485"/>
      <c r="G23" s="1805">
        <f>SUM(G14:G16,G21,G22)</f>
        <v>0</v>
      </c>
      <c r="H23" s="1805">
        <f>SUM(H14:H16,H21,H22)</f>
        <v>39151</v>
      </c>
      <c r="I23" s="1805">
        <f>SUM(I14:I16,I21,I22)</f>
        <v>0</v>
      </c>
      <c r="J23" s="1805">
        <f>SUM(J14:J16,J21,J22)</f>
        <v>235043</v>
      </c>
      <c r="K23" s="1805">
        <f>SUM(K14:K16,K21,K22)</f>
        <v>7526</v>
      </c>
      <c r="M23" s="1904"/>
      <c r="N23" s="1904"/>
      <c r="O23" s="1904"/>
    </row>
    <row r="24" spans="1:15" ht="14.25" thickTop="1" thickBot="1" x14ac:dyDescent="0.25">
      <c r="A24" s="2294" t="str">
        <f>"Ending Cash Basis Fund Balance as of June 30, "&amp;'AFR20'!E2</f>
        <v>Ending Cash Basis Fund Balance as of June 30, 2020</v>
      </c>
      <c r="B24" s="2295"/>
      <c r="C24" s="2295"/>
      <c r="D24" s="2295"/>
      <c r="E24" s="229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2030</v>
      </c>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73"/>
      <c r="C41" s="2273"/>
      <c r="D41" s="2273"/>
      <c r="E41" s="2273"/>
      <c r="F41" s="227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95" customHeight="1" x14ac:dyDescent="0.2">
      <c r="A47" s="661"/>
      <c r="B47" s="662" t="s">
        <v>1660</v>
      </c>
      <c r="E47" s="662"/>
      <c r="K47" s="664"/>
    </row>
    <row r="48" spans="1:11" ht="12.9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L12" sqref="L12:L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4277804</v>
      </c>
      <c r="D8" s="1821">
        <f>5160758+2843886</f>
        <v>8004644</v>
      </c>
      <c r="E8" s="1821"/>
      <c r="F8" s="1815">
        <f>(C8+D8)-E8</f>
        <v>12282448</v>
      </c>
      <c r="G8" s="681">
        <v>50</v>
      </c>
      <c r="H8" s="619">
        <v>1704939</v>
      </c>
      <c r="I8" s="619">
        <v>230820</v>
      </c>
      <c r="J8" s="619"/>
      <c r="K8" s="1491">
        <f>(H8+I8)-J8</f>
        <v>1935759</v>
      </c>
      <c r="L8" s="1491">
        <f>F8-K8</f>
        <v>10346689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18135</v>
      </c>
      <c r="D10" s="1822"/>
      <c r="E10" s="1822"/>
      <c r="F10" s="1823">
        <f>(C10+D10)-E10</f>
        <v>18135</v>
      </c>
      <c r="G10" s="681">
        <v>20</v>
      </c>
      <c r="H10" s="683">
        <v>18135</v>
      </c>
      <c r="I10" s="683"/>
      <c r="J10" s="683"/>
      <c r="K10" s="1491">
        <f>(H10+I10)-J10</f>
        <v>18135</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321086</v>
      </c>
      <c r="D12" s="1821">
        <f>381669+5375+12137</f>
        <v>399181</v>
      </c>
      <c r="E12" s="1821">
        <v>71950</v>
      </c>
      <c r="F12" s="1815">
        <f>(C12+D12)-E12</f>
        <v>648317</v>
      </c>
      <c r="G12" s="681">
        <v>10</v>
      </c>
      <c r="H12" s="619">
        <v>243229</v>
      </c>
      <c r="I12" s="619">
        <v>64028</v>
      </c>
      <c r="J12" s="619">
        <v>71950</v>
      </c>
      <c r="K12" s="1491">
        <f>(H12+I12)-J12</f>
        <v>235307</v>
      </c>
      <c r="L12" s="1491">
        <f>F12-K12</f>
        <v>413010</v>
      </c>
    </row>
    <row r="13" spans="1:14" ht="14.25" thickTop="1" thickBot="1" x14ac:dyDescent="0.25">
      <c r="A13" s="684" t="s">
        <v>1114</v>
      </c>
      <c r="B13" s="679">
        <v>252</v>
      </c>
      <c r="C13" s="1821">
        <v>299303</v>
      </c>
      <c r="D13" s="1821"/>
      <c r="E13" s="1821">
        <f>28740+118841+27995+47846+20116</f>
        <v>243538</v>
      </c>
      <c r="F13" s="1815">
        <f>(C13+D13)-E13</f>
        <v>55765</v>
      </c>
      <c r="G13" s="681">
        <v>5</v>
      </c>
      <c r="H13" s="619">
        <v>277418</v>
      </c>
      <c r="I13" s="619">
        <v>11153</v>
      </c>
      <c r="J13" s="619">
        <f>223422+20116</f>
        <v>243538</v>
      </c>
      <c r="K13" s="1491">
        <f>(H13+I13)-J13</f>
        <v>45033</v>
      </c>
      <c r="L13" s="1491">
        <f>F13-K13</f>
        <v>10732</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2843886</v>
      </c>
      <c r="D15" s="1821">
        <v>173026</v>
      </c>
      <c r="E15" s="1821">
        <v>2843886</v>
      </c>
      <c r="F15" s="1815">
        <f>(C15+D15)-E15</f>
        <v>173026</v>
      </c>
      <c r="G15" s="685" t="s">
        <v>857</v>
      </c>
      <c r="H15" s="632"/>
      <c r="I15" s="632"/>
      <c r="J15" s="632"/>
      <c r="K15" s="632"/>
      <c r="L15" s="1491">
        <f>F15-K15</f>
        <v>173026</v>
      </c>
    </row>
    <row r="16" spans="1:14" ht="15" customHeight="1" thickTop="1" thickBot="1" x14ac:dyDescent="0.25">
      <c r="A16" s="1487" t="s">
        <v>638</v>
      </c>
      <c r="B16" s="1488">
        <v>200</v>
      </c>
      <c r="C16" s="1815">
        <f>SUM(C3,C5:C6,C8:C10,C12:C15)</f>
        <v>7760214</v>
      </c>
      <c r="D16" s="1815">
        <f>SUM(D3,D5:D6,D8:D10,D12:D15)</f>
        <v>8576851</v>
      </c>
      <c r="E16" s="1815">
        <f>SUM(E3,E5:E6,E8:E10,E12:E15)</f>
        <v>3159374</v>
      </c>
      <c r="F16" s="1815">
        <f>SUM(F3,F5:F6,F8:F10,F12:F15)</f>
        <v>13177691</v>
      </c>
      <c r="G16" s="681"/>
      <c r="H16" s="1484">
        <f>SUM(H3,H6,H8:H10,H12:H14,)</f>
        <v>2243721</v>
      </c>
      <c r="I16" s="1484">
        <f>SUM(I3,I6,I8:I10,I12:I14,)</f>
        <v>306001</v>
      </c>
      <c r="J16" s="1484">
        <f>SUM(J3,J6,J8:J10,J12:J14,)</f>
        <v>315488</v>
      </c>
      <c r="K16" s="1484">
        <f>(H16+I16)-J16</f>
        <v>2234234</v>
      </c>
      <c r="L16" s="1484">
        <f>F16-K16</f>
        <v>10943457</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306001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4" activePane="bottomLeft" state="frozen"/>
      <selection activeCell="B7" sqref="B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3969265</v>
      </c>
      <c r="G8" s="701"/>
    </row>
    <row r="9" spans="1:9" x14ac:dyDescent="0.2">
      <c r="A9" s="705" t="s">
        <v>457</v>
      </c>
      <c r="B9" s="706" t="s">
        <v>1851</v>
      </c>
      <c r="C9" s="707"/>
      <c r="D9" s="705" t="s">
        <v>498</v>
      </c>
      <c r="E9" s="704"/>
      <c r="F9" s="1825">
        <f>'Expenditures 15-22'!K151</f>
        <v>819163</v>
      </c>
      <c r="G9" s="708"/>
    </row>
    <row r="10" spans="1:9" x14ac:dyDescent="0.2">
      <c r="A10" s="705" t="s">
        <v>496</v>
      </c>
      <c r="B10" s="706" t="s">
        <v>1852</v>
      </c>
      <c r="C10" s="707"/>
      <c r="D10" s="705" t="s">
        <v>498</v>
      </c>
      <c r="E10" s="704"/>
      <c r="F10" s="1825">
        <f>'Expenditures 15-22'!K174</f>
        <v>673066</v>
      </c>
      <c r="G10" s="708"/>
    </row>
    <row r="11" spans="1:9" x14ac:dyDescent="0.2">
      <c r="A11" s="705" t="s">
        <v>458</v>
      </c>
      <c r="B11" s="706" t="s">
        <v>1853</v>
      </c>
      <c r="C11" s="707"/>
      <c r="D11" s="705" t="s">
        <v>498</v>
      </c>
      <c r="E11" s="704"/>
      <c r="F11" s="1825">
        <f>'Expenditures 15-22'!K210</f>
        <v>354530</v>
      </c>
      <c r="G11" s="708"/>
    </row>
    <row r="12" spans="1:9" x14ac:dyDescent="0.2">
      <c r="A12" s="705" t="s">
        <v>459</v>
      </c>
      <c r="B12" s="706" t="s">
        <v>1854</v>
      </c>
      <c r="C12" s="707"/>
      <c r="D12" s="705" t="s">
        <v>498</v>
      </c>
      <c r="E12" s="704"/>
      <c r="F12" s="1825">
        <f>'Expenditures 15-22'!K295</f>
        <v>110946</v>
      </c>
      <c r="G12" s="708"/>
    </row>
    <row r="13" spans="1:9" x14ac:dyDescent="0.2">
      <c r="A13" s="705" t="s">
        <v>106</v>
      </c>
      <c r="B13" s="706" t="s">
        <v>1855</v>
      </c>
      <c r="C13" s="707"/>
      <c r="D13" s="705" t="s">
        <v>498</v>
      </c>
      <c r="E13" s="704"/>
      <c r="F13" s="1825">
        <f>'Expenditures 15-22'!K342</f>
        <v>389513</v>
      </c>
      <c r="G13" s="709"/>
    </row>
    <row r="14" spans="1:9" ht="12" customHeight="1" thickBot="1" x14ac:dyDescent="0.25">
      <c r="A14" s="1492"/>
      <c r="B14" s="1493"/>
      <c r="C14" s="1494"/>
      <c r="D14" s="1495" t="s">
        <v>498</v>
      </c>
      <c r="E14" s="1496" t="s">
        <v>952</v>
      </c>
      <c r="F14" s="1826">
        <f>SUM(F8:F13)</f>
        <v>6316483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68269</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188911</v>
      </c>
      <c r="G53" s="701"/>
    </row>
    <row r="54" spans="1:7" x14ac:dyDescent="0.2">
      <c r="A54" s="705" t="s">
        <v>456</v>
      </c>
      <c r="B54" s="705" t="s">
        <v>1462</v>
      </c>
      <c r="C54" s="724" t="s">
        <v>975</v>
      </c>
      <c r="D54" s="720" t="s">
        <v>1088</v>
      </c>
      <c r="E54" s="704"/>
      <c r="F54" s="1832">
        <f>'Expenditures 15-22'!G114</f>
        <v>33495</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4509</v>
      </c>
      <c r="G57" s="701"/>
    </row>
    <row r="58" spans="1:7" x14ac:dyDescent="0.2">
      <c r="A58" s="705" t="s">
        <v>457</v>
      </c>
      <c r="B58" s="705" t="s">
        <v>1857</v>
      </c>
      <c r="C58" s="721" t="s">
        <v>975</v>
      </c>
      <c r="D58" s="720" t="s">
        <v>1088</v>
      </c>
      <c r="E58" s="704"/>
      <c r="F58" s="1834">
        <f>'Expenditures 15-22'!G151</f>
        <v>381669</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295000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4235</v>
      </c>
      <c r="G64" s="701"/>
    </row>
    <row r="65" spans="1:9" x14ac:dyDescent="0.2">
      <c r="A65" s="705" t="s">
        <v>458</v>
      </c>
      <c r="B65" s="705" t="s">
        <v>1864</v>
      </c>
      <c r="C65" s="721" t="s">
        <v>975</v>
      </c>
      <c r="D65" s="720" t="s">
        <v>1088</v>
      </c>
      <c r="E65" s="704"/>
      <c r="F65" s="1832">
        <f>'Expenditures 15-22'!G210</f>
        <v>12137</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1202</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989427</v>
      </c>
      <c r="G77" s="701"/>
    </row>
    <row r="78" spans="1:9" s="728" customFormat="1" ht="12" customHeight="1" thickTop="1" thickBot="1" x14ac:dyDescent="0.25">
      <c r="A78" s="1499"/>
      <c r="B78" s="1497"/>
      <c r="C78" s="1494"/>
      <c r="D78" s="1498" t="s">
        <v>2015</v>
      </c>
      <c r="E78" s="1496"/>
      <c r="F78" s="1838">
        <f>(F14-F77)</f>
        <v>5327056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466</v>
      </c>
      <c r="G79" s="733"/>
      <c r="H79" s="705"/>
      <c r="I79" s="705"/>
    </row>
    <row r="80" spans="1:9" s="728" customFormat="1" ht="12" customHeight="1" thickBot="1" x14ac:dyDescent="0.25">
      <c r="A80" s="1501"/>
      <c r="B80" s="1497"/>
      <c r="C80" s="1494"/>
      <c r="D80" s="1498" t="s">
        <v>2016</v>
      </c>
      <c r="E80" s="1496" t="s">
        <v>952</v>
      </c>
      <c r="F80" s="1840">
        <f>IF(F79&gt;0,F78/F79," Complete Line 79")</f>
        <v>11431.450643776823</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43392</v>
      </c>
      <c r="G95" s="745"/>
    </row>
    <row r="96" spans="1:7" x14ac:dyDescent="0.2">
      <c r="A96" s="741" t="s">
        <v>139</v>
      </c>
      <c r="B96" s="741" t="s">
        <v>174</v>
      </c>
      <c r="C96" s="743">
        <v>1700</v>
      </c>
      <c r="D96" s="751" t="str">
        <f>'Revenues 9-14'!A82</f>
        <v>Total District/School Activity Income</v>
      </c>
      <c r="E96" s="739"/>
      <c r="F96" s="1843">
        <f>SUM('Revenues 9-14'!C82,'Revenues 9-14'!D82)</f>
        <v>75394</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11252</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778</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4501</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172175</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68833</v>
      </c>
      <c r="G126" s="763"/>
    </row>
    <row r="127" spans="1:7" x14ac:dyDescent="0.2">
      <c r="A127" s="760" t="s">
        <v>663</v>
      </c>
      <c r="B127" s="760" t="s">
        <v>1934</v>
      </c>
      <c r="C127" s="765">
        <v>4300</v>
      </c>
      <c r="D127" s="766" t="str">
        <f>'Revenues 9-14'!A204</f>
        <v>Total Title I</v>
      </c>
      <c r="E127" s="739"/>
      <c r="F127" s="1843">
        <f>SUM('Revenues 9-14'!C204,'Revenues 9-14'!D204,'Revenues 9-14'!F204,'Revenues 9-14'!G204)</f>
        <v>77160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7500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15135</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11342</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151820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640032</v>
      </c>
    </row>
    <row r="176" spans="1:7" ht="12" customHeight="1" x14ac:dyDescent="0.2">
      <c r="A176" s="1492"/>
      <c r="B176" s="1502"/>
      <c r="C176" s="1503"/>
      <c r="D176" s="1504" t="s">
        <v>2017</v>
      </c>
      <c r="E176" s="1505"/>
      <c r="F176" s="1843">
        <f>'PCTC-OEPP 27-28'!F78-F175</f>
        <v>4687024</v>
      </c>
    </row>
    <row r="177" spans="1:9" ht="12" customHeight="1" x14ac:dyDescent="0.2">
      <c r="A177" s="1492"/>
      <c r="B177" s="1502"/>
      <c r="C177" s="1503"/>
      <c r="D177" s="1504" t="s">
        <v>1797</v>
      </c>
      <c r="E177" s="1505"/>
      <c r="F177" s="1843">
        <f>'Cap Outlay Deprec 26'!I18</f>
        <v>306001</v>
      </c>
    </row>
    <row r="178" spans="1:9" ht="12" customHeight="1" x14ac:dyDescent="0.2">
      <c r="A178" s="1492"/>
      <c r="B178" s="1502"/>
      <c r="C178" s="1503"/>
      <c r="D178" s="1504" t="s">
        <v>2018</v>
      </c>
      <c r="E178" s="1505"/>
      <c r="F178" s="1843">
        <f>F176+F177</f>
        <v>4993025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466</v>
      </c>
      <c r="G179" s="763"/>
      <c r="I179" s="701"/>
    </row>
    <row r="180" spans="1:9" ht="12" customHeight="1" thickBot="1" x14ac:dyDescent="0.25">
      <c r="A180" s="1492"/>
      <c r="B180" s="1506"/>
      <c r="C180" s="1503"/>
      <c r="D180" s="1504" t="s">
        <v>2020</v>
      </c>
      <c r="E180" s="1505" t="s">
        <v>1531</v>
      </c>
      <c r="F180" s="1848">
        <f>F178/F179</f>
        <v>10714.64592274678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D19" sqref="D19"/>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9" t="s">
        <v>2055</v>
      </c>
      <c r="B18" s="1971"/>
      <c r="C18" s="1982"/>
      <c r="D18" s="1949">
        <v>0.1</v>
      </c>
      <c r="E18" s="1969">
        <f t="shared" ref="E18:E81" si="0">IF(D18&lt;25000,D18,"25,000")</f>
        <v>0.1</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0.1</v>
      </c>
      <c r="E142" s="1956">
        <f>SUM(E18:E141)</f>
        <v>0.1</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v>16356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2893659</v>
      </c>
      <c r="F19" s="1852"/>
      <c r="G19" s="1854">
        <f>'Expenditures 15-22'!K33-SUM('Expenditures 15-22'!G33,'Expenditures 15-22'!I33)+'Expenditures 15-22'!D229</f>
        <v>2893659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75229</v>
      </c>
      <c r="F21" s="1855"/>
      <c r="G21" s="1858">
        <f>'Expenditures 15-22'!K42-SUM('Expenditures 15-22'!G42,'Expenditures 15-22'!I42)+'Expenditures 15-22'!K120-SUM('Expenditures 15-22'!G120,'Expenditures 15-22'!I120)+'Expenditures 15-22'!K180-SUM('Expenditures 15-22'!G180,'Expenditures 15-22'!I180)+'Expenditures 15-22'!D238</f>
        <v>75229</v>
      </c>
      <c r="H21" s="817"/>
      <c r="I21" s="157"/>
    </row>
    <row r="22" spans="1:9" s="542" customFormat="1" ht="12" customHeight="1" x14ac:dyDescent="0.2">
      <c r="A22" s="824" t="s">
        <v>560</v>
      </c>
      <c r="B22" s="825"/>
      <c r="C22" s="823">
        <v>2200</v>
      </c>
      <c r="D22" s="1855"/>
      <c r="E22" s="1857">
        <f>'Expenditures 15-22'!K47-SUM('Expenditures 15-22'!G47,'Expenditures 15-22'!I47)+'Expenditures 15-22'!D243</f>
        <v>146363</v>
      </c>
      <c r="F22" s="1855"/>
      <c r="G22" s="1858">
        <f>'Expenditures 15-22'!K47-SUM('Expenditures 15-22'!G47,'Expenditures 15-22'!I47)+'Expenditures 15-22'!D243</f>
        <v>146363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498082</v>
      </c>
      <c r="F23" s="1855"/>
      <c r="G23" s="1857">
        <f>'Expenditures 15-22'!K53-SUM('Expenditures 15-22'!G53,'Expenditures 15-22'!I53)+'Expenditures 15-22'!D257+'Expenditures 15-22'!K330-SUM('Expenditures 15-22'!G330,'Expenditures 15-22'!I330)</f>
        <v>498082</v>
      </c>
      <c r="H23" s="817"/>
      <c r="I23" s="157"/>
    </row>
    <row r="24" spans="1:9" s="542" customFormat="1" ht="12" customHeight="1" x14ac:dyDescent="0.2">
      <c r="A24" s="824" t="s">
        <v>562</v>
      </c>
      <c r="B24" s="825"/>
      <c r="C24" s="823">
        <v>2400</v>
      </c>
      <c r="D24" s="1855"/>
      <c r="E24" s="1857">
        <f>'Expenditures 15-22'!K57-SUM('Expenditures 15-22'!G57,'Expenditures 15-22'!I57)+'Expenditures 15-22'!D261</f>
        <v>245872</v>
      </c>
      <c r="F24" s="1855"/>
      <c r="G24" s="1858">
        <f>'Expenditures 15-22'!K57-SUM('Expenditures 15-22'!G57,'Expenditures 15-22'!I57)+'Expenditures 15-22'!D261</f>
        <v>245872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77277</v>
      </c>
      <c r="E27" s="1857">
        <f>E8</f>
        <v>0</v>
      </c>
      <c r="F27" s="1857">
        <f>'Expenditures 15-22'!K60-SUM('Expenditures 15-22'!G60,'Expenditures 15-22'!I60)+'Expenditures 15-22'!D264-E8</f>
        <v>77277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447165</v>
      </c>
      <c r="F28" s="1859">
        <f>'Expenditures 15-22'!K61-SUM('Expenditures 15-22'!G61,'Expenditures 15-22'!I61)+'Expenditures 15-22'!K124-SUM('Expenditures 15-22'!G124,'Expenditures 15-22'!I124)+'Expenditures 15-22'!D266-E9</f>
        <v>447165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351563</v>
      </c>
      <c r="F29" s="1855"/>
      <c r="G29" s="1858">
        <f>'Expenditures 15-22'!K62-SUM('Expenditures 15-22'!G62,'Expenditures 15-22'!I62)+'Expenditures 15-22'!K125-SUM('Expenditures 15-22'!G125,'Expenditures 15-22'!I125)+'Expenditures 15-22'!K182-SUM('Expenditures 15-22'!G182,'Expenditures 15-22'!I182)+'Expenditures 15-22'!D267</f>
        <v>351563</v>
      </c>
      <c r="H29" s="815"/>
    </row>
    <row r="30" spans="1:9" ht="12" customHeight="1" x14ac:dyDescent="0.2">
      <c r="A30" s="824" t="s">
        <v>100</v>
      </c>
      <c r="B30" s="827"/>
      <c r="C30" s="823">
        <v>2560</v>
      </c>
      <c r="D30" s="1855"/>
      <c r="E30" s="1857">
        <f>'Expenditures 15-22'!K63-SUM('Expenditures 15-22'!G63,'Expenditures 15-22'!I63)+'Expenditures 15-22'!D268-E10</f>
        <v>129269</v>
      </c>
      <c r="F30" s="1855"/>
      <c r="G30" s="1857">
        <f>'Expenditures 15-22'!K63-SUM('Expenditures 15-22'!G63,'Expenditures 15-22'!I63)+'Expenditures 15-22'!D268-E10</f>
        <v>129269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29396</v>
      </c>
      <c r="F35" s="1855"/>
      <c r="G35" s="1857">
        <f>'Expenditures 15-22'!K69-SUM('Expenditures 15-22'!G69,'Expenditures 15-22'!I69)+'Expenditures 15-22'!D274</f>
        <v>29396</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124465</v>
      </c>
      <c r="E37" s="1857">
        <f>E14</f>
        <v>0</v>
      </c>
      <c r="F37" s="1857">
        <f>'Expenditures 15-22'!K71-SUM('Expenditures 15-22'!G71,'Expenditures 15-22'!I71)+'Expenditures 15-22'!D276-E14</f>
        <v>124465</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201742</v>
      </c>
      <c r="E41" s="1859">
        <f>SUM(E19:E40)</f>
        <v>4816598</v>
      </c>
      <c r="F41" s="1859">
        <f>SUM(F19:F39)</f>
        <v>648907</v>
      </c>
      <c r="G41" s="1859">
        <f>SUM(G19:G40)</f>
        <v>4369433</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201742</v>
      </c>
      <c r="F43" s="1507" t="s">
        <v>470</v>
      </c>
      <c r="G43" s="1860">
        <f>F41</f>
        <v>648907</v>
      </c>
    </row>
    <row r="44" spans="1:7" ht="12" customHeight="1" x14ac:dyDescent="0.2">
      <c r="A44" s="817"/>
      <c r="B44" s="157"/>
      <c r="C44" s="831"/>
      <c r="D44" s="1507" t="s">
        <v>471</v>
      </c>
      <c r="E44" s="1860">
        <f>E41</f>
        <v>4816598</v>
      </c>
      <c r="F44" s="1507" t="s">
        <v>471</v>
      </c>
      <c r="G44" s="1860">
        <f>G41</f>
        <v>4369433</v>
      </c>
    </row>
    <row r="45" spans="1:7" ht="12" customHeight="1" x14ac:dyDescent="0.2">
      <c r="A45" s="817"/>
      <c r="B45" s="157"/>
      <c r="C45" s="157"/>
      <c r="D45" s="1508" t="s">
        <v>999</v>
      </c>
      <c r="E45" s="1861">
        <f>(E43/E44)</f>
        <v>4.1884749360440711E-2</v>
      </c>
      <c r="F45" s="1508" t="s">
        <v>999</v>
      </c>
      <c r="G45" s="1861">
        <f>(G43/G44)</f>
        <v>0.14851057333983608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4" activePane="bottomLeft" state="frozen"/>
      <selection activeCell="B7" sqref="B7"/>
      <selection pane="bottomLeft" activeCell="F33" sqref="F33:F3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0" t="s">
        <v>1365</v>
      </c>
      <c r="B1" s="2350"/>
      <c r="C1" s="2350"/>
      <c r="D1" s="2350"/>
      <c r="E1" s="2350"/>
      <c r="F1" s="235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1" t="s">
        <v>1532</v>
      </c>
      <c r="B5" s="2352"/>
      <c r="C5" s="2353"/>
      <c r="D5" s="2353"/>
      <c r="E5" s="2353"/>
      <c r="F5" s="2353"/>
      <c r="G5" s="1556"/>
      <c r="L5" s="1556"/>
      <c r="M5" s="1913"/>
      <c r="N5" s="1913"/>
      <c r="O5" s="1913"/>
    </row>
    <row r="6" spans="1:15" ht="12" customHeight="1" x14ac:dyDescent="0.25">
      <c r="A6" s="1529"/>
      <c r="B6" s="1530"/>
      <c r="C6" s="2354" t="str">
        <f>COVER!A17</f>
        <v>Ashton-Franklin Center CUSD 275</v>
      </c>
      <c r="D6" s="2354"/>
      <c r="E6" s="2354"/>
      <c r="F6" s="1531"/>
      <c r="G6" s="1556"/>
      <c r="L6" s="1556"/>
      <c r="M6" s="1913"/>
      <c r="N6" s="1913"/>
      <c r="O6" s="1913"/>
    </row>
    <row r="7" spans="1:15" ht="11.25" customHeight="1" thickBot="1" x14ac:dyDescent="0.3">
      <c r="A7" s="1529"/>
      <c r="B7" s="1530"/>
      <c r="C7" s="2355">
        <f>COVER!A13</f>
        <v>47052275026</v>
      </c>
      <c r="D7" s="2355"/>
      <c r="E7" s="235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2030</v>
      </c>
      <c r="D26" s="1544" t="s">
        <v>2030</v>
      </c>
      <c r="E26" s="1547"/>
      <c r="F26" s="1546" t="s">
        <v>2031</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2030</v>
      </c>
      <c r="D30" s="1544" t="s">
        <v>2030</v>
      </c>
      <c r="E30" s="1547"/>
      <c r="F30" s="1546" t="s">
        <v>2034</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56"/>
      <c r="D35" s="2356"/>
      <c r="E35" s="2356"/>
      <c r="F35" s="2357"/>
    </row>
    <row r="36" spans="1:15" ht="12" customHeight="1" x14ac:dyDescent="0.2">
      <c r="A36" s="2358" t="s">
        <v>2032</v>
      </c>
      <c r="B36" s="2359"/>
      <c r="C36" s="2359"/>
      <c r="D36" s="2359"/>
      <c r="E36" s="2359"/>
      <c r="F36" s="2360"/>
    </row>
    <row r="37" spans="1:15" ht="12" customHeight="1" x14ac:dyDescent="0.2">
      <c r="A37" s="2358" t="s">
        <v>2033</v>
      </c>
      <c r="B37" s="2359"/>
      <c r="C37" s="2359"/>
      <c r="D37" s="2359"/>
      <c r="E37" s="2359"/>
      <c r="F37" s="2360"/>
    </row>
    <row r="38" spans="1:15" ht="12" customHeight="1" x14ac:dyDescent="0.2">
      <c r="A38" s="2364"/>
      <c r="B38" s="2365"/>
      <c r="C38" s="2365"/>
      <c r="D38" s="2365"/>
      <c r="E38" s="2365"/>
      <c r="F38" s="2366"/>
    </row>
    <row r="39" spans="1:15" ht="4.5" hidden="1" customHeight="1" x14ac:dyDescent="0.2">
      <c r="A39" s="1551"/>
      <c r="B39" s="1551"/>
      <c r="C39" s="1551"/>
      <c r="D39" s="1551"/>
      <c r="E39" s="1551"/>
      <c r="F39" s="1551"/>
    </row>
    <row r="40" spans="1:15" s="1548" customFormat="1" ht="12" customHeight="1" x14ac:dyDescent="0.25">
      <c r="A40" s="1552" t="s">
        <v>1377</v>
      </c>
      <c r="B40" s="1553"/>
      <c r="C40" s="2367"/>
      <c r="D40" s="2367"/>
      <c r="E40" s="2367"/>
      <c r="F40" s="2368"/>
      <c r="H40" s="1557"/>
      <c r="I40" s="1557"/>
      <c r="J40" s="1557"/>
      <c r="K40" s="1557"/>
    </row>
    <row r="41" spans="1:15" s="1548" customFormat="1" ht="12" customHeight="1" x14ac:dyDescent="0.25">
      <c r="A41" s="2369"/>
      <c r="B41" s="2370"/>
      <c r="C41" s="2370"/>
      <c r="D41" s="2370"/>
      <c r="E41" s="2370"/>
      <c r="F41" s="2371"/>
      <c r="H41" s="1557"/>
      <c r="I41" s="1557"/>
      <c r="J41" s="1557"/>
      <c r="K41" s="1557"/>
    </row>
    <row r="42" spans="1:15" s="1548" customFormat="1" ht="12" customHeight="1" x14ac:dyDescent="0.25">
      <c r="A42" s="2369"/>
      <c r="B42" s="2370"/>
      <c r="C42" s="2370"/>
      <c r="D42" s="2370"/>
      <c r="E42" s="2370"/>
      <c r="F42" s="2371"/>
      <c r="H42" s="1557"/>
      <c r="I42" s="1557"/>
      <c r="J42" s="1557"/>
      <c r="K42" s="1557"/>
    </row>
    <row r="43" spans="1:15" s="1548" customFormat="1" ht="15" x14ac:dyDescent="0.25">
      <c r="A43" s="2361"/>
      <c r="B43" s="2362"/>
      <c r="C43" s="2362"/>
      <c r="D43" s="2362"/>
      <c r="E43" s="2362"/>
      <c r="F43" s="2363"/>
      <c r="H43" s="1557"/>
      <c r="I43" s="1557"/>
      <c r="J43" s="1557"/>
      <c r="K43" s="1557"/>
    </row>
    <row r="44" spans="1:15" s="1548" customFormat="1" ht="12" hidden="1" customHeight="1" x14ac:dyDescent="0.25">
      <c r="A44" s="2361"/>
      <c r="B44" s="2362"/>
      <c r="C44" s="2362"/>
      <c r="D44" s="2362"/>
      <c r="E44" s="2362"/>
      <c r="F44" s="236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44:F44"/>
    <mergeCell ref="A38:F38"/>
    <mergeCell ref="C40:F40"/>
    <mergeCell ref="A41:F41"/>
    <mergeCell ref="A42:F42"/>
    <mergeCell ref="A43:F43"/>
    <mergeCell ref="A37:F37"/>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13"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Ashton-Franklin Center CUSD 275</v>
      </c>
      <c r="J6" s="2378"/>
      <c r="K6" s="2379"/>
      <c r="R6" s="1427"/>
    </row>
    <row r="7" spans="1:18" x14ac:dyDescent="0.2">
      <c r="A7" s="2380" t="s">
        <v>864</v>
      </c>
      <c r="B7" s="2381"/>
      <c r="C7" s="2381"/>
      <c r="D7" s="2381"/>
      <c r="E7" s="2382"/>
      <c r="F7" s="847"/>
      <c r="G7" s="839"/>
      <c r="H7" s="846" t="s">
        <v>369</v>
      </c>
      <c r="I7" s="2383">
        <f>COVER!A13</f>
        <v>47052275026</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45669</v>
      </c>
      <c r="F12" s="1864"/>
      <c r="G12" s="1863">
        <f t="shared" ref="G12:G18" si="0">SUM(E12:F12)</f>
        <v>45669</v>
      </c>
      <c r="H12" s="1865">
        <v>119750</v>
      </c>
      <c r="I12" s="1864"/>
      <c r="J12" s="1865"/>
      <c r="K12" s="1863">
        <f t="shared" ref="K12:K18" si="1">SUM(H12:J12)</f>
        <v>119750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45669</v>
      </c>
      <c r="F19" s="1868">
        <f t="shared" si="2"/>
        <v>0</v>
      </c>
      <c r="G19" s="1868">
        <f t="shared" si="2"/>
        <v>45669</v>
      </c>
      <c r="H19" s="1868">
        <f t="shared" si="2"/>
        <v>119750</v>
      </c>
      <c r="I19" s="1868">
        <f t="shared" si="2"/>
        <v>0</v>
      </c>
      <c r="J19" s="1868">
        <f t="shared" si="2"/>
        <v>0</v>
      </c>
      <c r="K19" s="1868">
        <f t="shared" si="2"/>
        <v>119750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1.6221287963388733</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9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1999999999999993"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B14" sqref="B1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2049</v>
      </c>
    </row>
    <row r="6" spans="1:2" x14ac:dyDescent="0.2">
      <c r="A6" s="892">
        <v>2</v>
      </c>
      <c r="B6" s="307" t="s">
        <v>2050</v>
      </c>
    </row>
    <row r="7" spans="1:2" x14ac:dyDescent="0.2">
      <c r="A7" s="892">
        <v>3</v>
      </c>
      <c r="B7" s="307" t="s">
        <v>2051</v>
      </c>
    </row>
    <row r="8" spans="1:2" x14ac:dyDescent="0.2">
      <c r="A8" s="892">
        <v>4</v>
      </c>
      <c r="B8" s="307" t="s">
        <v>2052</v>
      </c>
    </row>
    <row r="9" spans="1:2" x14ac:dyDescent="0.2">
      <c r="A9" s="892">
        <v>5</v>
      </c>
      <c r="B9" s="307" t="s">
        <v>2053</v>
      </c>
    </row>
    <row r="10" spans="1:2" x14ac:dyDescent="0.2">
      <c r="A10" s="892">
        <v>6</v>
      </c>
      <c r="B10" s="307" t="s">
        <v>2047</v>
      </c>
    </row>
    <row r="11" spans="1:2" x14ac:dyDescent="0.2">
      <c r="A11" s="892">
        <v>7</v>
      </c>
    </row>
    <row r="12" spans="1:2" x14ac:dyDescent="0.2">
      <c r="A12" s="892">
        <v>8</v>
      </c>
      <c r="B12" s="307" t="s">
        <v>2048</v>
      </c>
    </row>
    <row r="13" spans="1:2" x14ac:dyDescent="0.2">
      <c r="A13" s="892">
        <v>9</v>
      </c>
      <c r="B13" s="307" t="s">
        <v>2054</v>
      </c>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c r="B62" s="253" t="str">
        <f>COVER!A17</f>
        <v>Ashton-Franklin Center CUSD 275</v>
      </c>
    </row>
    <row r="63" spans="1:2" x14ac:dyDescent="0.2">
      <c r="B63" s="894">
        <f>COVER!A13</f>
        <v>47052275026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B8" sqref="B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398" t="s">
        <v>1672</v>
      </c>
      <c r="B1" s="2399"/>
      <c r="C1" s="2399"/>
      <c r="D1" s="2399"/>
      <c r="E1" s="2399"/>
      <c r="F1" s="2400"/>
    </row>
    <row r="2" spans="1:8" ht="45.2"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4315694</v>
      </c>
      <c r="C8" s="1871">
        <f>'Acct Summary 7-8'!D8</f>
        <v>753494</v>
      </c>
      <c r="D8" s="1871">
        <f>'Acct Summary 7-8'!F8</f>
        <v>372326</v>
      </c>
      <c r="E8" s="1871">
        <f>'Acct Summary 7-8'!I8</f>
        <v>50483</v>
      </c>
      <c r="F8" s="1871">
        <f>SUM(B8:E8)</f>
        <v>5491997</v>
      </c>
    </row>
    <row r="9" spans="1:8" s="903" customFormat="1" ht="14.25" customHeight="1" thickBot="1" x14ac:dyDescent="0.25">
      <c r="A9" s="902" t="s">
        <v>1355</v>
      </c>
      <c r="B9" s="1872">
        <f>'Acct Summary 7-8'!C17</f>
        <v>3969265</v>
      </c>
      <c r="C9" s="1872">
        <f>'Acct Summary 7-8'!D17</f>
        <v>819163</v>
      </c>
      <c r="D9" s="1872">
        <f>'Acct Summary 7-8'!F17</f>
        <v>354530</v>
      </c>
      <c r="E9" s="1871"/>
      <c r="F9" s="1871">
        <f>SUM(B9:E9)</f>
        <v>5142958</v>
      </c>
    </row>
    <row r="10" spans="1:8" s="903" customFormat="1" ht="14.25" thickTop="1" thickBot="1" x14ac:dyDescent="0.25">
      <c r="A10" s="904" t="s">
        <v>1356</v>
      </c>
      <c r="B10" s="1873">
        <f>(B8-B9)</f>
        <v>346429</v>
      </c>
      <c r="C10" s="1873">
        <f>(C8-C9)</f>
        <v>-65669</v>
      </c>
      <c r="D10" s="1873">
        <f>(D8-D9)</f>
        <v>17796</v>
      </c>
      <c r="E10" s="1872">
        <f>(E8-E9)</f>
        <v>50483</v>
      </c>
      <c r="F10" s="1874">
        <f>SUM(F8-F9)</f>
        <v>349039</v>
      </c>
    </row>
    <row r="11" spans="1:8" s="903" customFormat="1" ht="14.25" thickTop="1" thickBot="1" x14ac:dyDescent="0.25">
      <c r="A11" s="905" t="s">
        <v>1906</v>
      </c>
      <c r="B11" s="1875">
        <f>'Acct Summary 7-8'!C81</f>
        <v>2096264</v>
      </c>
      <c r="C11" s="1875">
        <f>'Acct Summary 7-8'!D81</f>
        <v>1656862</v>
      </c>
      <c r="D11" s="1875">
        <f>'Acct Summary 7-8'!F81</f>
        <v>478885</v>
      </c>
      <c r="E11" s="1875">
        <f>'Acct Summary 7-8'!I81</f>
        <v>827972</v>
      </c>
      <c r="F11" s="1876">
        <f>SUM(B11:E11)</f>
        <v>5059983</v>
      </c>
    </row>
    <row r="12" spans="1:8" ht="16.7"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D82" sqref="D8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95" customHeight="1" x14ac:dyDescent="0.2">
      <c r="A17" s="980" t="s">
        <v>1675</v>
      </c>
      <c r="B17" s="981"/>
      <c r="C17" s="982"/>
      <c r="D17" s="983"/>
    </row>
    <row r="18" spans="1:10" s="542" customFormat="1" ht="12.9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47052275026</v>
      </c>
      <c r="E2" s="1592">
        <v>2020</v>
      </c>
      <c r="F2" s="1592">
        <v>1</v>
      </c>
      <c r="G2" s="1962">
        <v>101000300</v>
      </c>
    </row>
    <row r="3" spans="1:7" ht="15" x14ac:dyDescent="0.25">
      <c r="A3" t="s">
        <v>950</v>
      </c>
      <c r="B3" s="135" t="str">
        <f>COVER!A15</f>
        <v>Lee</v>
      </c>
      <c r="E3" s="1888" t="s">
        <v>1974</v>
      </c>
      <c r="F3" s="1888" t="s">
        <v>1973</v>
      </c>
      <c r="G3" s="1962">
        <v>101000400</v>
      </c>
    </row>
    <row r="4" spans="1:7" ht="15" x14ac:dyDescent="0.25">
      <c r="A4" t="s">
        <v>1000</v>
      </c>
      <c r="B4" s="135" t="str">
        <f>COVER!A17</f>
        <v>Ashton-Franklin Center CUSD 275</v>
      </c>
      <c r="E4" s="1886">
        <v>44119</v>
      </c>
      <c r="F4" s="1887">
        <v>44151</v>
      </c>
      <c r="G4" s="1962">
        <v>101000600</v>
      </c>
    </row>
    <row r="5" spans="1:7" ht="15" x14ac:dyDescent="0.25">
      <c r="A5" t="s">
        <v>699</v>
      </c>
      <c r="B5" s="135" t="str">
        <f>COVER!A38</f>
        <v>Michael Lindy</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f>IF(COVER!J30="x","Yes",IF(COVER!L30="x","No",0))</f>
        <v>0</v>
      </c>
      <c r="G13" s="1962">
        <v>202100800</v>
      </c>
    </row>
    <row r="14" spans="1:7" ht="15" x14ac:dyDescent="0.25">
      <c r="A14" t="s">
        <v>473</v>
      </c>
      <c r="B14" s="135">
        <f>IF(COVER!J31="x","Yes",IF(COVER!L31="x","No",0))</f>
        <v>0</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Matthew Schueler</v>
      </c>
      <c r="G17" s="1962">
        <v>402100800</v>
      </c>
    </row>
    <row r="18" spans="1:7" ht="15" x14ac:dyDescent="0.25">
      <c r="A18" t="s">
        <v>1142</v>
      </c>
      <c r="B18" s="135" t="str">
        <f>COVER!T17</f>
        <v>403 East 3rd Street</v>
      </c>
      <c r="G18" s="1962">
        <v>102200300</v>
      </c>
    </row>
    <row r="19" spans="1:7" ht="15" x14ac:dyDescent="0.25">
      <c r="A19" t="s">
        <v>880</v>
      </c>
      <c r="B19" s="135" t="str">
        <f>COVER!T25</f>
        <v>mschueler@wipfli.com</v>
      </c>
      <c r="G19" s="1962">
        <v>102200400</v>
      </c>
    </row>
    <row r="20" spans="1:7" ht="15" x14ac:dyDescent="0.25">
      <c r="A20" t="s">
        <v>881</v>
      </c>
      <c r="B20" s="135" t="str">
        <f>COVER!T19</f>
        <v>Sterling</v>
      </c>
      <c r="G20" s="1962">
        <v>102200600</v>
      </c>
    </row>
    <row r="21" spans="1:7" ht="15" x14ac:dyDescent="0.25">
      <c r="A21" t="s">
        <v>476</v>
      </c>
      <c r="B21" s="135" t="str">
        <f>COVER!X19</f>
        <v>IL</v>
      </c>
      <c r="G21" s="1962">
        <v>102200800</v>
      </c>
    </row>
    <row r="22" spans="1:7" ht="15" x14ac:dyDescent="0.25">
      <c r="A22" t="s">
        <v>882</v>
      </c>
      <c r="B22" s="135">
        <f>COVER!Z19</f>
        <v>61081</v>
      </c>
      <c r="G22" s="1962">
        <v>102300300</v>
      </c>
    </row>
    <row r="23" spans="1:7" ht="15" x14ac:dyDescent="0.25">
      <c r="A23" t="s">
        <v>1144</v>
      </c>
      <c r="B23" s="135" t="str">
        <f>COVER!T21</f>
        <v>815-626-1277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1821663</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2096264</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1949215</v>
      </c>
      <c r="D92" s="2" t="str">
        <f t="shared" si="0"/>
        <v>Error?</v>
      </c>
      <c r="G92" s="1962">
        <v>102640600</v>
      </c>
    </row>
    <row r="93" spans="1:7" ht="15" x14ac:dyDescent="0.25">
      <c r="A93" s="5">
        <v>32</v>
      </c>
      <c r="B93" s="1890">
        <f>'Assets-Liab 5-6'!C41</f>
        <v>2096264</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328</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1656862</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1615099</v>
      </c>
      <c r="D123" s="2" t="str">
        <f t="shared" si="0"/>
        <v>Error?</v>
      </c>
      <c r="G123" s="1962">
        <v>203000400</v>
      </c>
    </row>
    <row r="124" spans="1:7" ht="15" x14ac:dyDescent="0.25">
      <c r="A124" s="5">
        <v>63</v>
      </c>
      <c r="B124" s="1890">
        <f>'Assets-Liab 5-6'!D41</f>
        <v>1656862</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57152</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57152</v>
      </c>
      <c r="D140" s="2" t="str">
        <f t="shared" si="1"/>
        <v>Error?</v>
      </c>
    </row>
    <row r="141" spans="1:7" x14ac:dyDescent="0.2">
      <c r="A141" s="5">
        <v>80</v>
      </c>
      <c r="B141" s="1890">
        <f>'Assets-Liab 5-6'!E41</f>
        <v>57152</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394178</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478885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478885</v>
      </c>
      <c r="D170" s="2" t="str">
        <f t="shared" si="1"/>
        <v>Error?</v>
      </c>
    </row>
    <row r="171" spans="1:4" x14ac:dyDescent="0.2">
      <c r="A171" s="5">
        <v>110</v>
      </c>
      <c r="B171" s="1890">
        <f>'Assets-Liab 5-6'!F41</f>
        <v>478885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225036</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225036</v>
      </c>
      <c r="D189" s="2" t="str">
        <f t="shared" si="1"/>
        <v>Error?</v>
      </c>
    </row>
    <row r="190" spans="1:4" x14ac:dyDescent="0.2">
      <c r="A190" s="5">
        <v>129</v>
      </c>
      <c r="B190" s="1890">
        <f>'Assets-Liab 5-6'!G41</f>
        <v>225036</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29589</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450000</v>
      </c>
      <c r="C211" s="2" t="s">
        <v>569</v>
      </c>
      <c r="D211" s="2" t="str">
        <f t="shared" si="2"/>
        <v>Error?</v>
      </c>
    </row>
    <row r="212" spans="1:4" x14ac:dyDescent="0.2">
      <c r="A212" s="5">
        <v>151</v>
      </c>
      <c r="B212" s="1890">
        <f>'Assets-Liab 5-6'!H39</f>
        <v>-420411</v>
      </c>
      <c r="D212" s="2" t="str">
        <f t="shared" si="2"/>
        <v>Error?</v>
      </c>
    </row>
    <row r="213" spans="1:4" x14ac:dyDescent="0.2">
      <c r="A213" s="12">
        <v>152</v>
      </c>
      <c r="B213" s="1890">
        <f>'Assets-Liab 5-6'!H41</f>
        <v>29589</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10346689</v>
      </c>
      <c r="D274" s="2" t="str">
        <f t="shared" si="3"/>
        <v>Error?</v>
      </c>
    </row>
    <row r="275" spans="1:4" x14ac:dyDescent="0.2">
      <c r="A275" s="5">
        <v>214</v>
      </c>
      <c r="B275" s="1890">
        <f>'Assets-Liab 5-6'!M18</f>
        <v>0</v>
      </c>
      <c r="D275" s="2" t="str">
        <f t="shared" si="3"/>
        <v>Error?</v>
      </c>
    </row>
    <row r="276" spans="1:4" x14ac:dyDescent="0.2">
      <c r="A276" s="5">
        <v>215</v>
      </c>
      <c r="B276" s="1890">
        <f>'Assets-Liab 5-6'!M19</f>
        <v>423742</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10943457</v>
      </c>
      <c r="C279" s="2" t="s">
        <v>569</v>
      </c>
      <c r="D279" s="2" t="str">
        <f t="shared" si="3"/>
        <v>Error?</v>
      </c>
    </row>
    <row r="280" spans="1:4" x14ac:dyDescent="0.2">
      <c r="A280" s="5">
        <v>219</v>
      </c>
      <c r="B280" s="1890">
        <f>'Assets-Liab 5-6'!M40</f>
        <v>10943457</v>
      </c>
      <c r="D280" s="2" t="str">
        <f t="shared" si="3"/>
        <v>Error?</v>
      </c>
    </row>
    <row r="281" spans="1:4" x14ac:dyDescent="0.2">
      <c r="A281" s="5">
        <v>220</v>
      </c>
      <c r="B281" s="1890">
        <f>'Assets-Liab 5-6'!M41</f>
        <v>10943457</v>
      </c>
      <c r="C281" s="2" t="s">
        <v>569</v>
      </c>
      <c r="D281" s="2" t="str">
        <f t="shared" si="3"/>
        <v>Error?</v>
      </c>
    </row>
    <row r="282" spans="1:4" x14ac:dyDescent="0.2">
      <c r="A282" s="5">
        <v>221</v>
      </c>
      <c r="B282" s="1890">
        <f>'Assets-Liab 5-6'!N21</f>
        <v>57152</v>
      </c>
      <c r="D282" s="2" t="str">
        <f t="shared" si="3"/>
        <v>Error?</v>
      </c>
    </row>
    <row r="283" spans="1:4" x14ac:dyDescent="0.2">
      <c r="A283" s="5">
        <v>222</v>
      </c>
      <c r="B283" s="1890">
        <f>'Assets-Liab 5-6'!N22</f>
        <v>8242848</v>
      </c>
      <c r="D283" s="2" t="str">
        <f t="shared" si="3"/>
        <v>Error?</v>
      </c>
    </row>
    <row r="284" spans="1:4" x14ac:dyDescent="0.2">
      <c r="A284" s="5">
        <v>223</v>
      </c>
      <c r="B284" s="1890">
        <f>'Assets-Liab 5-6'!N23</f>
        <v>8300000</v>
      </c>
      <c r="C284" s="2" t="s">
        <v>569</v>
      </c>
      <c r="D284" s="2" t="str">
        <f t="shared" si="3"/>
        <v>Error?</v>
      </c>
    </row>
    <row r="285" spans="1:4" x14ac:dyDescent="0.2">
      <c r="A285" s="5">
        <v>224</v>
      </c>
      <c r="B285" s="1890">
        <f>'Assets-Liab 5-6'!N36</f>
        <v>8300000</v>
      </c>
      <c r="D285" s="2" t="str">
        <f t="shared" si="3"/>
        <v>Error?</v>
      </c>
    </row>
    <row r="286" spans="1:4" x14ac:dyDescent="0.2">
      <c r="A286" s="10">
        <v>225</v>
      </c>
      <c r="B286" s="1890"/>
      <c r="D286" s="2" t="str">
        <f t="shared" si="3"/>
        <v>OK</v>
      </c>
    </row>
    <row r="287" spans="1:4" x14ac:dyDescent="0.2">
      <c r="A287" s="5">
        <v>226</v>
      </c>
      <c r="B287" s="1890">
        <f>'Assets-Liab 5-6'!N37</f>
        <v>8300000</v>
      </c>
      <c r="C287" s="2" t="s">
        <v>569</v>
      </c>
      <c r="D287" s="2" t="str">
        <f t="shared" si="3"/>
        <v>Error?</v>
      </c>
    </row>
    <row r="288" spans="1:4" x14ac:dyDescent="0.2">
      <c r="A288" s="5">
        <v>227</v>
      </c>
      <c r="B288" s="1890">
        <f>'Assets-Liab 5-6'!N41</f>
        <v>8300000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1486027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98949</v>
      </c>
      <c r="D717" s="2" t="str">
        <f t="shared" si="10"/>
        <v>Error?</v>
      </c>
    </row>
    <row r="718" spans="1:4" x14ac:dyDescent="0.2">
      <c r="A718" s="5">
        <v>657</v>
      </c>
      <c r="B718" s="1890">
        <f>'Expenditures 15-22'!C14</f>
        <v>163725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2114386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50124</v>
      </c>
      <c r="D722" s="2" t="str">
        <f t="shared" si="10"/>
        <v>Error?</v>
      </c>
    </row>
    <row r="723" spans="1:4" x14ac:dyDescent="0.2">
      <c r="A723" s="5">
        <v>662</v>
      </c>
      <c r="B723" s="1890">
        <f>'Expenditures 15-22'!C38</f>
        <v>10822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60946</v>
      </c>
      <c r="C727" s="2" t="s">
        <v>569</v>
      </c>
      <c r="D727" s="2" t="str">
        <f t="shared" si="10"/>
        <v>Error?</v>
      </c>
    </row>
    <row r="728" spans="1:4" x14ac:dyDescent="0.2">
      <c r="A728" s="5">
        <v>667</v>
      </c>
      <c r="B728" s="1890">
        <f>'Expenditures 15-22'!C44</f>
        <v>48390</v>
      </c>
      <c r="D728" s="2" t="str">
        <f t="shared" si="10"/>
        <v>Error?</v>
      </c>
    </row>
    <row r="729" spans="1:4" x14ac:dyDescent="0.2">
      <c r="A729" s="5">
        <v>668</v>
      </c>
      <c r="B729" s="1890">
        <f>'Expenditures 15-22'!C45</f>
        <v>52169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100559</v>
      </c>
      <c r="C731" s="2" t="s">
        <v>569</v>
      </c>
      <c r="D731" s="2" t="str">
        <f t="shared" si="10"/>
        <v>Error?</v>
      </c>
    </row>
    <row r="732" spans="1:4" x14ac:dyDescent="0.2">
      <c r="A732" s="5">
        <v>671</v>
      </c>
      <c r="B732" s="1890">
        <f>'Expenditures 15-22'!C49</f>
        <v>783</v>
      </c>
      <c r="D732" s="2" t="str">
        <f t="shared" si="10"/>
        <v>Error?</v>
      </c>
    </row>
    <row r="733" spans="1:4" x14ac:dyDescent="0.2">
      <c r="A733" s="5">
        <v>672</v>
      </c>
      <c r="B733" s="1890">
        <f>'Expenditures 15-22'!C50</f>
        <v>41406</v>
      </c>
      <c r="D733" s="2" t="str">
        <f t="shared" si="10"/>
        <v>Error?</v>
      </c>
    </row>
    <row r="734" spans="1:4" x14ac:dyDescent="0.2">
      <c r="A734" s="5">
        <v>673</v>
      </c>
      <c r="B734" s="1890">
        <f>'Expenditures 15-22'!C53</f>
        <v>42189</v>
      </c>
      <c r="C734" s="2" t="s">
        <v>569</v>
      </c>
      <c r="D734" s="2" t="str">
        <f t="shared" si="10"/>
        <v>Error?</v>
      </c>
    </row>
    <row r="735" spans="1:4" x14ac:dyDescent="0.2">
      <c r="A735" s="5">
        <v>674</v>
      </c>
      <c r="B735" s="1890">
        <f>'Expenditures 15-22'!C55</f>
        <v>190825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190825</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49641</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52335</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101976</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58608</v>
      </c>
      <c r="D751" s="2" t="str">
        <f t="shared" si="10"/>
        <v>Error?</v>
      </c>
    </row>
    <row r="752" spans="1:4" x14ac:dyDescent="0.2">
      <c r="A752" s="10">
        <v>691</v>
      </c>
      <c r="B752" s="1890"/>
      <c r="D752" s="2" t="str">
        <f t="shared" si="10"/>
        <v>OK</v>
      </c>
    </row>
    <row r="753" spans="1:4" x14ac:dyDescent="0.2">
      <c r="A753" s="5">
        <v>692</v>
      </c>
      <c r="B753" s="1890">
        <f>'Expenditures 15-22'!C72</f>
        <v>58608</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555103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2669489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336408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22571</v>
      </c>
      <c r="D775" s="2" t="str">
        <f t="shared" si="11"/>
        <v>Error?</v>
      </c>
    </row>
    <row r="776" spans="1:4" x14ac:dyDescent="0.2">
      <c r="A776" s="5">
        <v>715</v>
      </c>
      <c r="B776" s="1890">
        <f>'Expenditures 15-22'!D14</f>
        <v>17637</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450008</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11696</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11696</v>
      </c>
      <c r="C785" s="2" t="s">
        <v>569</v>
      </c>
      <c r="D785" s="2" t="str">
        <f t="shared" si="11"/>
        <v>Error?</v>
      </c>
    </row>
    <row r="786" spans="1:4" x14ac:dyDescent="0.2">
      <c r="A786" s="5">
        <v>725</v>
      </c>
      <c r="B786" s="1890">
        <f>'Expenditures 15-22'!D44</f>
        <v>9771</v>
      </c>
      <c r="D786" s="2" t="str">
        <f t="shared" si="11"/>
        <v>Error?</v>
      </c>
    </row>
    <row r="787" spans="1:4" x14ac:dyDescent="0.2">
      <c r="A787" s="5">
        <v>726</v>
      </c>
      <c r="B787" s="1890">
        <f>'Expenditures 15-22'!D45</f>
        <v>12404</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22175</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2521</v>
      </c>
      <c r="D791" s="2" t="str">
        <f t="shared" si="11"/>
        <v>Error?</v>
      </c>
    </row>
    <row r="792" spans="1:4" x14ac:dyDescent="0.2">
      <c r="A792" s="5">
        <v>731</v>
      </c>
      <c r="B792" s="1890">
        <f>'Expenditures 15-22'!D53</f>
        <v>2521</v>
      </c>
      <c r="C792" s="2" t="s">
        <v>569</v>
      </c>
      <c r="D792" s="2" t="str">
        <f t="shared" si="11"/>
        <v>Error?</v>
      </c>
    </row>
    <row r="793" spans="1:4" x14ac:dyDescent="0.2">
      <c r="A793" s="5">
        <v>732</v>
      </c>
      <c r="B793" s="1890">
        <f>'Expenditures 15-22'!D55</f>
        <v>43227</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43227</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6627</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3891</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10518</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6790</v>
      </c>
      <c r="D809" s="2" t="str">
        <f t="shared" si="11"/>
        <v>Error?</v>
      </c>
    </row>
    <row r="810" spans="1:4" x14ac:dyDescent="0.2">
      <c r="A810" s="10">
        <v>749</v>
      </c>
      <c r="B810" s="1890"/>
      <c r="D810" s="2" t="str">
        <f t="shared" si="11"/>
        <v>OK</v>
      </c>
    </row>
    <row r="811" spans="1:4" x14ac:dyDescent="0.2">
      <c r="A811" s="5">
        <v>750</v>
      </c>
      <c r="B811" s="1890">
        <f>'Expenditures 15-22'!D72</f>
        <v>6790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96927</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546935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5728</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2450</v>
      </c>
      <c r="D833" s="2" t="str">
        <f t="shared" si="12"/>
        <v>Error?</v>
      </c>
    </row>
    <row r="834" spans="1:4" x14ac:dyDescent="0.2">
      <c r="A834" s="5">
        <v>773</v>
      </c>
      <c r="B834" s="1890">
        <f>'Expenditures 15-22'!E14</f>
        <v>20312</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101247</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271</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271</v>
      </c>
      <c r="C843" s="2" t="s">
        <v>569</v>
      </c>
      <c r="D843" s="2" t="str">
        <f t="shared" si="12"/>
        <v>Error?</v>
      </c>
    </row>
    <row r="844" spans="1:4" x14ac:dyDescent="0.2">
      <c r="A844" s="5">
        <v>783</v>
      </c>
      <c r="B844" s="1890">
        <f>'Expenditures 15-22'!E44</f>
        <v>19116</v>
      </c>
      <c r="D844" s="2" t="str">
        <f t="shared" si="12"/>
        <v>Error?</v>
      </c>
    </row>
    <row r="845" spans="1:4" x14ac:dyDescent="0.2">
      <c r="A845" s="5">
        <v>784</v>
      </c>
      <c r="B845" s="1890">
        <f>'Expenditures 15-22'!E45</f>
        <v>200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19316</v>
      </c>
      <c r="C847" s="2" t="s">
        <v>569</v>
      </c>
      <c r="D847" s="2" t="str">
        <f t="shared" si="12"/>
        <v>Error?</v>
      </c>
    </row>
    <row r="848" spans="1:4" x14ac:dyDescent="0.2">
      <c r="A848" s="5">
        <v>787</v>
      </c>
      <c r="B848" s="1890">
        <f>'Expenditures 15-22'!E49</f>
        <v>53607</v>
      </c>
      <c r="D848" s="2" t="str">
        <f t="shared" si="12"/>
        <v>Error?</v>
      </c>
    </row>
    <row r="849" spans="1:4" x14ac:dyDescent="0.2">
      <c r="A849" s="5">
        <v>788</v>
      </c>
      <c r="B849" s="1890">
        <f>'Expenditures 15-22'!E50</f>
        <v>1050</v>
      </c>
      <c r="D849" s="2" t="str">
        <f t="shared" si="12"/>
        <v>Error?</v>
      </c>
    </row>
    <row r="850" spans="1:4" x14ac:dyDescent="0.2">
      <c r="A850" s="5">
        <v>789</v>
      </c>
      <c r="B850" s="1890">
        <f>'Expenditures 15-22'!E53</f>
        <v>54657</v>
      </c>
      <c r="C850" s="2" t="s">
        <v>569</v>
      </c>
      <c r="D850" s="2" t="str">
        <f t="shared" si="12"/>
        <v>Error?</v>
      </c>
    </row>
    <row r="851" spans="1:4" x14ac:dyDescent="0.2">
      <c r="A851" s="5">
        <v>790</v>
      </c>
      <c r="B851" s="1890">
        <f>'Expenditures 15-22'!E55</f>
        <v>1805</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1805</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1710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3628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5338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29396</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11438</v>
      </c>
      <c r="D867" s="2" t="str">
        <f t="shared" si="12"/>
        <v>Error?</v>
      </c>
    </row>
    <row r="868" spans="1:4" x14ac:dyDescent="0.2">
      <c r="A868" s="10">
        <v>807</v>
      </c>
      <c r="B868" s="1890"/>
      <c r="D868" s="2" t="str">
        <f t="shared" si="12"/>
        <v>OK</v>
      </c>
    </row>
    <row r="869" spans="1:4" x14ac:dyDescent="0.2">
      <c r="A869" s="5">
        <v>808</v>
      </c>
      <c r="B869" s="1890">
        <f>'Expenditures 15-22'!E72</f>
        <v>40834</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122221</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412379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103852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11487</v>
      </c>
      <c r="D891" s="2" t="str">
        <f t="shared" si="12"/>
        <v>Error?</v>
      </c>
    </row>
    <row r="892" spans="1:4" x14ac:dyDescent="0.2">
      <c r="A892" s="5">
        <v>831</v>
      </c>
      <c r="B892" s="1890">
        <f>'Expenditures 15-22'!F14</f>
        <v>10139</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157866</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148</v>
      </c>
      <c r="D896" s="2" t="str">
        <f t="shared" si="13"/>
        <v>Error?</v>
      </c>
    </row>
    <row r="897" spans="1:4" x14ac:dyDescent="0.2">
      <c r="A897" s="5">
        <v>836</v>
      </c>
      <c r="B897" s="1890">
        <f>'Expenditures 15-22'!F38</f>
        <v>318</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466</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2693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2693</v>
      </c>
      <c r="C905" s="2" t="s">
        <v>569</v>
      </c>
      <c r="D905" s="2" t="str">
        <f t="shared" si="13"/>
        <v>Error?</v>
      </c>
    </row>
    <row r="906" spans="1:4" x14ac:dyDescent="0.2">
      <c r="A906" s="5">
        <v>845</v>
      </c>
      <c r="B906" s="1890">
        <f>'Expenditures 15-22'!F49</f>
        <v>204</v>
      </c>
      <c r="D906" s="2" t="str">
        <f t="shared" si="13"/>
        <v>Error?</v>
      </c>
    </row>
    <row r="907" spans="1:4" x14ac:dyDescent="0.2">
      <c r="A907" s="5">
        <v>846</v>
      </c>
      <c r="B907" s="1890">
        <f>'Expenditures 15-22'!F50</f>
        <v>342</v>
      </c>
      <c r="D907" s="2" t="str">
        <f t="shared" si="13"/>
        <v>Error?</v>
      </c>
    </row>
    <row r="908" spans="1:4" x14ac:dyDescent="0.2">
      <c r="A908" s="5">
        <v>847</v>
      </c>
      <c r="B908" s="1890">
        <f>'Expenditures 15-22'!F53</f>
        <v>546</v>
      </c>
      <c r="C908" s="2" t="s">
        <v>569</v>
      </c>
      <c r="D908" s="2" t="str">
        <f t="shared" si="13"/>
        <v>Error?</v>
      </c>
    </row>
    <row r="909" spans="1:4" x14ac:dyDescent="0.2">
      <c r="A909" s="5">
        <v>848</v>
      </c>
      <c r="B909" s="1890">
        <f>'Expenditures 15-22'!F55</f>
        <v>753</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753</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14005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63154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77159</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40678</v>
      </c>
      <c r="D925" s="2" t="str">
        <f t="shared" si="13"/>
        <v>Error?</v>
      </c>
    </row>
    <row r="926" spans="1:4" x14ac:dyDescent="0.2">
      <c r="A926" s="10">
        <v>865</v>
      </c>
      <c r="B926" s="1890"/>
      <c r="D926" s="2" t="str">
        <f t="shared" si="13"/>
        <v>OK</v>
      </c>
    </row>
    <row r="927" spans="1:4" x14ac:dyDescent="0.2">
      <c r="A927" s="5">
        <v>866</v>
      </c>
      <c r="B927" s="1890">
        <f>'Expenditures 15-22'!F72</f>
        <v>40678</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122295</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280161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5375</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5375</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28120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28120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28120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33495</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400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21878</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22278</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3161</v>
      </c>
      <c r="D1022" s="2" t="str">
        <f t="shared" si="14"/>
        <v>Error?</v>
      </c>
    </row>
    <row r="1023" spans="1:4" x14ac:dyDescent="0.2">
      <c r="A1023" s="5">
        <v>962</v>
      </c>
      <c r="B1023" s="1890">
        <f>'Expenditures 15-22'!H50</f>
        <v>350</v>
      </c>
      <c r="D1023" s="2" t="str">
        <f t="shared" ref="D1023:D1086" si="15">IF(ISBLANK(B1023),"OK",IF(A1023-B1023=0,"OK","Error?"))</f>
        <v>Error?</v>
      </c>
    </row>
    <row r="1024" spans="1:4" x14ac:dyDescent="0.2">
      <c r="A1024" s="5">
        <v>963</v>
      </c>
      <c r="B1024" s="1890">
        <f>'Expenditures 15-22'!H53</f>
        <v>3511</v>
      </c>
      <c r="C1024" s="2" t="s">
        <v>569</v>
      </c>
      <c r="D1024" s="2" t="str">
        <f t="shared" si="15"/>
        <v>Error?</v>
      </c>
    </row>
    <row r="1025" spans="1:4" x14ac:dyDescent="0.2">
      <c r="A1025" s="5">
        <v>964</v>
      </c>
      <c r="B1025" s="1890">
        <f>'Expenditures 15-22'!H55</f>
        <v>1017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1017</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4528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26806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1932415</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135457</v>
      </c>
      <c r="C1105" s="2" t="s">
        <v>569</v>
      </c>
      <c r="D1105" s="2" t="str">
        <f t="shared" si="16"/>
        <v>Error?</v>
      </c>
    </row>
    <row r="1106" spans="1:4" x14ac:dyDescent="0.2">
      <c r="A1106" s="5">
        <v>1045</v>
      </c>
      <c r="B1106" s="1890">
        <f>'Expenditures 15-22'!K14</f>
        <v>239066</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2851160</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62239</v>
      </c>
      <c r="C1110" s="2" t="s">
        <v>569</v>
      </c>
      <c r="D1110" s="2" t="str">
        <f t="shared" si="16"/>
        <v>Error?</v>
      </c>
    </row>
    <row r="1111" spans="1:4" x14ac:dyDescent="0.2">
      <c r="A1111" s="5">
        <v>1050</v>
      </c>
      <c r="B1111" s="1890">
        <f>'Expenditures 15-22'!K38</f>
        <v>11140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73379</v>
      </c>
      <c r="C1115" s="2" t="s">
        <v>569</v>
      </c>
      <c r="D1115" s="2" t="str">
        <f t="shared" si="16"/>
        <v>Error?</v>
      </c>
    </row>
    <row r="1116" spans="1:4" x14ac:dyDescent="0.2">
      <c r="A1116" s="5">
        <v>1055</v>
      </c>
      <c r="B1116" s="1890">
        <f>'Expenditures 15-22'!K44</f>
        <v>105397</v>
      </c>
      <c r="C1116" s="2" t="s">
        <v>569</v>
      </c>
      <c r="D1116" s="2" t="str">
        <f t="shared" si="16"/>
        <v>Error?</v>
      </c>
    </row>
    <row r="1117" spans="1:4" x14ac:dyDescent="0.2">
      <c r="A1117" s="5">
        <v>1056</v>
      </c>
      <c r="B1117" s="1890">
        <f>'Expenditures 15-22'!K45</f>
        <v>67466</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172863</v>
      </c>
      <c r="C1119" s="2" t="s">
        <v>569</v>
      </c>
      <c r="D1119" s="2" t="str">
        <f t="shared" si="16"/>
        <v>Error?</v>
      </c>
    </row>
    <row r="1120" spans="1:4" x14ac:dyDescent="0.2">
      <c r="A1120" s="5">
        <v>1059</v>
      </c>
      <c r="B1120" s="1890">
        <f>'Expenditures 15-22'!K49</f>
        <v>57755</v>
      </c>
      <c r="C1120" s="2" t="s">
        <v>569</v>
      </c>
      <c r="D1120" s="2" t="str">
        <f t="shared" si="16"/>
        <v>Error?</v>
      </c>
    </row>
    <row r="1121" spans="1:4" x14ac:dyDescent="0.2">
      <c r="A1121" s="5">
        <v>1060</v>
      </c>
      <c r="B1121" s="1890">
        <f>'Expenditures 15-22'!K50</f>
        <v>45669</v>
      </c>
      <c r="C1121" s="2" t="s">
        <v>569</v>
      </c>
      <c r="D1121" s="2" t="str">
        <f t="shared" si="16"/>
        <v>Error?</v>
      </c>
    </row>
    <row r="1122" spans="1:4" x14ac:dyDescent="0.2">
      <c r="A1122" s="5">
        <v>1061</v>
      </c>
      <c r="B1122" s="1890">
        <f>'Expenditures 15-22'!K53</f>
        <v>103424</v>
      </c>
      <c r="C1122" s="2" t="s">
        <v>569</v>
      </c>
      <c r="D1122" s="2" t="str">
        <f t="shared" si="16"/>
        <v>Error?</v>
      </c>
    </row>
    <row r="1123" spans="1:4" x14ac:dyDescent="0.2">
      <c r="A1123" s="5">
        <v>1062</v>
      </c>
      <c r="B1123" s="1890">
        <f>'Expenditures 15-22'!K55</f>
        <v>237627</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237627</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71983</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123008</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194991</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29396</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117514</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146910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929194</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188911</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3969265</v>
      </c>
      <c r="C1152" s="2" t="s">
        <v>569</v>
      </c>
      <c r="D1152" s="2" t="str">
        <f t="shared" si="17"/>
        <v>Error?</v>
      </c>
    </row>
    <row r="1153" spans="1:4" x14ac:dyDescent="0.2">
      <c r="A1153" s="5">
        <v>1092</v>
      </c>
      <c r="B1153" s="1890">
        <f>'Expenditures 15-22'!K115</f>
        <v>346429</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123332</v>
      </c>
      <c r="D1221" s="2" t="str">
        <f t="shared" si="18"/>
        <v>Error?</v>
      </c>
    </row>
    <row r="1222" spans="1:4" x14ac:dyDescent="0.2">
      <c r="A1222" s="10">
        <v>1161</v>
      </c>
      <c r="B1222" s="1890"/>
      <c r="D1222" s="2" t="str">
        <f t="shared" si="18"/>
        <v>OK</v>
      </c>
    </row>
    <row r="1223" spans="1:4" x14ac:dyDescent="0.2">
      <c r="A1223" s="5">
        <v>1162</v>
      </c>
      <c r="B1223" s="1890">
        <f>'Expenditures 15-22'!C127</f>
        <v>123332</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123332</v>
      </c>
      <c r="C1225" s="2" t="s">
        <v>569</v>
      </c>
      <c r="D1225" s="2" t="str">
        <f t="shared" si="18"/>
        <v>Error?</v>
      </c>
    </row>
    <row r="1226" spans="1:4" x14ac:dyDescent="0.2">
      <c r="A1226" s="5">
        <v>1165</v>
      </c>
      <c r="B1226" s="1890">
        <f>'Expenditures 15-22'!C151</f>
        <v>123332</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24314</v>
      </c>
      <c r="D1229" s="2" t="str">
        <f t="shared" si="18"/>
        <v>Error?</v>
      </c>
    </row>
    <row r="1230" spans="1:4" x14ac:dyDescent="0.2">
      <c r="A1230" s="10">
        <v>1169</v>
      </c>
      <c r="B1230" s="1890"/>
      <c r="D1230" s="2" t="str">
        <f t="shared" si="18"/>
        <v>OK</v>
      </c>
    </row>
    <row r="1231" spans="1:4" x14ac:dyDescent="0.2">
      <c r="A1231" s="5">
        <v>1170</v>
      </c>
      <c r="B1231" s="1890">
        <f>'Expenditures 15-22'!D127</f>
        <v>24314</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24314</v>
      </c>
      <c r="C1233" s="2" t="s">
        <v>569</v>
      </c>
      <c r="D1233" s="2" t="str">
        <f t="shared" si="18"/>
        <v>Error?</v>
      </c>
    </row>
    <row r="1234" spans="1:4" x14ac:dyDescent="0.2">
      <c r="A1234" s="5">
        <v>1173</v>
      </c>
      <c r="B1234" s="1890">
        <f>'Expenditures 15-22'!D151</f>
        <v>24314</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149519</v>
      </c>
      <c r="D1237" s="2" t="str">
        <f t="shared" si="18"/>
        <v>Error?</v>
      </c>
    </row>
    <row r="1238" spans="1:4" x14ac:dyDescent="0.2">
      <c r="A1238" s="10">
        <v>1177</v>
      </c>
      <c r="B1238" s="1890"/>
      <c r="D1238" s="2" t="str">
        <f t="shared" si="18"/>
        <v>OK</v>
      </c>
    </row>
    <row r="1239" spans="1:4" x14ac:dyDescent="0.2">
      <c r="A1239" s="5">
        <v>1178</v>
      </c>
      <c r="B1239" s="1890">
        <f>'Expenditures 15-22'!E127</f>
        <v>149519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149519</v>
      </c>
      <c r="C1241" s="2" t="s">
        <v>569</v>
      </c>
      <c r="D1241" s="2" t="str">
        <f t="shared" si="18"/>
        <v>Error?</v>
      </c>
    </row>
    <row r="1242" spans="1:4" x14ac:dyDescent="0.2">
      <c r="A1242" s="5">
        <v>1181</v>
      </c>
      <c r="B1242" s="1890">
        <f>'Expenditures 15-22'!E151</f>
        <v>149519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135745</v>
      </c>
      <c r="D1245" s="2" t="str">
        <f t="shared" si="18"/>
        <v>Error?</v>
      </c>
    </row>
    <row r="1246" spans="1:4" x14ac:dyDescent="0.2">
      <c r="A1246" s="10">
        <v>1185</v>
      </c>
      <c r="B1246" s="1890"/>
      <c r="D1246" s="2" t="str">
        <f t="shared" si="18"/>
        <v>OK</v>
      </c>
    </row>
    <row r="1247" spans="1:4" x14ac:dyDescent="0.2">
      <c r="A1247" s="5">
        <v>1186</v>
      </c>
      <c r="B1247" s="1890">
        <f>'Expenditures 15-22'!F127</f>
        <v>135745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135745</v>
      </c>
      <c r="C1249" s="2" t="s">
        <v>569</v>
      </c>
      <c r="D1249" s="2" t="str">
        <f t="shared" si="18"/>
        <v>Error?</v>
      </c>
    </row>
    <row r="1250" spans="1:4" x14ac:dyDescent="0.2">
      <c r="A1250" s="5">
        <v>1189</v>
      </c>
      <c r="B1250" s="1890">
        <f>'Expenditures 15-22'!F151</f>
        <v>135745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381669</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381669</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381669</v>
      </c>
      <c r="C1258" s="2" t="s">
        <v>569</v>
      </c>
      <c r="D1258" s="2" t="str">
        <f t="shared" si="18"/>
        <v>Error?</v>
      </c>
    </row>
    <row r="1259" spans="1:4" x14ac:dyDescent="0.2">
      <c r="A1259" s="5">
        <v>1198</v>
      </c>
      <c r="B1259" s="1890">
        <f>'Expenditures 15-22'!G151</f>
        <v>381669</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75</v>
      </c>
      <c r="D1262" s="2" t="str">
        <f t="shared" si="18"/>
        <v>Error?</v>
      </c>
    </row>
    <row r="1263" spans="1:4" x14ac:dyDescent="0.2">
      <c r="A1263" s="10">
        <v>1202</v>
      </c>
      <c r="B1263" s="1890"/>
      <c r="D1263" s="2" t="str">
        <f t="shared" si="18"/>
        <v>OK</v>
      </c>
    </row>
    <row r="1264" spans="1:4" x14ac:dyDescent="0.2">
      <c r="A1264" s="5">
        <v>1203</v>
      </c>
      <c r="B1264" s="1890">
        <f>'Expenditures 15-22'!H127</f>
        <v>75</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75</v>
      </c>
      <c r="C1266" s="2" t="s">
        <v>569</v>
      </c>
      <c r="D1266" s="2" t="str">
        <f t="shared" si="18"/>
        <v>Error?</v>
      </c>
    </row>
    <row r="1267" spans="1:4" x14ac:dyDescent="0.2">
      <c r="A1267" s="5">
        <v>1206</v>
      </c>
      <c r="B1267" s="1890">
        <f>'Expenditures 15-22'!H139</f>
        <v>4509</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4584</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814654</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814654</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814654</v>
      </c>
      <c r="C1281" s="2" t="s">
        <v>569</v>
      </c>
      <c r="D1281" s="2" t="str">
        <f t="shared" si="19"/>
        <v>Error?</v>
      </c>
    </row>
    <row r="1282" spans="1:4" x14ac:dyDescent="0.2">
      <c r="A1282" s="5">
        <v>1221</v>
      </c>
      <c r="B1282" s="1890">
        <f>'Expenditures 15-22'!K139</f>
        <v>4509</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819163</v>
      </c>
      <c r="C1288" s="2" t="s">
        <v>569</v>
      </c>
      <c r="D1288" s="2" t="str">
        <f t="shared" si="19"/>
        <v>Error?</v>
      </c>
    </row>
    <row r="1289" spans="1:4" x14ac:dyDescent="0.2">
      <c r="A1289" s="5">
        <v>1228</v>
      </c>
      <c r="B1289" s="1890">
        <f>'Expenditures 15-22'!K152</f>
        <v>-65669</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377066</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295000</v>
      </c>
      <c r="D1315" s="2" t="str">
        <f t="shared" si="19"/>
        <v>Error?</v>
      </c>
    </row>
    <row r="1316" spans="1:4" x14ac:dyDescent="0.2">
      <c r="A1316" s="5">
        <v>1255</v>
      </c>
      <c r="B1316" s="1890">
        <f>'Expenditures 15-22'!H171</f>
        <v>1000</v>
      </c>
      <c r="D1316" s="2" t="str">
        <f t="shared" si="19"/>
        <v>Error?</v>
      </c>
    </row>
    <row r="1317" spans="1:4" x14ac:dyDescent="0.2">
      <c r="A1317" s="5">
        <v>1256</v>
      </c>
      <c r="B1317" s="1890">
        <f>'Expenditures 15-22'!H172</f>
        <v>673066</v>
      </c>
      <c r="C1317" s="2" t="s">
        <v>569</v>
      </c>
      <c r="D1317" s="2" t="str">
        <f t="shared" si="19"/>
        <v>Error?</v>
      </c>
    </row>
    <row r="1318" spans="1:4" x14ac:dyDescent="0.2">
      <c r="A1318" s="5">
        <v>1257</v>
      </c>
      <c r="B1318" s="1890">
        <f>'Expenditures 15-22'!H174</f>
        <v>673066</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377066</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295000</v>
      </c>
      <c r="C1329" s="2" t="s">
        <v>569</v>
      </c>
      <c r="D1329" s="2" t="str">
        <f t="shared" si="19"/>
        <v>Error?</v>
      </c>
    </row>
    <row r="1330" spans="1:4" x14ac:dyDescent="0.2">
      <c r="A1330" s="5">
        <v>1269</v>
      </c>
      <c r="B1330" s="1890">
        <f>'Expenditures 15-22'!K171</f>
        <v>1000</v>
      </c>
      <c r="C1330" s="2" t="s">
        <v>569</v>
      </c>
      <c r="D1330" s="2" t="str">
        <f t="shared" si="19"/>
        <v>Error?</v>
      </c>
    </row>
    <row r="1331" spans="1:4" x14ac:dyDescent="0.2">
      <c r="A1331" s="5">
        <v>1270</v>
      </c>
      <c r="B1331" s="1890">
        <f>'Expenditures 15-22'!K172</f>
        <v>673066</v>
      </c>
      <c r="C1331" s="2" t="s">
        <v>569</v>
      </c>
      <c r="D1331" s="2" t="str">
        <f t="shared" si="19"/>
        <v>Error?</v>
      </c>
    </row>
    <row r="1332" spans="1:4" x14ac:dyDescent="0.2">
      <c r="A1332" s="5">
        <v>1271</v>
      </c>
      <c r="B1332" s="1890">
        <f>'Expenditures 15-22'!K174</f>
        <v>673066</v>
      </c>
      <c r="C1332" s="2" t="s">
        <v>569</v>
      </c>
      <c r="D1332" s="2" t="str">
        <f t="shared" si="19"/>
        <v>Error?</v>
      </c>
    </row>
    <row r="1333" spans="1:4" x14ac:dyDescent="0.2">
      <c r="A1333" s="5">
        <v>1272</v>
      </c>
      <c r="B1333" s="1890">
        <f>'Expenditures 15-22'!K175</f>
        <v>-9263</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133753</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133753</v>
      </c>
      <c r="C1339" s="2" t="s">
        <v>569</v>
      </c>
      <c r="D1339" s="2" t="str">
        <f t="shared" si="19"/>
        <v>Error?</v>
      </c>
    </row>
    <row r="1340" spans="1:4" x14ac:dyDescent="0.2">
      <c r="A1340" s="5">
        <v>1279</v>
      </c>
      <c r="B1340" s="1890">
        <f>'Expenditures 15-22'!C210</f>
        <v>133753</v>
      </c>
      <c r="C1340" s="2" t="s">
        <v>569</v>
      </c>
      <c r="D1340" s="2" t="str">
        <f t="shared" si="19"/>
        <v>Error?</v>
      </c>
    </row>
    <row r="1341" spans="1:4" x14ac:dyDescent="0.2">
      <c r="A1341" s="5">
        <v>1280</v>
      </c>
      <c r="B1341" s="1890">
        <f>'Expenditures 15-22'!D182</f>
        <v>11955</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11955</v>
      </c>
      <c r="C1345" s="2" t="s">
        <v>569</v>
      </c>
      <c r="D1345" s="2" t="str">
        <f t="shared" si="20"/>
        <v>Error?</v>
      </c>
    </row>
    <row r="1346" spans="1:4" x14ac:dyDescent="0.2">
      <c r="A1346" s="5">
        <v>1285</v>
      </c>
      <c r="B1346" s="1890">
        <f>'Expenditures 15-22'!D210</f>
        <v>11955</v>
      </c>
      <c r="C1346" s="2" t="s">
        <v>569</v>
      </c>
      <c r="D1346" s="2" t="str">
        <f t="shared" si="20"/>
        <v>Error?</v>
      </c>
    </row>
    <row r="1347" spans="1:4" x14ac:dyDescent="0.2">
      <c r="A1347" s="5">
        <v>1286</v>
      </c>
      <c r="B1347" s="1890">
        <f>'Expenditures 15-22'!E182</f>
        <v>146730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146730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146730</v>
      </c>
      <c r="C1353" s="2" t="s">
        <v>569</v>
      </c>
      <c r="D1353" s="2" t="str">
        <f t="shared" si="20"/>
        <v>Error?</v>
      </c>
    </row>
    <row r="1354" spans="1:4" x14ac:dyDescent="0.2">
      <c r="A1354" s="5">
        <v>1293</v>
      </c>
      <c r="B1354" s="1890">
        <f>'Expenditures 15-22'!F182</f>
        <v>45221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45221</v>
      </c>
      <c r="C1358" s="2" t="s">
        <v>569</v>
      </c>
      <c r="D1358" s="2" t="str">
        <f t="shared" si="20"/>
        <v>Error?</v>
      </c>
    </row>
    <row r="1359" spans="1:4" x14ac:dyDescent="0.2">
      <c r="A1359" s="5">
        <v>1298</v>
      </c>
      <c r="B1359" s="1890">
        <f>'Expenditures 15-22'!F210</f>
        <v>45221</v>
      </c>
      <c r="C1359" s="2" t="s">
        <v>569</v>
      </c>
      <c r="D1359" s="2" t="str">
        <f t="shared" si="20"/>
        <v>Error?</v>
      </c>
    </row>
    <row r="1360" spans="1:4" x14ac:dyDescent="0.2">
      <c r="A1360" s="5">
        <v>1299</v>
      </c>
      <c r="B1360" s="1890">
        <f>'Expenditures 15-22'!G182</f>
        <v>12137</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12137</v>
      </c>
      <c r="C1364" s="2" t="s">
        <v>569</v>
      </c>
      <c r="D1364" s="2" t="str">
        <f t="shared" si="20"/>
        <v>Error?</v>
      </c>
    </row>
    <row r="1365" spans="1:4" x14ac:dyDescent="0.2">
      <c r="A1365" s="5">
        <v>1304</v>
      </c>
      <c r="B1365" s="1890">
        <f>'Expenditures 15-22'!G210</f>
        <v>12137</v>
      </c>
      <c r="C1365" s="2" t="s">
        <v>569</v>
      </c>
      <c r="D1365" s="2" t="str">
        <f t="shared" si="20"/>
        <v>Error?</v>
      </c>
    </row>
    <row r="1366" spans="1:4" x14ac:dyDescent="0.2">
      <c r="A1366" s="5">
        <v>1305</v>
      </c>
      <c r="B1366" s="1890">
        <f>'Expenditures 15-22'!H182</f>
        <v>378</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378</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4356</v>
      </c>
      <c r="C1375" s="2" t="s">
        <v>569</v>
      </c>
      <c r="D1375" s="2" t="str">
        <f t="shared" si="20"/>
        <v>Error?</v>
      </c>
    </row>
    <row r="1376" spans="1:4" x14ac:dyDescent="0.2">
      <c r="A1376" s="5">
        <v>1315</v>
      </c>
      <c r="B1376" s="1890">
        <f>'Expenditures 15-22'!H210</f>
        <v>4734</v>
      </c>
      <c r="C1376" s="2" t="s">
        <v>569</v>
      </c>
      <c r="D1376" s="2" t="str">
        <f t="shared" si="20"/>
        <v>Error?</v>
      </c>
    </row>
    <row r="1377" spans="1:4" x14ac:dyDescent="0.2">
      <c r="A1377" s="5">
        <v>1316</v>
      </c>
      <c r="B1377" s="1890">
        <f>'Expenditures 15-22'!K182</f>
        <v>350174</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350174</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4356</v>
      </c>
      <c r="C1387" s="2" t="s">
        <v>569</v>
      </c>
      <c r="D1387" s="2" t="str">
        <f t="shared" si="20"/>
        <v>Error?</v>
      </c>
    </row>
    <row r="1388" spans="1:4" x14ac:dyDescent="0.2">
      <c r="A1388" s="5">
        <v>1327</v>
      </c>
      <c r="B1388" s="1890">
        <f>'Expenditures 15-22'!K210</f>
        <v>354530</v>
      </c>
      <c r="C1388" s="2" t="s">
        <v>569</v>
      </c>
      <c r="D1388" s="2" t="str">
        <f t="shared" si="20"/>
        <v>Error?</v>
      </c>
    </row>
    <row r="1389" spans="1:4" x14ac:dyDescent="0.2">
      <c r="A1389" s="5">
        <v>1328</v>
      </c>
      <c r="B1389" s="1890">
        <f>'Expenditures 15-22'!K211</f>
        <v>17796</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1400</v>
      </c>
      <c r="D1407" s="2" t="str">
        <f t="shared" ref="D1407:D1470" si="21">IF(ISBLANK(B1407),"OK",IF(A1407-B1407=0,"OK","Error?"))</f>
        <v>Error?</v>
      </c>
    </row>
    <row r="1408" spans="1:4" x14ac:dyDescent="0.2">
      <c r="A1408" s="5">
        <v>1347</v>
      </c>
      <c r="B1408" s="1890">
        <f>'Expenditures 15-22'!D223</f>
        <v>7088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47874</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648</v>
      </c>
      <c r="D1412" s="2" t="str">
        <f t="shared" si="21"/>
        <v>Error?</v>
      </c>
    </row>
    <row r="1413" spans="1:4" x14ac:dyDescent="0.2">
      <c r="A1413" s="5">
        <v>1352</v>
      </c>
      <c r="B1413" s="1890">
        <f>'Expenditures 15-22'!D234</f>
        <v>1202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1850</v>
      </c>
      <c r="C1417" s="2" t="s">
        <v>569</v>
      </c>
      <c r="D1417" s="2" t="str">
        <f t="shared" si="21"/>
        <v>Error?</v>
      </c>
    </row>
    <row r="1418" spans="1:4" x14ac:dyDescent="0.2">
      <c r="A1418" s="5">
        <v>1357</v>
      </c>
      <c r="B1418" s="1890">
        <f>'Expenditures 15-22'!D240</f>
        <v>900</v>
      </c>
      <c r="D1418" s="2" t="str">
        <f t="shared" si="21"/>
        <v>Error?</v>
      </c>
    </row>
    <row r="1419" spans="1:4" x14ac:dyDescent="0.2">
      <c r="A1419" s="5">
        <v>1358</v>
      </c>
      <c r="B1419" s="1890">
        <f>'Expenditures 15-22'!D241</f>
        <v>720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1620</v>
      </c>
      <c r="C1421" s="2" t="s">
        <v>569</v>
      </c>
      <c r="D1421" s="2" t="str">
        <f t="shared" si="21"/>
        <v>Error?</v>
      </c>
    </row>
    <row r="1422" spans="1:4" x14ac:dyDescent="0.2">
      <c r="A1422" s="5">
        <v>1361</v>
      </c>
      <c r="B1422" s="1890">
        <f>'Expenditures 15-22'!D245</f>
        <v>48</v>
      </c>
      <c r="D1422" s="2" t="str">
        <f t="shared" si="21"/>
        <v>Error?</v>
      </c>
    </row>
    <row r="1423" spans="1:4" x14ac:dyDescent="0.2">
      <c r="A1423" s="5">
        <v>1362</v>
      </c>
      <c r="B1423" s="1890">
        <f>'Expenditures 15-22'!D246</f>
        <v>600</v>
      </c>
      <c r="D1423" s="2" t="str">
        <f t="shared" si="21"/>
        <v>Error?</v>
      </c>
    </row>
    <row r="1424" spans="1:4" x14ac:dyDescent="0.2">
      <c r="A1424" s="5">
        <v>1363</v>
      </c>
      <c r="B1424" s="1890">
        <f>'Expenditures 15-22'!D257</f>
        <v>5145</v>
      </c>
      <c r="C1424" s="2" t="s">
        <v>569</v>
      </c>
      <c r="D1424" s="2" t="str">
        <f t="shared" si="21"/>
        <v>Error?</v>
      </c>
    </row>
    <row r="1425" spans="1:4" x14ac:dyDescent="0.2">
      <c r="A1425" s="5">
        <v>1364</v>
      </c>
      <c r="B1425" s="1890">
        <f>'Expenditures 15-22'!D259</f>
        <v>8245</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8245</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5294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14180</v>
      </c>
      <c r="D1431" s="2" t="str">
        <f t="shared" si="21"/>
        <v>Error?</v>
      </c>
    </row>
    <row r="1432" spans="1:4" x14ac:dyDescent="0.2">
      <c r="A1432" s="5">
        <v>1371</v>
      </c>
      <c r="B1432" s="1890">
        <f>'Expenditures 15-22'!D267</f>
        <v>13526</v>
      </c>
      <c r="D1432" s="2" t="str">
        <f t="shared" si="21"/>
        <v>Error?</v>
      </c>
    </row>
    <row r="1433" spans="1:4" x14ac:dyDescent="0.2">
      <c r="A1433" s="5">
        <v>1372</v>
      </c>
      <c r="B1433" s="1890">
        <f>'Expenditures 15-22'!D268</f>
        <v>6261</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39261</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6951</v>
      </c>
      <c r="D1442" s="2" t="str">
        <f t="shared" si="21"/>
        <v>Error?</v>
      </c>
    </row>
    <row r="1443" spans="1:4" x14ac:dyDescent="0.2">
      <c r="A1443" s="10">
        <v>1382</v>
      </c>
      <c r="B1443" s="1890"/>
      <c r="D1443" s="2" t="str">
        <f t="shared" si="21"/>
        <v>OK</v>
      </c>
    </row>
    <row r="1444" spans="1:4" x14ac:dyDescent="0.2">
      <c r="A1444" s="5">
        <v>1383</v>
      </c>
      <c r="B1444" s="1890">
        <f>'Expenditures 15-22'!D277</f>
        <v>6951</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63072</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110946</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1400</v>
      </c>
      <c r="C1471" s="2" t="s">
        <v>569</v>
      </c>
      <c r="D1471" s="2" t="str">
        <f t="shared" ref="D1471:D1534" si="22">IF(ISBLANK(B1471),"OK",IF(A1471-B1471=0,"OK","Error?"))</f>
        <v>Error?</v>
      </c>
    </row>
    <row r="1472" spans="1:4" x14ac:dyDescent="0.2">
      <c r="A1472" s="5">
        <v>1411</v>
      </c>
      <c r="B1472" s="1890">
        <f>'Expenditures 15-22'!K223</f>
        <v>7088</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47874</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648</v>
      </c>
      <c r="C1476" s="2" t="s">
        <v>569</v>
      </c>
      <c r="D1476" s="2" t="str">
        <f t="shared" si="22"/>
        <v>Error?</v>
      </c>
    </row>
    <row r="1477" spans="1:4" x14ac:dyDescent="0.2">
      <c r="A1477" s="5">
        <v>1416</v>
      </c>
      <c r="B1477" s="1890">
        <f>'Expenditures 15-22'!K234</f>
        <v>1202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1850</v>
      </c>
      <c r="C1481" s="2" t="s">
        <v>569</v>
      </c>
      <c r="D1481" s="2" t="str">
        <f t="shared" si="22"/>
        <v>Error?</v>
      </c>
    </row>
    <row r="1482" spans="1:4" x14ac:dyDescent="0.2">
      <c r="A1482" s="5">
        <v>1421</v>
      </c>
      <c r="B1482" s="1890">
        <f>'Expenditures 15-22'!K240</f>
        <v>900</v>
      </c>
      <c r="C1482" s="2" t="s">
        <v>569</v>
      </c>
      <c r="D1482" s="2" t="str">
        <f t="shared" si="22"/>
        <v>Error?</v>
      </c>
    </row>
    <row r="1483" spans="1:4" x14ac:dyDescent="0.2">
      <c r="A1483" s="5">
        <v>1422</v>
      </c>
      <c r="B1483" s="1890">
        <f>'Expenditures 15-22'!K241</f>
        <v>720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1620</v>
      </c>
      <c r="C1485" s="2" t="s">
        <v>569</v>
      </c>
      <c r="D1485" s="2" t="str">
        <f t="shared" si="22"/>
        <v>Error?</v>
      </c>
    </row>
    <row r="1486" spans="1:4" x14ac:dyDescent="0.2">
      <c r="A1486" s="5">
        <v>1425</v>
      </c>
      <c r="B1486" s="1890">
        <f>'Expenditures 15-22'!K245</f>
        <v>48</v>
      </c>
      <c r="C1486" s="2" t="s">
        <v>569</v>
      </c>
      <c r="D1486" s="2" t="str">
        <f t="shared" si="22"/>
        <v>Error?</v>
      </c>
    </row>
    <row r="1487" spans="1:4" x14ac:dyDescent="0.2">
      <c r="A1487" s="5">
        <v>1426</v>
      </c>
      <c r="B1487" s="1890">
        <f>'Expenditures 15-22'!K246</f>
        <v>600</v>
      </c>
      <c r="C1487" s="2" t="s">
        <v>569</v>
      </c>
      <c r="D1487" s="2" t="str">
        <f t="shared" si="22"/>
        <v>Error?</v>
      </c>
    </row>
    <row r="1488" spans="1:4" x14ac:dyDescent="0.2">
      <c r="A1488" s="5">
        <v>1427</v>
      </c>
      <c r="B1488" s="1890">
        <f>'Expenditures 15-22'!K257</f>
        <v>5145</v>
      </c>
      <c r="C1488" s="2" t="s">
        <v>569</v>
      </c>
      <c r="D1488" s="2" t="str">
        <f t="shared" si="22"/>
        <v>Error?</v>
      </c>
    </row>
    <row r="1489" spans="1:4" x14ac:dyDescent="0.2">
      <c r="A1489" s="5">
        <v>1428</v>
      </c>
      <c r="B1489" s="1890">
        <f>'Expenditures 15-22'!K259</f>
        <v>8245</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8245</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5294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14180</v>
      </c>
      <c r="C1495" s="2" t="s">
        <v>569</v>
      </c>
      <c r="D1495" s="2" t="str">
        <f t="shared" si="22"/>
        <v>Error?</v>
      </c>
    </row>
    <row r="1496" spans="1:4" x14ac:dyDescent="0.2">
      <c r="A1496" s="5">
        <v>1435</v>
      </c>
      <c r="B1496" s="1890">
        <f>'Expenditures 15-22'!K267</f>
        <v>13526</v>
      </c>
      <c r="C1496" s="2" t="s">
        <v>569</v>
      </c>
      <c r="D1496" s="2" t="str">
        <f t="shared" si="22"/>
        <v>Error?</v>
      </c>
    </row>
    <row r="1497" spans="1:4" x14ac:dyDescent="0.2">
      <c r="A1497" s="5">
        <v>1436</v>
      </c>
      <c r="B1497" s="1890">
        <f>'Expenditures 15-22'!K268</f>
        <v>6261</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39261</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6951</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6951</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63072</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110946</v>
      </c>
      <c r="C1517" s="2" t="s">
        <v>569</v>
      </c>
      <c r="D1517" s="2" t="str">
        <f t="shared" si="22"/>
        <v>Error?</v>
      </c>
    </row>
    <row r="1518" spans="1:4" x14ac:dyDescent="0.2">
      <c r="A1518" s="5">
        <v>1457</v>
      </c>
      <c r="B1518" s="1890">
        <f>'Expenditures 15-22'!K296</f>
        <v>34962</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137452</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137452</v>
      </c>
      <c r="C1535" s="2" t="s">
        <v>569</v>
      </c>
      <c r="D1535" s="2" t="str">
        <f t="shared" ref="D1535:D1598" si="23">IF(ISBLANK(B1535),"OK",IF(A1535-B1535=0,"OK","Error?"))</f>
        <v>Error?</v>
      </c>
    </row>
    <row r="1536" spans="1:4" x14ac:dyDescent="0.2">
      <c r="A1536" s="5">
        <v>1475</v>
      </c>
      <c r="B1536" s="1890">
        <f>'Expenditures 15-22'!E312</f>
        <v>137452</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5333785</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5333785</v>
      </c>
      <c r="C1547" s="2" t="s">
        <v>569</v>
      </c>
      <c r="D1547" s="2" t="str">
        <f t="shared" si="23"/>
        <v>Error?</v>
      </c>
    </row>
    <row r="1548" spans="1:4" x14ac:dyDescent="0.2">
      <c r="A1548" s="5">
        <v>1487</v>
      </c>
      <c r="B1548" s="1890">
        <f>'Expenditures 15-22'!G312</f>
        <v>5333785</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5471237</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5471237</v>
      </c>
      <c r="C1559" s="2" t="s">
        <v>569</v>
      </c>
      <c r="D1559" s="2" t="str">
        <f t="shared" si="23"/>
        <v>Error?</v>
      </c>
    </row>
    <row r="1560" spans="1:4" x14ac:dyDescent="0.2">
      <c r="A1560" s="5">
        <v>1499</v>
      </c>
      <c r="B1560" s="1890">
        <f>'Expenditures 15-22'!K312</f>
        <v>5471237</v>
      </c>
      <c r="C1560" s="2" t="s">
        <v>569</v>
      </c>
      <c r="D1560" s="2" t="str">
        <f t="shared" si="23"/>
        <v>Error?</v>
      </c>
    </row>
    <row r="1561" spans="1:4" x14ac:dyDescent="0.2">
      <c r="A1561" s="5">
        <v>1500</v>
      </c>
      <c r="B1561" s="1890">
        <f>'Expenditures 15-22'!K313</f>
        <v>-5225424</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1749835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2096264</v>
      </c>
      <c r="C1630" s="2" t="s">
        <v>569</v>
      </c>
      <c r="D1630" s="2" t="str">
        <f t="shared" si="24"/>
        <v>Error?</v>
      </c>
    </row>
    <row r="1631" spans="1:4" x14ac:dyDescent="0.2">
      <c r="A1631" s="5">
        <v>1570</v>
      </c>
      <c r="B1631" s="1890">
        <f>'Acct Summary 7-8'!D79</f>
        <v>1722531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1656862</v>
      </c>
      <c r="C1644" s="2" t="s">
        <v>569</v>
      </c>
      <c r="D1644" s="2" t="str">
        <f t="shared" si="24"/>
        <v>Error?</v>
      </c>
    </row>
    <row r="1645" spans="1:4" x14ac:dyDescent="0.2">
      <c r="A1645" s="5">
        <v>1584</v>
      </c>
      <c r="B1645" s="1890">
        <f>'Acct Summary 7-8'!E79</f>
        <v>66415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57152</v>
      </c>
      <c r="C1658" s="2" t="s">
        <v>569</v>
      </c>
      <c r="D1658" s="2" t="str">
        <f t="shared" si="24"/>
        <v>Error?</v>
      </c>
    </row>
    <row r="1659" spans="1:4" x14ac:dyDescent="0.2">
      <c r="A1659" s="5">
        <v>1598</v>
      </c>
      <c r="B1659" s="1890">
        <f>'Acct Summary 7-8'!F79</f>
        <v>461089</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478885</v>
      </c>
      <c r="C1672" s="2" t="s">
        <v>569</v>
      </c>
      <c r="D1672" s="2" t="str">
        <f t="shared" si="25"/>
        <v>Error?</v>
      </c>
    </row>
    <row r="1673" spans="1:4" x14ac:dyDescent="0.2">
      <c r="A1673" s="5">
        <v>1612</v>
      </c>
      <c r="B1673" s="1890">
        <f>'Acct Summary 7-8'!G79</f>
        <v>190074</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225036</v>
      </c>
      <c r="C1686" s="2" t="s">
        <v>569</v>
      </c>
      <c r="D1686" s="2" t="str">
        <f t="shared" si="25"/>
        <v>Error?</v>
      </c>
    </row>
    <row r="1687" spans="1:4" x14ac:dyDescent="0.2">
      <c r="A1687" s="5">
        <v>1626</v>
      </c>
      <c r="B1687" s="1890">
        <f>'Acct Summary 7-8'!H79</f>
        <v>4805013</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-420411</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2932887</v>
      </c>
      <c r="C1744" s="2" t="s">
        <v>569</v>
      </c>
      <c r="D1744" s="2" t="str">
        <f t="shared" si="26"/>
        <v>Error?</v>
      </c>
    </row>
    <row r="1745" spans="1:5" x14ac:dyDescent="0.2">
      <c r="A1745" s="5">
        <v>1684</v>
      </c>
      <c r="B1745" s="1890">
        <f>'Tax Sched 23'!B5</f>
        <v>734041</v>
      </c>
      <c r="C1745" s="2" t="s">
        <v>569</v>
      </c>
      <c r="D1745" s="2" t="str">
        <f t="shared" si="26"/>
        <v>Error?</v>
      </c>
    </row>
    <row r="1746" spans="1:5" x14ac:dyDescent="0.2">
      <c r="A1746" s="5">
        <v>1685</v>
      </c>
      <c r="B1746" s="1890">
        <f>'Tax Sched 23'!B6</f>
        <v>663720</v>
      </c>
      <c r="C1746" s="2" t="s">
        <v>569</v>
      </c>
      <c r="D1746" s="2" t="str">
        <f t="shared" si="26"/>
        <v>Error?</v>
      </c>
    </row>
    <row r="1747" spans="1:5" x14ac:dyDescent="0.2">
      <c r="A1747" s="5">
        <v>1686</v>
      </c>
      <c r="B1747" s="1890">
        <f>'Tax Sched 23'!B7</f>
        <v>195747</v>
      </c>
      <c r="C1747" s="2" t="s">
        <v>569</v>
      </c>
      <c r="D1747" s="2" t="str">
        <f t="shared" si="26"/>
        <v>Error?</v>
      </c>
    </row>
    <row r="1748" spans="1:5" x14ac:dyDescent="0.2">
      <c r="A1748" s="5">
        <v>1687</v>
      </c>
      <c r="B1748" s="1890">
        <f>'Tax Sched 23'!B8</f>
        <v>47157</v>
      </c>
      <c r="C1748" s="2" t="s">
        <v>569</v>
      </c>
      <c r="D1748" s="2" t="str">
        <f t="shared" si="26"/>
        <v>Error?</v>
      </c>
    </row>
    <row r="1749" spans="1:5" x14ac:dyDescent="0.2">
      <c r="A1749" s="5">
        <v>1688</v>
      </c>
      <c r="B1749" s="1890">
        <f>'Tax Sched 23'!B10</f>
        <v>48935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417317</v>
      </c>
      <c r="C1752" s="2" t="s">
        <v>569</v>
      </c>
      <c r="D1752" s="2" t="str">
        <f t="shared" si="26"/>
        <v>Error?</v>
      </c>
    </row>
    <row r="1753" spans="1:5" x14ac:dyDescent="0.2">
      <c r="A1753" s="5">
        <v>1692</v>
      </c>
      <c r="B1753" s="1890">
        <f>'Tax Sched 23'!B12</f>
        <v>48935</v>
      </c>
      <c r="C1753" s="2" t="s">
        <v>569</v>
      </c>
      <c r="D1753" s="2" t="str">
        <f t="shared" si="26"/>
        <v>Error?</v>
      </c>
    </row>
    <row r="1754" spans="1:5" x14ac:dyDescent="0.2">
      <c r="A1754" s="5">
        <v>1693</v>
      </c>
      <c r="B1754" s="1890">
        <f>'Tax Sched 23'!B14</f>
        <v>39151</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5269534</v>
      </c>
      <c r="C1759" s="2" t="s">
        <v>569</v>
      </c>
      <c r="D1759" s="2" t="str">
        <f t="shared" si="26"/>
        <v>Error?</v>
      </c>
    </row>
    <row r="1760" spans="1:5" x14ac:dyDescent="0.2">
      <c r="A1760" s="5">
        <v>1699</v>
      </c>
      <c r="B1760" s="1890">
        <f>'Tax Sched 23'!D4</f>
        <v>2833848</v>
      </c>
      <c r="C1760" s="2" t="s">
        <v>569</v>
      </c>
      <c r="D1760" s="2" t="str">
        <f t="shared" si="26"/>
        <v>Error?</v>
      </c>
    </row>
    <row r="1761" spans="1:7" x14ac:dyDescent="0.2">
      <c r="A1761" s="5">
        <v>1700</v>
      </c>
      <c r="B1761" s="1890">
        <f>'Tax Sched 23'!D5</f>
        <v>709010</v>
      </c>
      <c r="C1761" s="2" t="s">
        <v>569</v>
      </c>
      <c r="D1761" s="2" t="str">
        <f t="shared" si="26"/>
        <v>Error?</v>
      </c>
    </row>
    <row r="1762" spans="1:7" s="8" customFormat="1" x14ac:dyDescent="0.2">
      <c r="A1762" s="5">
        <v>1701</v>
      </c>
      <c r="B1762" s="1890">
        <f>'Tax Sched 23'!D6</f>
        <v>641403</v>
      </c>
      <c r="C1762" s="2" t="s">
        <v>569</v>
      </c>
      <c r="D1762" s="2" t="str">
        <f t="shared" si="26"/>
        <v>Error?</v>
      </c>
      <c r="E1762" s="9"/>
      <c r="G1762"/>
    </row>
    <row r="1763" spans="1:7" x14ac:dyDescent="0.2">
      <c r="A1763" s="5">
        <v>1702</v>
      </c>
      <c r="B1763" s="1890">
        <f>'Tax Sched 23'!D7</f>
        <v>189072</v>
      </c>
      <c r="C1763" s="2" t="s">
        <v>569</v>
      </c>
      <c r="D1763" s="2" t="str">
        <f t="shared" si="26"/>
        <v>Error?</v>
      </c>
    </row>
    <row r="1764" spans="1:7" x14ac:dyDescent="0.2">
      <c r="A1764" s="5">
        <v>1703</v>
      </c>
      <c r="B1764" s="1890">
        <f>'Tax Sched 23'!D8</f>
        <v>45532</v>
      </c>
      <c r="C1764" s="2" t="s">
        <v>569</v>
      </c>
      <c r="D1764" s="2" t="str">
        <f t="shared" si="26"/>
        <v>Error?</v>
      </c>
    </row>
    <row r="1765" spans="1:7" x14ac:dyDescent="0.2">
      <c r="A1765" s="5">
        <v>1704</v>
      </c>
      <c r="B1765" s="1890">
        <f>'Tax Sched 23'!D10</f>
        <v>47266</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403008</v>
      </c>
      <c r="C1768" s="2" t="s">
        <v>569</v>
      </c>
      <c r="D1768" s="2" t="str">
        <f t="shared" si="26"/>
        <v>Error?</v>
      </c>
    </row>
    <row r="1769" spans="1:7" x14ac:dyDescent="0.2">
      <c r="A1769" s="5">
        <v>1708</v>
      </c>
      <c r="B1769" s="1890">
        <f>'Tax Sched 23'!D12</f>
        <v>47266</v>
      </c>
      <c r="C1769" s="2" t="s">
        <v>569</v>
      </c>
      <c r="D1769" s="2" t="str">
        <f t="shared" si="26"/>
        <v>Error?</v>
      </c>
    </row>
    <row r="1770" spans="1:7" x14ac:dyDescent="0.2">
      <c r="A1770" s="5">
        <v>1709</v>
      </c>
      <c r="B1770" s="1890">
        <f>'Tax Sched 23'!D14</f>
        <v>37816</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5091046</v>
      </c>
      <c r="C1775" s="2" t="s">
        <v>569</v>
      </c>
      <c r="D1775" s="2" t="str">
        <f t="shared" si="26"/>
        <v>Error?</v>
      </c>
    </row>
    <row r="1776" spans="1:7" x14ac:dyDescent="0.2">
      <c r="A1776" s="5">
        <v>1715</v>
      </c>
      <c r="B1776" s="1890">
        <f>'Tax Sched 23'!C4</f>
        <v>99039</v>
      </c>
      <c r="D1776" s="2" t="str">
        <f t="shared" si="26"/>
        <v>Error?</v>
      </c>
    </row>
    <row r="1777" spans="1:4" x14ac:dyDescent="0.2">
      <c r="A1777" s="5">
        <v>1716</v>
      </c>
      <c r="B1777" s="1890">
        <f>'Tax Sched 23'!C5</f>
        <v>25031</v>
      </c>
      <c r="D1777" s="2" t="str">
        <f t="shared" si="26"/>
        <v>Error?</v>
      </c>
    </row>
    <row r="1778" spans="1:4" x14ac:dyDescent="0.2">
      <c r="A1778" s="5">
        <v>1717</v>
      </c>
      <c r="B1778" s="1890">
        <f>'Tax Sched 23'!C6</f>
        <v>22317</v>
      </c>
      <c r="D1778" s="2" t="str">
        <f t="shared" si="26"/>
        <v>Error?</v>
      </c>
    </row>
    <row r="1779" spans="1:4" x14ac:dyDescent="0.2">
      <c r="A1779" s="5">
        <v>1718</v>
      </c>
      <c r="B1779" s="1890">
        <f>'Tax Sched 23'!C7</f>
        <v>6675</v>
      </c>
      <c r="D1779" s="2" t="str">
        <f t="shared" si="26"/>
        <v>Error?</v>
      </c>
    </row>
    <row r="1780" spans="1:4" x14ac:dyDescent="0.2">
      <c r="A1780" s="5">
        <v>1719</v>
      </c>
      <c r="B1780" s="1890">
        <f>'Tax Sched 23'!C8</f>
        <v>1625</v>
      </c>
      <c r="D1780" s="2" t="str">
        <f t="shared" si="26"/>
        <v>Error?</v>
      </c>
    </row>
    <row r="1781" spans="1:4" x14ac:dyDescent="0.2">
      <c r="A1781" s="5">
        <v>1720</v>
      </c>
      <c r="B1781" s="1890">
        <f>'Tax Sched 23'!C10</f>
        <v>1669</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14309</v>
      </c>
      <c r="D1784" s="2" t="str">
        <f t="shared" si="26"/>
        <v>Error?</v>
      </c>
    </row>
    <row r="1785" spans="1:4" x14ac:dyDescent="0.2">
      <c r="A1785" s="5">
        <v>1724</v>
      </c>
      <c r="B1785" s="1890">
        <f>'Tax Sched 23'!C12</f>
        <v>1669</v>
      </c>
      <c r="D1785" s="2" t="str">
        <f t="shared" si="26"/>
        <v>Error?</v>
      </c>
    </row>
    <row r="1786" spans="1:4" x14ac:dyDescent="0.2">
      <c r="A1786" s="5">
        <v>1725</v>
      </c>
      <c r="B1786" s="1890">
        <f>'Tax Sched 23'!C14</f>
        <v>1335</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178488</v>
      </c>
      <c r="C1791" s="2" t="s">
        <v>569</v>
      </c>
      <c r="D1791" s="2" t="str">
        <f t="shared" ref="D1791:D1854" si="27">IF(ISBLANK(B1791),"OK",IF(A1791-B1791=0,"OK","Error?"))</f>
        <v>Error?</v>
      </c>
    </row>
    <row r="1792" spans="1:4" x14ac:dyDescent="0.2">
      <c r="A1792" s="5">
        <v>1731</v>
      </c>
      <c r="B1792" s="1890">
        <f>'Tax Sched 23'!F4</f>
        <v>2724234</v>
      </c>
      <c r="C1792" s="2" t="s">
        <v>569</v>
      </c>
      <c r="D1792" s="2" t="str">
        <f t="shared" si="27"/>
        <v>Error?</v>
      </c>
    </row>
    <row r="1793" spans="1:4" x14ac:dyDescent="0.2">
      <c r="A1793" s="5">
        <v>1732</v>
      </c>
      <c r="B1793" s="1890">
        <f>'Tax Sched 23'!F5</f>
        <v>680787</v>
      </c>
      <c r="C1793" s="2" t="s">
        <v>569</v>
      </c>
      <c r="D1793" s="2" t="str">
        <f t="shared" si="27"/>
        <v>Error?</v>
      </c>
    </row>
    <row r="1794" spans="1:4" x14ac:dyDescent="0.2">
      <c r="A1794" s="5">
        <v>1733</v>
      </c>
      <c r="B1794" s="1890">
        <f>'Tax Sched 23'!F6</f>
        <v>584969</v>
      </c>
      <c r="C1794" s="2" t="s">
        <v>569</v>
      </c>
      <c r="D1794" s="2" t="str">
        <f t="shared" si="27"/>
        <v>Error?</v>
      </c>
    </row>
    <row r="1795" spans="1:4" x14ac:dyDescent="0.2">
      <c r="A1795" s="5">
        <v>1734</v>
      </c>
      <c r="B1795" s="1890">
        <f>'Tax Sched 23'!F7</f>
        <v>181543</v>
      </c>
      <c r="C1795" s="2" t="s">
        <v>569</v>
      </c>
      <c r="D1795" s="2" t="str">
        <f t="shared" si="27"/>
        <v>Error?</v>
      </c>
    </row>
    <row r="1796" spans="1:4" x14ac:dyDescent="0.2">
      <c r="A1796" s="5">
        <v>1735</v>
      </c>
      <c r="B1796" s="1890">
        <f>'Tax Sched 23'!F8</f>
        <v>42418</v>
      </c>
      <c r="C1796" s="2" t="s">
        <v>569</v>
      </c>
      <c r="D1796" s="2" t="str">
        <f t="shared" si="27"/>
        <v>Error?</v>
      </c>
    </row>
    <row r="1797" spans="1:4" x14ac:dyDescent="0.2">
      <c r="A1797" s="5">
        <v>1736</v>
      </c>
      <c r="B1797" s="1890">
        <f>'Tax Sched 23'!F10</f>
        <v>45386</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373138</v>
      </c>
      <c r="C1800" s="2" t="s">
        <v>569</v>
      </c>
      <c r="D1800" s="2" t="str">
        <f t="shared" si="27"/>
        <v>Error?</v>
      </c>
    </row>
    <row r="1801" spans="1:4" x14ac:dyDescent="0.2">
      <c r="A1801" s="5">
        <v>1740</v>
      </c>
      <c r="B1801" s="1890">
        <f>'Tax Sched 23'!F12</f>
        <v>45386</v>
      </c>
      <c r="C1801" s="2" t="s">
        <v>569</v>
      </c>
      <c r="D1801" s="2" t="str">
        <f t="shared" si="27"/>
        <v>Error?</v>
      </c>
    </row>
    <row r="1802" spans="1:4" x14ac:dyDescent="0.2">
      <c r="A1802" s="5">
        <v>1741</v>
      </c>
      <c r="B1802" s="1890">
        <f>'Tax Sched 23'!F14</f>
        <v>36309</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4841762</v>
      </c>
      <c r="C1807" s="2" t="s">
        <v>569</v>
      </c>
      <c r="D1807" s="2" t="str">
        <f t="shared" si="27"/>
        <v>Error?</v>
      </c>
    </row>
    <row r="1808" spans="1:4" x14ac:dyDescent="0.2">
      <c r="A1808" s="5">
        <v>1747</v>
      </c>
      <c r="B1808" s="1890">
        <f>'Tax Sched 23'!E4</f>
        <v>2823273</v>
      </c>
      <c r="D1808" s="2" t="str">
        <f t="shared" si="27"/>
        <v>Error?</v>
      </c>
    </row>
    <row r="1809" spans="1:4" x14ac:dyDescent="0.2">
      <c r="A1809" s="5">
        <v>1748</v>
      </c>
      <c r="B1809" s="1890">
        <f>'Tax Sched 23'!E5</f>
        <v>705818</v>
      </c>
      <c r="D1809" s="2" t="str">
        <f t="shared" si="27"/>
        <v>Error?</v>
      </c>
    </row>
    <row r="1810" spans="1:4" x14ac:dyDescent="0.2">
      <c r="A1810" s="5">
        <v>1749</v>
      </c>
      <c r="B1810" s="1890">
        <f>'Tax Sched 23'!E6</f>
        <v>607286</v>
      </c>
      <c r="D1810" s="2" t="str">
        <f t="shared" si="27"/>
        <v>Error?</v>
      </c>
    </row>
    <row r="1811" spans="1:4" x14ac:dyDescent="0.2">
      <c r="A1811" s="5">
        <v>1750</v>
      </c>
      <c r="B1811" s="1890">
        <f>'Tax Sched 23'!E7</f>
        <v>188218</v>
      </c>
      <c r="D1811" s="2" t="str">
        <f t="shared" si="27"/>
        <v>Error?</v>
      </c>
    </row>
    <row r="1812" spans="1:4" x14ac:dyDescent="0.2">
      <c r="A1812" s="5">
        <v>1751</v>
      </c>
      <c r="B1812" s="1890">
        <f>'Tax Sched 23'!E8</f>
        <v>44043</v>
      </c>
      <c r="D1812" s="2" t="str">
        <f t="shared" si="27"/>
        <v>Error?</v>
      </c>
    </row>
    <row r="1813" spans="1:4" x14ac:dyDescent="0.2">
      <c r="A1813" s="5">
        <v>1752</v>
      </c>
      <c r="B1813" s="1890">
        <f>'Tax Sched 23'!E10</f>
        <v>47055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387447</v>
      </c>
      <c r="D1816" s="2" t="str">
        <f t="shared" si="27"/>
        <v>Error?</v>
      </c>
    </row>
    <row r="1817" spans="1:4" x14ac:dyDescent="0.2">
      <c r="A1817" s="5">
        <v>1756</v>
      </c>
      <c r="B1817" s="1890">
        <f>'Tax Sched 23'!E12</f>
        <v>47055</v>
      </c>
      <c r="D1817" s="2" t="str">
        <f t="shared" si="27"/>
        <v>Error?</v>
      </c>
    </row>
    <row r="1818" spans="1:4" x14ac:dyDescent="0.2">
      <c r="A1818" s="5">
        <v>1757</v>
      </c>
      <c r="B1818" s="1890">
        <f>'Tax Sched 23'!E14</f>
        <v>37644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5020250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8599235</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39151</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39151</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39151</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4277804</v>
      </c>
      <c r="D2009" s="2" t="str">
        <f t="shared" si="30"/>
        <v>Error?</v>
      </c>
    </row>
    <row r="2010" spans="1:4" x14ac:dyDescent="0.2">
      <c r="A2010" s="5">
        <v>1949</v>
      </c>
      <c r="B2010" s="1890">
        <f>'Cap Outlay Deprec 26'!C10</f>
        <v>18135</v>
      </c>
      <c r="D2010" s="2" t="str">
        <f t="shared" si="30"/>
        <v>Error?</v>
      </c>
    </row>
    <row r="2011" spans="1:4" x14ac:dyDescent="0.2">
      <c r="A2011" s="5">
        <v>1950</v>
      </c>
      <c r="B2011" s="1890">
        <f>'Cap Outlay Deprec 26'!C12</f>
        <v>321086</v>
      </c>
      <c r="D2011" s="2" t="str">
        <f t="shared" si="30"/>
        <v>Error?</v>
      </c>
    </row>
    <row r="2012" spans="1:4" x14ac:dyDescent="0.2">
      <c r="A2012" s="5">
        <v>1951</v>
      </c>
      <c r="B2012" s="1890">
        <f>'Cap Outlay Deprec 26'!C13</f>
        <v>299303</v>
      </c>
      <c r="D2012" s="2" t="str">
        <f t="shared" si="30"/>
        <v>Error?</v>
      </c>
    </row>
    <row r="2013" spans="1:4" x14ac:dyDescent="0.2">
      <c r="A2013" s="5">
        <v>1952</v>
      </c>
      <c r="B2013" s="1890">
        <f>'Cap Outlay Deprec 26'!C16</f>
        <v>7760214</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8004644</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399181</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8576851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71950</v>
      </c>
      <c r="D2023" s="2" t="str">
        <f t="shared" si="30"/>
        <v>Error?</v>
      </c>
    </row>
    <row r="2024" spans="1:4" x14ac:dyDescent="0.2">
      <c r="A2024" s="5">
        <v>1963</v>
      </c>
      <c r="B2024" s="1890">
        <f>'Cap Outlay Deprec 26'!E13</f>
        <v>243538</v>
      </c>
      <c r="D2024" s="2" t="str">
        <f t="shared" si="30"/>
        <v>Error?</v>
      </c>
    </row>
    <row r="2025" spans="1:4" x14ac:dyDescent="0.2">
      <c r="A2025" s="5">
        <v>1964</v>
      </c>
      <c r="B2025" s="1890">
        <f>'Cap Outlay Deprec 26'!E16</f>
        <v>3159374</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12282448</v>
      </c>
      <c r="C2027" s="2" t="s">
        <v>569</v>
      </c>
      <c r="D2027" s="2" t="str">
        <f t="shared" si="30"/>
        <v>Error?</v>
      </c>
    </row>
    <row r="2028" spans="1:4" x14ac:dyDescent="0.2">
      <c r="A2028" s="5">
        <v>1967</v>
      </c>
      <c r="B2028" s="1890">
        <f>'Cap Outlay Deprec 26'!F10</f>
        <v>18135</v>
      </c>
      <c r="C2028" s="2" t="s">
        <v>569</v>
      </c>
      <c r="D2028" s="2" t="str">
        <f t="shared" si="30"/>
        <v>Error?</v>
      </c>
    </row>
    <row r="2029" spans="1:4" x14ac:dyDescent="0.2">
      <c r="A2029" s="5">
        <v>1968</v>
      </c>
      <c r="B2029" s="1890">
        <f>'Cap Outlay Deprec 26'!F12</f>
        <v>648317</v>
      </c>
      <c r="C2029" s="2" t="s">
        <v>569</v>
      </c>
      <c r="D2029" s="2" t="str">
        <f t="shared" si="30"/>
        <v>Error?</v>
      </c>
    </row>
    <row r="2030" spans="1:4" x14ac:dyDescent="0.2">
      <c r="A2030" s="5">
        <v>1969</v>
      </c>
      <c r="B2030" s="1890">
        <f>'Cap Outlay Deprec 26'!F13</f>
        <v>55765</v>
      </c>
      <c r="C2030" s="2" t="s">
        <v>569</v>
      </c>
      <c r="D2030" s="2" t="str">
        <f t="shared" si="30"/>
        <v>Error?</v>
      </c>
    </row>
    <row r="2031" spans="1:4" x14ac:dyDescent="0.2">
      <c r="A2031" s="5">
        <v>1970</v>
      </c>
      <c r="B2031" s="1890">
        <f>'Cap Outlay Deprec 26'!F16</f>
        <v>13177691</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1704939</v>
      </c>
      <c r="D2033" s="2" t="str">
        <f t="shared" si="30"/>
        <v>Error?</v>
      </c>
    </row>
    <row r="2034" spans="1:4" x14ac:dyDescent="0.2">
      <c r="A2034" s="5">
        <v>1973</v>
      </c>
      <c r="B2034" s="1890">
        <f>'Cap Outlay Deprec 26'!H10</f>
        <v>18135</v>
      </c>
      <c r="D2034" s="2" t="str">
        <f t="shared" si="30"/>
        <v>Error?</v>
      </c>
    </row>
    <row r="2035" spans="1:4" x14ac:dyDescent="0.2">
      <c r="A2035" s="5">
        <v>1974</v>
      </c>
      <c r="B2035" s="1890">
        <f>'Cap Outlay Deprec 26'!H12</f>
        <v>243229</v>
      </c>
      <c r="D2035" s="2" t="str">
        <f t="shared" si="30"/>
        <v>Error?</v>
      </c>
    </row>
    <row r="2036" spans="1:4" x14ac:dyDescent="0.2">
      <c r="A2036" s="5">
        <v>1975</v>
      </c>
      <c r="B2036" s="1890">
        <f>'Cap Outlay Deprec 26'!H13</f>
        <v>277418</v>
      </c>
      <c r="D2036" s="2" t="str">
        <f t="shared" si="30"/>
        <v>Error?</v>
      </c>
    </row>
    <row r="2037" spans="1:4" x14ac:dyDescent="0.2">
      <c r="A2037" s="5">
        <v>1976</v>
      </c>
      <c r="B2037" s="1890">
        <f>'Cap Outlay Deprec 26'!H16</f>
        <v>2243721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230820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64028</v>
      </c>
      <c r="D2041" s="2" t="str">
        <f t="shared" si="30"/>
        <v>Error?</v>
      </c>
    </row>
    <row r="2042" spans="1:4" x14ac:dyDescent="0.2">
      <c r="A2042" s="5">
        <v>1981</v>
      </c>
      <c r="B2042" s="1890">
        <f>'Cap Outlay Deprec 26'!I13</f>
        <v>11153</v>
      </c>
      <c r="D2042" s="2" t="str">
        <f t="shared" si="30"/>
        <v>Error?</v>
      </c>
    </row>
    <row r="2043" spans="1:4" x14ac:dyDescent="0.2">
      <c r="A2043" s="5">
        <v>1982</v>
      </c>
      <c r="B2043" s="1890">
        <f>'Cap Outlay Deprec 26'!I16</f>
        <v>306001</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71950</v>
      </c>
      <c r="D2047" s="2" t="str">
        <f t="shared" ref="D2047:D2110" si="31">IF(ISBLANK(B2047),"OK",IF(A2047-B2047=0,"OK","Error?"))</f>
        <v>Error?</v>
      </c>
    </row>
    <row r="2048" spans="1:4" x14ac:dyDescent="0.2">
      <c r="A2048" s="5">
        <v>1987</v>
      </c>
      <c r="B2048" s="1890">
        <f>'Cap Outlay Deprec 26'!J13</f>
        <v>243538</v>
      </c>
      <c r="D2048" s="2" t="str">
        <f t="shared" si="31"/>
        <v>Error?</v>
      </c>
    </row>
    <row r="2049" spans="1:4" x14ac:dyDescent="0.2">
      <c r="A2049" s="5">
        <v>1988</v>
      </c>
      <c r="B2049" s="1890">
        <f>'Cap Outlay Deprec 26'!J16</f>
        <v>315488</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1935759</v>
      </c>
      <c r="C2051" s="2" t="s">
        <v>569</v>
      </c>
      <c r="D2051" s="2" t="str">
        <f t="shared" si="31"/>
        <v>Error?</v>
      </c>
    </row>
    <row r="2052" spans="1:4" x14ac:dyDescent="0.2">
      <c r="A2052" s="5">
        <v>1991</v>
      </c>
      <c r="B2052" s="1890">
        <f>'Cap Outlay Deprec 26'!K10</f>
        <v>18135</v>
      </c>
      <c r="C2052" s="2" t="s">
        <v>569</v>
      </c>
      <c r="D2052" s="2" t="str">
        <f t="shared" si="31"/>
        <v>Error?</v>
      </c>
    </row>
    <row r="2053" spans="1:4" x14ac:dyDescent="0.2">
      <c r="A2053" s="5">
        <v>1992</v>
      </c>
      <c r="B2053" s="1890">
        <f>'Cap Outlay Deprec 26'!K12</f>
        <v>235307</v>
      </c>
      <c r="C2053" s="2" t="s">
        <v>569</v>
      </c>
      <c r="D2053" s="2" t="str">
        <f t="shared" si="31"/>
        <v>Error?</v>
      </c>
    </row>
    <row r="2054" spans="1:4" x14ac:dyDescent="0.2">
      <c r="A2054" s="5">
        <v>1993</v>
      </c>
      <c r="B2054" s="1890">
        <f>'Cap Outlay Deprec 26'!K13</f>
        <v>45033</v>
      </c>
      <c r="C2054" s="2" t="s">
        <v>569</v>
      </c>
      <c r="D2054" s="2" t="str">
        <f t="shared" si="31"/>
        <v>Error?</v>
      </c>
    </row>
    <row r="2055" spans="1:4" x14ac:dyDescent="0.2">
      <c r="A2055" s="5">
        <v>1994</v>
      </c>
      <c r="B2055" s="1890">
        <f>'Cap Outlay Deprec 26'!K16</f>
        <v>2234234</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10346689</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413010</v>
      </c>
      <c r="C2059" s="2" t="s">
        <v>569</v>
      </c>
      <c r="D2059" s="2" t="str">
        <f t="shared" si="31"/>
        <v>Error?</v>
      </c>
    </row>
    <row r="2060" spans="1:4" x14ac:dyDescent="0.2">
      <c r="A2060" s="5">
        <v>1999</v>
      </c>
      <c r="B2060" s="1890">
        <f>'Cap Outlay Deprec 26'!L13</f>
        <v>10732</v>
      </c>
      <c r="C2060" s="2" t="s">
        <v>569</v>
      </c>
      <c r="D2060" s="2" t="str">
        <f t="shared" si="31"/>
        <v>Error?</v>
      </c>
    </row>
    <row r="2061" spans="1:4" x14ac:dyDescent="0.2">
      <c r="A2061" s="5">
        <v>2000</v>
      </c>
      <c r="B2061" s="1890">
        <f>'Cap Outlay Deprec 26'!L16</f>
        <v>10943457</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188911</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4509</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4509</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147049</v>
      </c>
      <c r="D2435" s="2" t="str">
        <f t="shared" si="37"/>
        <v>Error?</v>
      </c>
    </row>
    <row r="2436" spans="1:4" x14ac:dyDescent="0.2">
      <c r="A2436" s="10">
        <v>2375</v>
      </c>
      <c r="B2436" s="1890"/>
      <c r="D2436" s="2" t="str">
        <f t="shared" si="37"/>
        <v>OK</v>
      </c>
    </row>
    <row r="2437" spans="1:4" x14ac:dyDescent="0.2">
      <c r="A2437" s="5">
        <v>2376</v>
      </c>
      <c r="B2437" s="1890">
        <f>'Assets-Liab 5-6'!D38</f>
        <v>41763</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3354845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720590</v>
      </c>
      <c r="C2553" s="2" t="s">
        <v>569</v>
      </c>
      <c r="D2553" s="2" t="str">
        <f t="shared" si="38"/>
        <v>Error?</v>
      </c>
    </row>
    <row r="2554" spans="1:4" x14ac:dyDescent="0.2">
      <c r="A2554" s="5">
        <v>2493</v>
      </c>
      <c r="B2554" s="1890">
        <f>'Acct Summary 7-8'!C7</f>
        <v>179970</v>
      </c>
      <c r="C2554" s="2" t="s">
        <v>569</v>
      </c>
      <c r="D2554" s="2" t="str">
        <f t="shared" si="38"/>
        <v>Error?</v>
      </c>
    </row>
    <row r="2555" spans="1:4" x14ac:dyDescent="0.2">
      <c r="A2555" s="5">
        <v>2494</v>
      </c>
      <c r="B2555" s="1890">
        <f>'Acct Summary 7-8'!C8</f>
        <v>4315694</v>
      </c>
      <c r="C2555" s="2" t="s">
        <v>569</v>
      </c>
      <c r="D2555" s="2" t="str">
        <f t="shared" si="38"/>
        <v>Error?</v>
      </c>
    </row>
    <row r="2556" spans="1:4" x14ac:dyDescent="0.2">
      <c r="A2556" s="5">
        <v>2495</v>
      </c>
      <c r="B2556" s="1890">
        <f>'Acct Summary 7-8'!C12</f>
        <v>2851160</v>
      </c>
      <c r="C2556" s="2" t="s">
        <v>569</v>
      </c>
      <c r="D2556" s="2" t="str">
        <f t="shared" si="38"/>
        <v>Error?</v>
      </c>
    </row>
    <row r="2557" spans="1:4" x14ac:dyDescent="0.2">
      <c r="A2557" s="5">
        <v>2496</v>
      </c>
      <c r="B2557" s="1890">
        <f>'Acct Summary 7-8'!C13</f>
        <v>929194</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188911</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3969265</v>
      </c>
      <c r="C2561" s="2" t="s">
        <v>569</v>
      </c>
      <c r="D2561" s="2" t="str">
        <f t="shared" si="39"/>
        <v>Error?</v>
      </c>
    </row>
    <row r="2562" spans="1:4" x14ac:dyDescent="0.2">
      <c r="A2562" s="5">
        <v>2501</v>
      </c>
      <c r="B2562" s="1890">
        <f>'Acct Summary 7-8'!C20</f>
        <v>346429</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753494</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753494</v>
      </c>
      <c r="C2568" s="2" t="s">
        <v>569</v>
      </c>
      <c r="D2568" s="2" t="str">
        <f t="shared" si="39"/>
        <v>Error?</v>
      </c>
    </row>
    <row r="2569" spans="1:4" x14ac:dyDescent="0.2">
      <c r="A2569" s="5">
        <v>2508</v>
      </c>
      <c r="B2569" s="1890">
        <f>'Acct Summary 7-8'!D13</f>
        <v>814654</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4509</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819163</v>
      </c>
      <c r="C2573" s="2" t="s">
        <v>569</v>
      </c>
      <c r="D2573" s="2" t="str">
        <f t="shared" si="39"/>
        <v>Error?</v>
      </c>
    </row>
    <row r="2574" spans="1:4" x14ac:dyDescent="0.2">
      <c r="A2574" s="5">
        <v>2513</v>
      </c>
      <c r="B2574" s="1890">
        <f>'Acct Summary 7-8'!D20</f>
        <v>-65669</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200151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172175</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372326</v>
      </c>
      <c r="C2595" s="2" t="s">
        <v>569</v>
      </c>
      <c r="D2595" s="2" t="str">
        <f t="shared" si="39"/>
        <v>Error?</v>
      </c>
    </row>
    <row r="2596" spans="1:4" x14ac:dyDescent="0.2">
      <c r="A2596" s="5">
        <v>2535</v>
      </c>
      <c r="B2596" s="1890">
        <f>'Acct Summary 7-8'!F13</f>
        <v>350174</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4356</v>
      </c>
      <c r="C2599" s="2" t="s">
        <v>569</v>
      </c>
      <c r="D2599" s="2" t="str">
        <f t="shared" si="39"/>
        <v>Error?</v>
      </c>
    </row>
    <row r="2600" spans="1:4" x14ac:dyDescent="0.2">
      <c r="A2600" s="5">
        <v>2539</v>
      </c>
      <c r="B2600" s="1890">
        <f>'Acct Summary 7-8'!F17</f>
        <v>354530</v>
      </c>
      <c r="C2600" s="2" t="s">
        <v>569</v>
      </c>
      <c r="D2600" s="2" t="str">
        <f t="shared" si="39"/>
        <v>Error?</v>
      </c>
    </row>
    <row r="2601" spans="1:4" x14ac:dyDescent="0.2">
      <c r="A2601" s="5">
        <v>2540</v>
      </c>
      <c r="B2601" s="1890">
        <f>'Acct Summary 7-8'!F20</f>
        <v>17796</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145908</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145908</v>
      </c>
      <c r="C2606" s="2" t="s">
        <v>569</v>
      </c>
      <c r="D2606" s="2" t="str">
        <f t="shared" si="39"/>
        <v>Error?</v>
      </c>
    </row>
    <row r="2607" spans="1:4" x14ac:dyDescent="0.2">
      <c r="A2607" s="5">
        <v>2546</v>
      </c>
      <c r="B2607" s="1890">
        <f>'Acct Summary 7-8'!G12</f>
        <v>47874</v>
      </c>
      <c r="C2607" s="2" t="s">
        <v>569</v>
      </c>
      <c r="D2607" s="2" t="str">
        <f t="shared" si="39"/>
        <v>Error?</v>
      </c>
    </row>
    <row r="2608" spans="1:4" x14ac:dyDescent="0.2">
      <c r="A2608" s="5">
        <v>2547</v>
      </c>
      <c r="B2608" s="1890">
        <f>'Acct Summary 7-8'!G13</f>
        <v>63072</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110946</v>
      </c>
      <c r="C2612" s="2" t="s">
        <v>569</v>
      </c>
      <c r="D2612" s="2" t="str">
        <f t="shared" si="39"/>
        <v>Error?</v>
      </c>
    </row>
    <row r="2613" spans="1:4" x14ac:dyDescent="0.2">
      <c r="A2613" s="5">
        <v>2552</v>
      </c>
      <c r="B2613" s="1890">
        <f>'Acct Summary 7-8'!G20</f>
        <v>34962</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663803</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663803</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673066</v>
      </c>
      <c r="C2634" s="2" t="s">
        <v>569</v>
      </c>
      <c r="D2634" s="2" t="str">
        <f t="shared" si="40"/>
        <v>Error?</v>
      </c>
    </row>
    <row r="2635" spans="1:4" x14ac:dyDescent="0.2">
      <c r="A2635" s="5">
        <v>2574</v>
      </c>
      <c r="B2635" s="1890">
        <f>'Acct Summary 7-8'!E17</f>
        <v>673066</v>
      </c>
      <c r="C2635" s="2" t="s">
        <v>569</v>
      </c>
      <c r="D2635" s="2" t="str">
        <f t="shared" si="40"/>
        <v>Error?</v>
      </c>
    </row>
    <row r="2636" spans="1:4" x14ac:dyDescent="0.2">
      <c r="A2636" s="5">
        <v>2575</v>
      </c>
      <c r="B2636" s="1890">
        <f>'Acct Summary 7-8'!E20</f>
        <v>-9263</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245813</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245813</v>
      </c>
      <c r="C2658" s="2" t="s">
        <v>569</v>
      </c>
      <c r="D2658" s="2" t="str">
        <f t="shared" si="40"/>
        <v>Error?</v>
      </c>
    </row>
    <row r="2659" spans="1:4" x14ac:dyDescent="0.2">
      <c r="A2659" s="5">
        <v>2598</v>
      </c>
      <c r="B2659" s="1890">
        <f>'Acct Summary 7-8'!H13</f>
        <v>5471237</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5471237</v>
      </c>
      <c r="C2661" s="2" t="s">
        <v>569</v>
      </c>
      <c r="D2661" s="2" t="str">
        <f t="shared" si="40"/>
        <v>Error?</v>
      </c>
    </row>
    <row r="2662" spans="1:4" x14ac:dyDescent="0.2">
      <c r="A2662" s="5">
        <v>2601</v>
      </c>
      <c r="B2662" s="1890">
        <f>'Acct Summary 7-8'!H20</f>
        <v>-5225424</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188911</v>
      </c>
      <c r="C2789" s="2" t="s">
        <v>569</v>
      </c>
      <c r="D2789" s="2" t="str">
        <f t="shared" si="42"/>
        <v>Error?</v>
      </c>
    </row>
    <row r="2790" spans="1:4" x14ac:dyDescent="0.2">
      <c r="A2790" s="5">
        <v>2729</v>
      </c>
      <c r="B2790" s="1890">
        <f>'Expenditures 15-22'!E102</f>
        <v>188911</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173026</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189</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827972</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196809</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827972</v>
      </c>
      <c r="D2912" s="2" t="str">
        <f t="shared" si="44"/>
        <v>Error?</v>
      </c>
    </row>
    <row r="2913" spans="1:4" x14ac:dyDescent="0.2">
      <c r="A2913" s="5">
        <v>2852</v>
      </c>
      <c r="B2913" s="1890">
        <f>'Assets-Liab 5-6'!I41</f>
        <v>827972</v>
      </c>
      <c r="C2913" s="2" t="s">
        <v>569</v>
      </c>
      <c r="D2913" s="2" t="str">
        <f t="shared" si="44"/>
        <v>Error?</v>
      </c>
    </row>
    <row r="2914" spans="1:4" x14ac:dyDescent="0.2">
      <c r="A2914" s="5">
        <v>2853</v>
      </c>
      <c r="B2914" s="1890">
        <f>'Assets-Liab 5-6'!L33</f>
        <v>196809</v>
      </c>
      <c r="D2914" s="2" t="str">
        <f t="shared" si="44"/>
        <v>Error?</v>
      </c>
    </row>
    <row r="2915" spans="1:4" x14ac:dyDescent="0.2">
      <c r="A2915" s="10">
        <v>2854</v>
      </c>
      <c r="B2915" s="1890"/>
      <c r="D2915" s="2" t="str">
        <f t="shared" si="44"/>
        <v>OK</v>
      </c>
    </row>
    <row r="2916" spans="1:4" x14ac:dyDescent="0.2">
      <c r="A2916" s="5">
        <v>2855</v>
      </c>
      <c r="B2916" s="1890">
        <f>'Assets-Liab 5-6'!L34</f>
        <v>196809</v>
      </c>
      <c r="C2916" s="2" t="s">
        <v>569</v>
      </c>
      <c r="D2916" s="2" t="str">
        <f t="shared" si="44"/>
        <v>Error?</v>
      </c>
    </row>
    <row r="2917" spans="1:4" x14ac:dyDescent="0.2">
      <c r="A2917" s="5">
        <v>2856</v>
      </c>
      <c r="B2917" s="1890">
        <f>'Assets-Liab 5-6'!L41</f>
        <v>196809</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161329</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27582</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161329</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27582</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4509</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4509</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58192</v>
      </c>
      <c r="D3055" s="2" t="str">
        <f t="shared" si="46"/>
        <v>Error?</v>
      </c>
    </row>
    <row r="3056" spans="1:4" x14ac:dyDescent="0.2">
      <c r="A3056" s="5">
        <v>2995</v>
      </c>
      <c r="B3056" s="1890">
        <f>'Expenditures 15-22'!D10</f>
        <v>8617</v>
      </c>
      <c r="D3056" s="2" t="str">
        <f t="shared" si="46"/>
        <v>Error?</v>
      </c>
    </row>
    <row r="3057" spans="1:4" x14ac:dyDescent="0.2">
      <c r="A3057" s="5">
        <v>2996</v>
      </c>
      <c r="B3057" s="1890">
        <f>'Expenditures 15-22'!E10</f>
        <v>700</v>
      </c>
      <c r="D3057" s="2" t="str">
        <f t="shared" si="46"/>
        <v>Error?</v>
      </c>
    </row>
    <row r="3058" spans="1:4" x14ac:dyDescent="0.2">
      <c r="A3058" s="5">
        <v>2997</v>
      </c>
      <c r="B3058" s="1890">
        <f>'Expenditures 15-22'!F10</f>
        <v>31230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98739</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593</v>
      </c>
      <c r="D3064" s="2" t="str">
        <f t="shared" si="46"/>
        <v>Error?</v>
      </c>
    </row>
    <row r="3065" spans="1:4" x14ac:dyDescent="0.2">
      <c r="A3065" s="5">
        <v>3004</v>
      </c>
      <c r="B3065" s="1890">
        <f>'Expenditures 15-22'!K219</f>
        <v>593</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50483</v>
      </c>
      <c r="C3225" s="2" t="s">
        <v>569</v>
      </c>
      <c r="D3225" s="2" t="str">
        <f t="shared" si="49"/>
        <v>Error?</v>
      </c>
    </row>
    <row r="3226" spans="1:4" x14ac:dyDescent="0.2">
      <c r="A3226" s="5">
        <v>3165</v>
      </c>
      <c r="B3226" s="1890">
        <f>'Acct Summary 7-8'!I8</f>
        <v>50483</v>
      </c>
      <c r="C3226" s="2" t="s">
        <v>569</v>
      </c>
      <c r="D3226" s="2" t="str">
        <f t="shared" si="49"/>
        <v>Error?</v>
      </c>
    </row>
    <row r="3227" spans="1:4" x14ac:dyDescent="0.2">
      <c r="A3227" s="5">
        <v>3166</v>
      </c>
      <c r="B3227" s="1890">
        <f>'Acct Summary 7-8'!I20</f>
        <v>50483</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346429</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-65669</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17796</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34962</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-9263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-5225424</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50483</v>
      </c>
      <c r="C3320" s="2" t="s">
        <v>569</v>
      </c>
      <c r="D3320" s="2" t="str">
        <f t="shared" si="50"/>
        <v>Error?</v>
      </c>
    </row>
    <row r="3321" spans="1:4" x14ac:dyDescent="0.2">
      <c r="A3321" s="5">
        <v>3260</v>
      </c>
      <c r="B3321" s="1890">
        <f>'Acct Summary 7-8'!I79</f>
        <v>777489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827972</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251284</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53567</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72057</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306</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377214</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21820</v>
      </c>
      <c r="D3387" s="2" t="str">
        <f t="shared" si="51"/>
        <v>Error?</v>
      </c>
    </row>
    <row r="3388" spans="1:4" x14ac:dyDescent="0.2">
      <c r="A3388" s="5">
        <v>3327</v>
      </c>
      <c r="B3388" s="1890">
        <f>'Expenditures 15-22'!D217</f>
        <v>15771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21820</v>
      </c>
      <c r="C3390" s="2" t="s">
        <v>569</v>
      </c>
      <c r="D3390" s="2" t="str">
        <f t="shared" si="51"/>
        <v>Error?</v>
      </c>
    </row>
    <row r="3391" spans="1:4" x14ac:dyDescent="0.2">
      <c r="A3391" s="5">
        <v>3330</v>
      </c>
      <c r="B3391" s="1890">
        <f>'Expenditures 15-22'!K217</f>
        <v>15771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60289</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274601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1656534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57152</v>
      </c>
      <c r="D3417" s="2" t="str">
        <f t="shared" si="52"/>
        <v>Error?</v>
      </c>
    </row>
    <row r="3418" spans="1:4" x14ac:dyDescent="0.2">
      <c r="A3418" s="10">
        <v>3357</v>
      </c>
      <c r="B3418" s="1890"/>
      <c r="D3418" s="2" t="str">
        <f t="shared" si="52"/>
        <v>OK</v>
      </c>
    </row>
    <row r="3419" spans="1:4" x14ac:dyDescent="0.2">
      <c r="A3419" s="5">
        <v>3358</v>
      </c>
      <c r="B3419" s="1890">
        <f>'Assets-Liab 5-6'!F4</f>
        <v>84707</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225036</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29589</v>
      </c>
      <c r="D3425" s="2" t="str">
        <f t="shared" si="52"/>
        <v>Error?</v>
      </c>
    </row>
    <row r="3426" spans="1:4" x14ac:dyDescent="0.2">
      <c r="A3426" s="10">
        <v>3365</v>
      </c>
      <c r="B3426" s="1890"/>
      <c r="D3426" s="2" t="str">
        <f t="shared" si="52"/>
        <v>OK</v>
      </c>
    </row>
    <row r="3427" spans="1:4" x14ac:dyDescent="0.2">
      <c r="A3427" s="5">
        <v>3366</v>
      </c>
      <c r="B3427" s="1890">
        <f>'Assets-Liab 5-6'!I4</f>
        <v>377783</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196809</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92709</v>
      </c>
      <c r="C3446" s="2" t="s">
        <v>569</v>
      </c>
      <c r="D3446" s="2" t="str">
        <f t="shared" si="52"/>
        <v>Error?</v>
      </c>
    </row>
    <row r="3447" spans="1:4" x14ac:dyDescent="0.2">
      <c r="A3447" s="5">
        <v>3386</v>
      </c>
      <c r="B3447" s="1890">
        <f>'Tax Sched 23'!D16</f>
        <v>89559</v>
      </c>
      <c r="C3447" s="2" t="s">
        <v>569</v>
      </c>
      <c r="D3447" s="2" t="str">
        <f t="shared" si="52"/>
        <v>Error?</v>
      </c>
    </row>
    <row r="3448" spans="1:4" x14ac:dyDescent="0.2">
      <c r="A3448" s="5">
        <v>3387</v>
      </c>
      <c r="B3448" s="1890">
        <f>'Tax Sched 23'!C16</f>
        <v>3150</v>
      </c>
      <c r="D3448" s="2" t="str">
        <f t="shared" si="52"/>
        <v>Error?</v>
      </c>
    </row>
    <row r="3449" spans="1:4" x14ac:dyDescent="0.2">
      <c r="A3449" s="5">
        <v>3388</v>
      </c>
      <c r="B3449" s="1890">
        <f>'Tax Sched 23'!F16</f>
        <v>82206</v>
      </c>
      <c r="C3449" s="2" t="s">
        <v>569</v>
      </c>
      <c r="D3449" s="2" t="str">
        <f t="shared" si="52"/>
        <v>Error?</v>
      </c>
    </row>
    <row r="3450" spans="1:4" x14ac:dyDescent="0.2">
      <c r="A3450" s="5">
        <v>3389</v>
      </c>
      <c r="B3450" s="1890">
        <f>'Tax Sched 23'!E16</f>
        <v>85356</v>
      </c>
      <c r="D3450" s="2" t="str">
        <f t="shared" si="52"/>
        <v>Error?</v>
      </c>
    </row>
    <row r="3451" spans="1:4" x14ac:dyDescent="0.2">
      <c r="A3451" s="5">
        <v>3390</v>
      </c>
      <c r="B3451" s="1890">
        <f>'Cap Outlay Deprec 26'!C15</f>
        <v>2843886</v>
      </c>
      <c r="D3451" s="2" t="str">
        <f t="shared" si="52"/>
        <v>Error?</v>
      </c>
    </row>
    <row r="3452" spans="1:4" x14ac:dyDescent="0.2">
      <c r="A3452" s="5">
        <v>3391</v>
      </c>
      <c r="B3452" s="1890">
        <f>'Cap Outlay Deprec 26'!D15</f>
        <v>173026</v>
      </c>
      <c r="D3452" s="2" t="str">
        <f t="shared" si="52"/>
        <v>Error?</v>
      </c>
    </row>
    <row r="3453" spans="1:4" x14ac:dyDescent="0.2">
      <c r="A3453" s="5">
        <v>3392</v>
      </c>
      <c r="B3453" s="1890">
        <f>'Cap Outlay Deprec 26'!E15</f>
        <v>2843886</v>
      </c>
      <c r="D3453" s="2" t="str">
        <f t="shared" si="52"/>
        <v>Error?</v>
      </c>
    </row>
    <row r="3454" spans="1:4" x14ac:dyDescent="0.2">
      <c r="A3454" s="5">
        <v>3393</v>
      </c>
      <c r="B3454" s="1890">
        <f>'Cap Outlay Deprec 26'!F15</f>
        <v>173026</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173026</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358774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358774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358774</v>
      </c>
      <c r="D3567" s="2" t="str">
        <f t="shared" si="54"/>
        <v>Error?</v>
      </c>
    </row>
    <row r="3568" spans="1:4" x14ac:dyDescent="0.2">
      <c r="A3568" s="5">
        <v>3507</v>
      </c>
      <c r="B3568" s="1890">
        <f>'Assets-Liab 5-6'!K41</f>
        <v>358774</v>
      </c>
      <c r="C3568" s="2" t="s">
        <v>569</v>
      </c>
      <c r="D3568" s="2" t="str">
        <f t="shared" si="54"/>
        <v>Error?</v>
      </c>
    </row>
    <row r="3569" spans="1:4" x14ac:dyDescent="0.2">
      <c r="A3569" s="5">
        <v>3508</v>
      </c>
      <c r="B3569" s="1890">
        <f>'Acct Summary 7-8'!K4</f>
        <v>49637</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49637</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49637</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49637</v>
      </c>
      <c r="C3588" s="2" t="s">
        <v>569</v>
      </c>
      <c r="D3588" s="2" t="str">
        <f t="shared" si="55"/>
        <v>Error?</v>
      </c>
    </row>
    <row r="3589" spans="1:4" x14ac:dyDescent="0.2">
      <c r="A3589" s="5">
        <v>3528</v>
      </c>
      <c r="B3589" s="1890">
        <f>'Acct Summary 7-8'!K79</f>
        <v>309137</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358774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49637</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48935</v>
      </c>
      <c r="C3725" s="2" t="s">
        <v>569</v>
      </c>
      <c r="D3725" s="2" t="str">
        <f t="shared" si="57"/>
        <v>Error?</v>
      </c>
    </row>
    <row r="3726" spans="1:4" x14ac:dyDescent="0.2">
      <c r="A3726" s="5">
        <v>3665</v>
      </c>
      <c r="B3726" s="1890">
        <f>'Tax Sched 23'!D13</f>
        <v>47266</v>
      </c>
      <c r="C3726" s="2" t="s">
        <v>569</v>
      </c>
      <c r="D3726" s="2" t="str">
        <f t="shared" si="57"/>
        <v>Error?</v>
      </c>
    </row>
    <row r="3727" spans="1:4" x14ac:dyDescent="0.2">
      <c r="A3727" s="5">
        <v>3666</v>
      </c>
      <c r="B3727" s="1890">
        <f>'Tax Sched 23'!C13</f>
        <v>1669</v>
      </c>
      <c r="D3727" s="2" t="str">
        <f t="shared" si="57"/>
        <v>Error?</v>
      </c>
    </row>
    <row r="3728" spans="1:4" x14ac:dyDescent="0.2">
      <c r="A3728" s="5">
        <v>3667</v>
      </c>
      <c r="B3728" s="1890">
        <f>'Tax Sched 23'!F13</f>
        <v>45386</v>
      </c>
      <c r="C3728" s="2" t="s">
        <v>569</v>
      </c>
      <c r="D3728" s="2" t="str">
        <f t="shared" si="57"/>
        <v>Error?</v>
      </c>
    </row>
    <row r="3729" spans="1:4" x14ac:dyDescent="0.2">
      <c r="A3729" s="5">
        <v>3668</v>
      </c>
      <c r="B3729" s="1890">
        <f>'Tax Sched 23'!E13</f>
        <v>47055</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2054271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6369965</v>
      </c>
      <c r="C4122" s="2" t="s">
        <v>569</v>
      </c>
      <c r="D4122" s="2" t="str">
        <f t="shared" si="63"/>
        <v>Error?</v>
      </c>
    </row>
    <row r="4123" spans="1:4" x14ac:dyDescent="0.2">
      <c r="A4123" s="5">
        <v>4062</v>
      </c>
      <c r="B4123" s="1890">
        <f>'Acct Summary 7-8'!D10</f>
        <v>753494</v>
      </c>
      <c r="C4123" s="2" t="s">
        <v>569</v>
      </c>
      <c r="D4123" s="2" t="str">
        <f t="shared" si="63"/>
        <v>Error?</v>
      </c>
    </row>
    <row r="4124" spans="1:4" x14ac:dyDescent="0.2">
      <c r="A4124" s="5">
        <v>4063</v>
      </c>
      <c r="B4124" s="1890">
        <f>'Acct Summary 7-8'!E10</f>
        <v>663803</v>
      </c>
      <c r="C4124" s="2" t="s">
        <v>569</v>
      </c>
      <c r="D4124" s="2" t="str">
        <f t="shared" si="63"/>
        <v>Error?</v>
      </c>
    </row>
    <row r="4125" spans="1:4" x14ac:dyDescent="0.2">
      <c r="A4125" s="5">
        <v>4064</v>
      </c>
      <c r="B4125" s="1890">
        <f>'Acct Summary 7-8'!F10</f>
        <v>372326</v>
      </c>
      <c r="C4125" s="2" t="s">
        <v>569</v>
      </c>
      <c r="D4125" s="2" t="str">
        <f t="shared" si="63"/>
        <v>Error?</v>
      </c>
    </row>
    <row r="4126" spans="1:4" x14ac:dyDescent="0.2">
      <c r="A4126" s="5">
        <v>4065</v>
      </c>
      <c r="B4126" s="1890">
        <f>'Acct Summary 7-8'!G10</f>
        <v>145908</v>
      </c>
      <c r="C4126" s="2" t="s">
        <v>569</v>
      </c>
      <c r="D4126" s="2" t="str">
        <f t="shared" si="63"/>
        <v>Error?</v>
      </c>
    </row>
    <row r="4127" spans="1:4" x14ac:dyDescent="0.2">
      <c r="A4127" s="5">
        <v>4066</v>
      </c>
      <c r="B4127" s="1890">
        <f>'Acct Summary 7-8'!H10</f>
        <v>245813</v>
      </c>
      <c r="C4127" s="2" t="s">
        <v>569</v>
      </c>
      <c r="D4127" s="2" t="str">
        <f t="shared" si="63"/>
        <v>Error?</v>
      </c>
    </row>
    <row r="4128" spans="1:4" x14ac:dyDescent="0.2">
      <c r="A4128" s="5">
        <v>4067</v>
      </c>
      <c r="B4128" s="1890">
        <f>'Acct Summary 7-8'!I10</f>
        <v>50483</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49637</v>
      </c>
      <c r="C4130" s="2" t="s">
        <v>569</v>
      </c>
      <c r="D4130" s="2" t="str">
        <f t="shared" si="63"/>
        <v>Error?</v>
      </c>
    </row>
    <row r="4131" spans="1:4" x14ac:dyDescent="0.2">
      <c r="A4131" s="5">
        <v>4070</v>
      </c>
      <c r="B4131" s="1890">
        <f>'Acct Summary 7-8'!C18</f>
        <v>2054271</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6023536</v>
      </c>
      <c r="C4136" s="2" t="s">
        <v>569</v>
      </c>
      <c r="D4136" s="2" t="str">
        <f t="shared" si="63"/>
        <v>Error?</v>
      </c>
    </row>
    <row r="4137" spans="1:4" x14ac:dyDescent="0.2">
      <c r="A4137" s="5">
        <v>4076</v>
      </c>
      <c r="B4137" s="1890">
        <f>'Acct Summary 7-8'!D19</f>
        <v>819163</v>
      </c>
      <c r="C4137" s="2" t="s">
        <v>569</v>
      </c>
      <c r="D4137" s="2" t="str">
        <f t="shared" si="63"/>
        <v>Error?</v>
      </c>
    </row>
    <row r="4138" spans="1:4" x14ac:dyDescent="0.2">
      <c r="A4138" s="5">
        <v>4077</v>
      </c>
      <c r="B4138" s="1890">
        <f>'Acct Summary 7-8'!E19</f>
        <v>673066</v>
      </c>
      <c r="C4138" s="2" t="s">
        <v>569</v>
      </c>
      <c r="D4138" s="2" t="str">
        <f t="shared" si="63"/>
        <v>Error?</v>
      </c>
    </row>
    <row r="4139" spans="1:4" x14ac:dyDescent="0.2">
      <c r="A4139" s="5">
        <v>4078</v>
      </c>
      <c r="B4139" s="1890">
        <f>'Acct Summary 7-8'!F19</f>
        <v>354530</v>
      </c>
      <c r="C4139" s="2" t="s">
        <v>569</v>
      </c>
      <c r="D4139" s="2" t="str">
        <f t="shared" si="63"/>
        <v>Error?</v>
      </c>
    </row>
    <row r="4140" spans="1:4" x14ac:dyDescent="0.2">
      <c r="A4140" s="5">
        <v>4079</v>
      </c>
      <c r="B4140" s="1890">
        <f>'Acct Summary 7-8'!G19</f>
        <v>110946</v>
      </c>
      <c r="C4140" s="2" t="s">
        <v>569</v>
      </c>
      <c r="D4140" s="2" t="str">
        <f t="shared" si="63"/>
        <v>Error?</v>
      </c>
    </row>
    <row r="4141" spans="1:4" x14ac:dyDescent="0.2">
      <c r="A4141" s="5">
        <v>4080</v>
      </c>
      <c r="B4141" s="1890">
        <f>'Acct Summary 7-8'!H19</f>
        <v>5471237</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8300000</v>
      </c>
      <c r="C4171" s="2" t="s">
        <v>569</v>
      </c>
      <c r="D4171" s="2" t="str">
        <f t="shared" si="64"/>
        <v>Error?</v>
      </c>
    </row>
    <row r="4172" spans="1:4" x14ac:dyDescent="0.2">
      <c r="A4172" s="5">
        <v>4111</v>
      </c>
      <c r="B4172" s="1890">
        <f>'Short-Term Long-Term Debt 24'!J49</f>
        <v>8242848</v>
      </c>
      <c r="C4172" s="2" t="s">
        <v>569</v>
      </c>
      <c r="D4172" s="2" t="str">
        <f t="shared" si="64"/>
        <v>Error?</v>
      </c>
    </row>
    <row r="4173" spans="1:4" x14ac:dyDescent="0.2">
      <c r="A4173" s="5">
        <v>4112</v>
      </c>
      <c r="B4173" s="1890">
        <f>'Short-Term Long-Term Debt 24'!H49</f>
        <v>295000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-4235</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4235</v>
      </c>
      <c r="D4210" s="2" t="str">
        <f t="shared" si="64"/>
        <v>Error?</v>
      </c>
    </row>
    <row r="4211" spans="1:4" x14ac:dyDescent="0.2">
      <c r="A4211" s="5">
        <v>4150</v>
      </c>
      <c r="B4211" s="1890">
        <f>'Expenditures 15-22'!K206</f>
        <v>4235</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3000</v>
      </c>
      <c r="C4265" s="2" t="s">
        <v>569</v>
      </c>
      <c r="D4265" s="2" t="str">
        <f t="shared" si="65"/>
        <v>Error?</v>
      </c>
      <c r="E4265" s="125"/>
    </row>
    <row r="4266" spans="1:5" x14ac:dyDescent="0.2">
      <c r="A4266" s="12">
        <v>4205</v>
      </c>
      <c r="B4266" s="1890">
        <f>('FP Info 3'!F10)*100000</f>
        <v>750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3950</v>
      </c>
      <c r="C4268" s="2" t="s">
        <v>569</v>
      </c>
      <c r="D4268" s="2" t="str">
        <f t="shared" si="65"/>
        <v>Error?</v>
      </c>
    </row>
    <row r="4269" spans="1:5" x14ac:dyDescent="0.2">
      <c r="A4269" s="12">
        <v>4208</v>
      </c>
      <c r="B4269" s="1890">
        <f>'FP Info 3'!J16</f>
        <v>5059983</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11342</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7500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15135</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104410266</v>
      </c>
      <c r="D4995" s="2" t="str">
        <f t="shared" si="77"/>
        <v>Error?</v>
      </c>
    </row>
    <row r="4996" spans="1:4" x14ac:dyDescent="0.2">
      <c r="A4996" s="12">
        <v>4935</v>
      </c>
      <c r="B4996" s="1890">
        <f>'FP Info 3'!H31</f>
        <v>14408616.708000001</v>
      </c>
      <c r="D4996" s="2" t="str">
        <f t="shared" si="77"/>
        <v>Error?</v>
      </c>
    </row>
    <row r="4997" spans="1:4" x14ac:dyDescent="0.2">
      <c r="A4997" s="12">
        <v>4936</v>
      </c>
      <c r="B4997" s="1890">
        <f>'FP Info 3'!H37</f>
        <v>8300000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48935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2932887</v>
      </c>
      <c r="D5061" s="2" t="str">
        <f t="shared" si="78"/>
        <v>Error?</v>
      </c>
    </row>
    <row r="5062" spans="1:4" x14ac:dyDescent="0.2">
      <c r="A5062" s="10">
        <v>5001</v>
      </c>
      <c r="B5062" s="1890"/>
      <c r="D5062" s="2" t="str">
        <f t="shared" si="78"/>
        <v>OK</v>
      </c>
    </row>
    <row r="5063" spans="1:4" x14ac:dyDescent="0.2">
      <c r="A5063" s="5">
        <v>5002</v>
      </c>
      <c r="B5063" s="1890">
        <f>'Revenues 9-14'!C7</f>
        <v>39151</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3020973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175887</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175887</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26655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26655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1522</v>
      </c>
      <c r="D5093" s="2" t="str">
        <f t="shared" si="78"/>
        <v>Error?</v>
      </c>
    </row>
    <row r="5094" spans="1:4" x14ac:dyDescent="0.2">
      <c r="A5094" s="5">
        <v>5033</v>
      </c>
      <c r="B5094" s="1890">
        <f>'Revenues 9-14'!C73</f>
        <v>1888</v>
      </c>
      <c r="D5094" s="2" t="str">
        <f t="shared" si="78"/>
        <v>Error?</v>
      </c>
    </row>
    <row r="5095" spans="1:4" x14ac:dyDescent="0.2">
      <c r="A5095" s="5">
        <v>5034</v>
      </c>
      <c r="B5095" s="1890">
        <f>'Revenues 9-14'!C74</f>
        <v>2499</v>
      </c>
      <c r="D5095" s="2" t="str">
        <f t="shared" si="78"/>
        <v>Error?</v>
      </c>
    </row>
    <row r="5096" spans="1:4" x14ac:dyDescent="0.2">
      <c r="A5096" s="5">
        <v>5035</v>
      </c>
      <c r="B5096" s="1890">
        <f>'Revenues 9-14'!C75</f>
        <v>43392</v>
      </c>
      <c r="C5096" s="2" t="s">
        <v>569</v>
      </c>
      <c r="D5096" s="2" t="str">
        <f t="shared" si="78"/>
        <v>Error?</v>
      </c>
    </row>
    <row r="5097" spans="1:4" x14ac:dyDescent="0.2">
      <c r="A5097" s="5">
        <v>5036</v>
      </c>
      <c r="B5097" s="1890">
        <f>'Revenues 9-14'!C77</f>
        <v>14414</v>
      </c>
      <c r="D5097" s="2" t="str">
        <f t="shared" si="78"/>
        <v>Error?</v>
      </c>
    </row>
    <row r="5098" spans="1:4" x14ac:dyDescent="0.2">
      <c r="A5098" s="5">
        <v>5037</v>
      </c>
      <c r="B5098" s="1890">
        <f>'Revenues 9-14'!C78</f>
        <v>9007</v>
      </c>
      <c r="D5098" s="2" t="str">
        <f t="shared" si="78"/>
        <v>Error?</v>
      </c>
    </row>
    <row r="5099" spans="1:4" x14ac:dyDescent="0.2">
      <c r="A5099" s="5">
        <v>5038</v>
      </c>
      <c r="B5099" s="1890">
        <f>'Revenues 9-14'!C79</f>
        <v>51973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75394</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9519</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12544</v>
      </c>
      <c r="C5120" s="2" t="s">
        <v>569</v>
      </c>
      <c r="D5120" s="2" t="str">
        <f t="shared" si="79"/>
        <v>Error?</v>
      </c>
    </row>
    <row r="5121" spans="1:4" x14ac:dyDescent="0.2">
      <c r="A5121" s="5">
        <v>5060</v>
      </c>
      <c r="B5121" s="1890">
        <f>'Revenues 9-14'!C109</f>
        <v>3354845</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60289</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60289</v>
      </c>
      <c r="C5125" s="2" t="s">
        <v>569</v>
      </c>
      <c r="D5125" s="2" t="str">
        <f t="shared" si="79"/>
        <v>Error?</v>
      </c>
    </row>
    <row r="5126" spans="1:4" x14ac:dyDescent="0.2">
      <c r="A5126" s="5">
        <v>5065</v>
      </c>
      <c r="B5126" s="1890">
        <f>'Revenues 9-14'!C117</f>
        <v>703309</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703309</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11252</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778</v>
      </c>
      <c r="D5167" s="2" t="str">
        <f t="shared" si="79"/>
        <v>Error?</v>
      </c>
    </row>
    <row r="5168" spans="1:4" x14ac:dyDescent="0.2">
      <c r="A5168" s="5">
        <v>5107</v>
      </c>
      <c r="B5168" s="1890">
        <f>'Revenues 9-14'!C148</f>
        <v>4501</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17281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720590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61824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7009</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68833</v>
      </c>
      <c r="C5246" s="2" t="s">
        <v>569</v>
      </c>
      <c r="D5246" s="2" t="str">
        <f t="shared" si="80"/>
        <v>Error?</v>
      </c>
    </row>
    <row r="5247" spans="1:4" x14ac:dyDescent="0.2">
      <c r="A5247" s="5">
        <v>5186</v>
      </c>
      <c r="B5247" s="1890">
        <f>'Revenues 9-14'!C200</f>
        <v>77160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7500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77160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179970</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179970</v>
      </c>
      <c r="C5326" s="2" t="s">
        <v>569</v>
      </c>
      <c r="D5326" s="2" t="str">
        <f t="shared" si="82"/>
        <v>Error?</v>
      </c>
    </row>
    <row r="5327" spans="1:5" x14ac:dyDescent="0.2">
      <c r="A5327" s="5">
        <v>5266</v>
      </c>
      <c r="B5327" s="1890">
        <f>'Revenues 9-14'!C268</f>
        <v>4315694</v>
      </c>
      <c r="C5327" s="2" t="s">
        <v>569</v>
      </c>
      <c r="D5327" s="2" t="str">
        <f t="shared" si="82"/>
        <v>Error?</v>
      </c>
    </row>
    <row r="5328" spans="1:5" x14ac:dyDescent="0.2">
      <c r="A5328" s="5">
        <v>5267</v>
      </c>
      <c r="B5328" s="1890">
        <f>'Revenues 9-14'!D5</f>
        <v>734041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734041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3645</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3645</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15808</v>
      </c>
      <c r="D5354" s="2" t="str">
        <f t="shared" si="82"/>
        <v>Error?</v>
      </c>
    </row>
    <row r="5355" spans="1:4" x14ac:dyDescent="0.2">
      <c r="A5355" s="5">
        <v>5294</v>
      </c>
      <c r="B5355" s="1890">
        <f>'Revenues 9-14'!D108</f>
        <v>15808</v>
      </c>
      <c r="C5355" s="2" t="s">
        <v>569</v>
      </c>
      <c r="D5355" s="2" t="str">
        <f t="shared" si="82"/>
        <v>Error?</v>
      </c>
    </row>
    <row r="5356" spans="1:4" x14ac:dyDescent="0.2">
      <c r="A5356" s="5">
        <v>5295</v>
      </c>
      <c r="B5356" s="1890">
        <f>'Revenues 9-14'!D109</f>
        <v>753494</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753494</v>
      </c>
      <c r="C5508" s="2" t="s">
        <v>569</v>
      </c>
      <c r="D5508" s="2" t="str">
        <f t="shared" si="85"/>
        <v>Error?</v>
      </c>
    </row>
    <row r="5509" spans="1:4" x14ac:dyDescent="0.2">
      <c r="A5509" s="5">
        <v>5448</v>
      </c>
      <c r="B5509" s="1890">
        <f>'Revenues 9-14'!E5</f>
        <v>663720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663720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83</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83</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663803</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663803</v>
      </c>
      <c r="C5552" s="2" t="s">
        <v>569</v>
      </c>
      <c r="D5552" s="2" t="str">
        <f t="shared" si="85"/>
        <v>Error?</v>
      </c>
    </row>
    <row r="5553" spans="1:4" x14ac:dyDescent="0.2">
      <c r="A5553" s="5">
        <v>5492</v>
      </c>
      <c r="B5553" s="1890">
        <f>'Revenues 9-14'!F5</f>
        <v>195747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195747</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4249</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4249</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155</v>
      </c>
      <c r="D5586" s="2" t="str">
        <f t="shared" si="86"/>
        <v>Error?</v>
      </c>
    </row>
    <row r="5587" spans="1:4" x14ac:dyDescent="0.2">
      <c r="A5587" s="5">
        <v>5526</v>
      </c>
      <c r="B5587" s="1890">
        <f>'Revenues 9-14'!F108</f>
        <v>155</v>
      </c>
      <c r="C5587" s="2" t="s">
        <v>569</v>
      </c>
      <c r="D5587" s="2" t="str">
        <f t="shared" si="86"/>
        <v>Error?</v>
      </c>
    </row>
    <row r="5588" spans="1:4" x14ac:dyDescent="0.2">
      <c r="A5588" s="5">
        <v>5527</v>
      </c>
      <c r="B5588" s="1890">
        <f>'Revenues 9-14'!F109</f>
        <v>200151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85675</v>
      </c>
      <c r="D5615" s="2" t="str">
        <f t="shared" si="86"/>
        <v>Error?</v>
      </c>
    </row>
    <row r="5616" spans="1:4" x14ac:dyDescent="0.2">
      <c r="A5616" s="10">
        <v>5555</v>
      </c>
      <c r="B5616" s="1890"/>
      <c r="D5616" s="2" t="str">
        <f t="shared" si="86"/>
        <v>OK</v>
      </c>
    </row>
    <row r="5617" spans="1:5" x14ac:dyDescent="0.2">
      <c r="A5617" s="5">
        <v>5556</v>
      </c>
      <c r="B5617" s="1890">
        <f>'Revenues 9-14'!F153</f>
        <v>86500</v>
      </c>
      <c r="D5617" s="2" t="str">
        <f t="shared" si="86"/>
        <v>Error?</v>
      </c>
    </row>
    <row r="5618" spans="1:5" x14ac:dyDescent="0.2">
      <c r="A5618" s="5">
        <v>5557</v>
      </c>
      <c r="B5618" s="1890">
        <f>'Revenues 9-14'!F155</f>
        <v>172175</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172175</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172175</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372326</v>
      </c>
      <c r="C5720" s="2" t="s">
        <v>569</v>
      </c>
      <c r="D5720" s="2" t="str">
        <f t="shared" si="88"/>
        <v>Error?</v>
      </c>
    </row>
    <row r="5721" spans="1:4" x14ac:dyDescent="0.2">
      <c r="A5721" s="5">
        <v>5660</v>
      </c>
      <c r="B5721" s="1890">
        <f>'Revenues 9-14'!G5</f>
        <v>47157</v>
      </c>
      <c r="D5721" s="2" t="str">
        <f t="shared" si="88"/>
        <v>Error?</v>
      </c>
    </row>
    <row r="5722" spans="1:4" x14ac:dyDescent="0.2">
      <c r="A5722" s="5">
        <v>5661</v>
      </c>
      <c r="B5722" s="1890">
        <f>'Revenues 9-14'!G7</f>
        <v>0</v>
      </c>
      <c r="D5722" s="2" t="str">
        <f t="shared" si="88"/>
        <v>Error?</v>
      </c>
    </row>
    <row r="5723" spans="1:4" x14ac:dyDescent="0.2">
      <c r="A5723" s="5">
        <v>5662</v>
      </c>
      <c r="B5723" s="1890">
        <f>'Revenues 9-14'!G8</f>
        <v>92709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139866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5623</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5623</v>
      </c>
      <c r="C5730" s="2" t="s">
        <v>569</v>
      </c>
      <c r="D5730" s="2" t="str">
        <f t="shared" si="88"/>
        <v>Error?</v>
      </c>
    </row>
    <row r="5731" spans="1:4" x14ac:dyDescent="0.2">
      <c r="A5731" s="5">
        <v>5670</v>
      </c>
      <c r="B5731" s="1890">
        <f>'Revenues 9-14'!G65</f>
        <v>419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419</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145908</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10770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10770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235043</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245813</v>
      </c>
      <c r="C5915" s="2" t="s">
        <v>569</v>
      </c>
      <c r="D5915" s="2" t="str">
        <f t="shared" si="91"/>
        <v>Error?</v>
      </c>
    </row>
    <row r="5916" spans="1:4" x14ac:dyDescent="0.2">
      <c r="A5916" s="5">
        <v>5855</v>
      </c>
      <c r="B5916" s="1890">
        <f>'Revenues 9-14'!I5</f>
        <v>48935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48935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1548</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1548</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50483</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48935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48935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702</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702</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49637</v>
      </c>
      <c r="C6023" s="2" t="s">
        <v>569</v>
      </c>
      <c r="D6023" s="2" t="str">
        <f t="shared" si="93"/>
        <v>Error?</v>
      </c>
    </row>
    <row r="6024" spans="1:5" x14ac:dyDescent="0.2">
      <c r="A6024" s="5">
        <v>5963</v>
      </c>
      <c r="B6024" s="1890">
        <f>'Revenues 9-14'!G109</f>
        <v>145908</v>
      </c>
      <c r="C6024" s="2" t="s">
        <v>569</v>
      </c>
      <c r="D6024" s="2" t="str">
        <f t="shared" si="93"/>
        <v>Error?</v>
      </c>
    </row>
    <row r="6025" spans="1:5" x14ac:dyDescent="0.2">
      <c r="A6025" s="5">
        <v>5964</v>
      </c>
      <c r="B6025" s="1890">
        <f>'Revenues 9-14'!H109</f>
        <v>245813</v>
      </c>
      <c r="C6025" s="2" t="s">
        <v>569</v>
      </c>
      <c r="D6025" s="2" t="str">
        <f t="shared" si="93"/>
        <v>Error?</v>
      </c>
    </row>
    <row r="6026" spans="1:5" x14ac:dyDescent="0.2">
      <c r="A6026" s="5">
        <v>5965</v>
      </c>
      <c r="B6026" s="1890">
        <f>'Revenues 9-14'!I109</f>
        <v>50483</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49637</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37483</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16356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466</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450000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423466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450000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423466</v>
      </c>
      <c r="D6215" s="2" t="str">
        <f t="shared" si="96"/>
        <v>Error?</v>
      </c>
      <c r="E6215" s="2" t="s">
        <v>189</v>
      </c>
    </row>
    <row r="6216" spans="1:5" x14ac:dyDescent="0.2">
      <c r="A6216">
        <v>6155</v>
      </c>
      <c r="B6216" s="1890">
        <f>'Assets-Liab 5-6'!J41</f>
        <v>423466</v>
      </c>
      <c r="D6216" s="2" t="str">
        <f t="shared" si="96"/>
        <v>Error?</v>
      </c>
      <c r="E6216" s="2" t="s">
        <v>189</v>
      </c>
    </row>
    <row r="6217" spans="1:5" x14ac:dyDescent="0.2">
      <c r="A6217">
        <v>6156</v>
      </c>
      <c r="B6217" s="1890">
        <f>'Assets-Liab 5-6'!J4</f>
        <v>423466</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418290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418290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418290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389513</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389513</v>
      </c>
      <c r="D6229" s="2" t="str">
        <f t="shared" si="96"/>
        <v>Error?</v>
      </c>
      <c r="E6229" s="2" t="s">
        <v>189</v>
      </c>
    </row>
    <row r="6230" spans="1:5" x14ac:dyDescent="0.2">
      <c r="A6230">
        <v>6169</v>
      </c>
      <c r="B6230" s="1890">
        <f>'Acct Summary 7-8'!J20</f>
        <v>28777</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28777</v>
      </c>
      <c r="D6263" s="2" t="str">
        <f t="shared" si="96"/>
        <v>Error?</v>
      </c>
      <c r="E6263" s="2" t="s">
        <v>189</v>
      </c>
    </row>
    <row r="6264" spans="1:5" x14ac:dyDescent="0.2">
      <c r="A6264">
        <v>6203</v>
      </c>
      <c r="B6264" s="1890">
        <f>'Acct Summary 7-8'!J79</f>
        <v>394689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423466</v>
      </c>
      <c r="D6266" s="2" t="str">
        <f t="shared" si="96"/>
        <v>Error?</v>
      </c>
      <c r="E6266" s="2" t="s">
        <v>189</v>
      </c>
    </row>
    <row r="6267" spans="1:5" x14ac:dyDescent="0.2">
      <c r="A6267">
        <v>6206</v>
      </c>
      <c r="B6267" s="1890">
        <f>'Acct Summary 7-8'!C82</f>
        <v>346429</v>
      </c>
      <c r="D6267" s="2" t="str">
        <f t="shared" si="96"/>
        <v>Error?</v>
      </c>
      <c r="E6267" s="2" t="s">
        <v>189</v>
      </c>
    </row>
    <row r="6268" spans="1:5" x14ac:dyDescent="0.2">
      <c r="A6268">
        <v>6207</v>
      </c>
      <c r="B6268" s="1890">
        <f>'Acct Summary 7-8'!D82</f>
        <v>-65669</v>
      </c>
      <c r="D6268" s="2" t="str">
        <f t="shared" si="96"/>
        <v>Error?</v>
      </c>
      <c r="E6268" s="2" t="s">
        <v>189</v>
      </c>
    </row>
    <row r="6269" spans="1:5" x14ac:dyDescent="0.2">
      <c r="A6269">
        <v>6208</v>
      </c>
      <c r="B6269" s="1890">
        <f>'Acct Summary 7-8'!E82</f>
        <v>-9263</v>
      </c>
      <c r="D6269" s="2" t="str">
        <f t="shared" si="96"/>
        <v>Error?</v>
      </c>
      <c r="E6269" s="2" t="s">
        <v>189</v>
      </c>
    </row>
    <row r="6270" spans="1:5" x14ac:dyDescent="0.2">
      <c r="A6270">
        <v>6209</v>
      </c>
      <c r="B6270" s="1890">
        <f>'Acct Summary 7-8'!F82</f>
        <v>17796</v>
      </c>
      <c r="D6270" s="2" t="str">
        <f t="shared" si="96"/>
        <v>Error?</v>
      </c>
      <c r="E6270" s="2" t="s">
        <v>189</v>
      </c>
    </row>
    <row r="6271" spans="1:5" x14ac:dyDescent="0.2">
      <c r="A6271">
        <v>6210</v>
      </c>
      <c r="B6271" s="1890">
        <f>'Acct Summary 7-8'!G82</f>
        <v>34962</v>
      </c>
      <c r="D6271" s="2" t="str">
        <f t="shared" ref="D6271:D6334" si="97">IF(ISBLANK(B6271),"OK",IF(A6271-B6271=0,"OK","Error?"))</f>
        <v>Error?</v>
      </c>
      <c r="E6271" s="2" t="s">
        <v>189</v>
      </c>
    </row>
    <row r="6272" spans="1:5" x14ac:dyDescent="0.2">
      <c r="A6272">
        <v>6211</v>
      </c>
      <c r="B6272" s="1890">
        <f>'Acct Summary 7-8'!H82</f>
        <v>-5225424</v>
      </c>
      <c r="D6272" s="2" t="str">
        <f t="shared" si="97"/>
        <v>Error?</v>
      </c>
      <c r="E6272" s="2" t="s">
        <v>189</v>
      </c>
    </row>
    <row r="6273" spans="1:5" x14ac:dyDescent="0.2">
      <c r="A6273">
        <v>6212</v>
      </c>
      <c r="B6273" s="1890">
        <f>'Acct Summary 7-8'!I82</f>
        <v>50483</v>
      </c>
      <c r="D6273" s="2" t="str">
        <f t="shared" si="97"/>
        <v>Error?</v>
      </c>
      <c r="E6273" s="2" t="s">
        <v>189</v>
      </c>
    </row>
    <row r="6274" spans="1:5" x14ac:dyDescent="0.2">
      <c r="A6274">
        <v>6213</v>
      </c>
      <c r="B6274" s="1890">
        <f>'Acct Summary 7-8'!J82</f>
        <v>28777</v>
      </c>
      <c r="D6274" s="2" t="str">
        <f t="shared" si="97"/>
        <v>Error?</v>
      </c>
      <c r="E6274" s="2" t="s">
        <v>189</v>
      </c>
    </row>
    <row r="6275" spans="1:5" x14ac:dyDescent="0.2">
      <c r="A6275">
        <v>6214</v>
      </c>
      <c r="B6275" s="1890">
        <f>'Acct Summary 7-8'!K82</f>
        <v>49637</v>
      </c>
      <c r="D6275" s="2" t="str">
        <f t="shared" si="97"/>
        <v>Error?</v>
      </c>
      <c r="E6275" s="2" t="s">
        <v>189</v>
      </c>
    </row>
    <row r="6276" spans="1:5" x14ac:dyDescent="0.2">
      <c r="A6276">
        <v>6215</v>
      </c>
      <c r="B6276" s="1890">
        <f>'Acct Summary 7-8'!C83</f>
        <v>0.16526019623482538</v>
      </c>
      <c r="D6276" s="2" t="str">
        <f t="shared" si="97"/>
        <v>Error?</v>
      </c>
      <c r="E6276" s="2" t="s">
        <v>189</v>
      </c>
    </row>
    <row r="6277" spans="1:5" x14ac:dyDescent="0.2">
      <c r="A6277">
        <v>6216</v>
      </c>
      <c r="B6277" s="1890">
        <f>'Acct Summary 7-8'!D83</f>
        <v>-3.9634562202525016E-2</v>
      </c>
      <c r="D6277" s="2" t="str">
        <f t="shared" si="97"/>
        <v>Error?</v>
      </c>
      <c r="E6277" s="2" t="s">
        <v>189</v>
      </c>
    </row>
    <row r="6278" spans="1:5" x14ac:dyDescent="0.2">
      <c r="A6278">
        <v>6217</v>
      </c>
      <c r="B6278" s="1890">
        <f>'Acct Summary 7-8'!E83</f>
        <v>-0.16207656774916013</v>
      </c>
      <c r="D6278" s="2" t="str">
        <f t="shared" si="97"/>
        <v>Error?</v>
      </c>
      <c r="E6278" s="2" t="s">
        <v>189</v>
      </c>
    </row>
    <row r="6279" spans="1:5" x14ac:dyDescent="0.2">
      <c r="A6279">
        <v>6218</v>
      </c>
      <c r="B6279" s="1890">
        <f>'Acct Summary 7-8'!F83</f>
        <v>3.7161322655752428E-2</v>
      </c>
      <c r="D6279" s="2" t="str">
        <f t="shared" si="97"/>
        <v>Error?</v>
      </c>
      <c r="E6279" s="2" t="s">
        <v>189</v>
      </c>
    </row>
    <row r="6280" spans="1:5" x14ac:dyDescent="0.2">
      <c r="A6280">
        <v>6219</v>
      </c>
      <c r="B6280" s="1890">
        <f>'Acct Summary 7-8'!G83</f>
        <v>0.1553618087772623</v>
      </c>
      <c r="D6280" s="2" t="str">
        <f t="shared" si="97"/>
        <v>Error?</v>
      </c>
      <c r="E6280" s="2" t="s">
        <v>189</v>
      </c>
    </row>
    <row r="6281" spans="1:5" x14ac:dyDescent="0.2">
      <c r="A6281">
        <v>6220</v>
      </c>
      <c r="B6281" s="1890">
        <f>'Acct Summary 7-8'!H83</f>
        <v>12.42932273418155</v>
      </c>
      <c r="D6281" s="2" t="str">
        <f t="shared" si="97"/>
        <v>Error?</v>
      </c>
      <c r="E6281" s="2" t="s">
        <v>189</v>
      </c>
    </row>
    <row r="6282" spans="1:5" x14ac:dyDescent="0.2">
      <c r="A6282">
        <v>6221</v>
      </c>
      <c r="B6282" s="1890">
        <f>'Acct Summary 7-8'!I83</f>
        <v>6.097186861391448E-2</v>
      </c>
      <c r="D6282" s="2" t="str">
        <f t="shared" si="97"/>
        <v>Error?</v>
      </c>
      <c r="E6282" s="2" t="s">
        <v>189</v>
      </c>
    </row>
    <row r="6283" spans="1:5" x14ac:dyDescent="0.2">
      <c r="A6283">
        <v>6222</v>
      </c>
      <c r="B6283" s="1890">
        <f>'Acct Summary 7-8'!J83</f>
        <v>6.7955868948156403E-2</v>
      </c>
      <c r="D6283" s="2" t="str">
        <f t="shared" si="97"/>
        <v>Error?</v>
      </c>
      <c r="E6283" s="2" t="s">
        <v>189</v>
      </c>
    </row>
    <row r="6284" spans="1:5" x14ac:dyDescent="0.2">
      <c r="A6284">
        <v>6223</v>
      </c>
      <c r="B6284" s="1890">
        <f>'Acct Summary 7-8'!K83</f>
        <v>0.13835172002430499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417317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417317</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973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973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3025</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418290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11252</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68269</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389513</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418290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121</v>
      </c>
      <c r="D7067" s="2" t="str">
        <f t="shared" si="109"/>
        <v>Error?</v>
      </c>
    </row>
    <row r="7068" spans="1:4" x14ac:dyDescent="0.2">
      <c r="A7068">
        <v>7007</v>
      </c>
      <c r="B7068" s="1890">
        <f>'Expenditures 15-22'!K205</f>
        <v>121</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1202</v>
      </c>
      <c r="D7075" s="2" t="str">
        <f t="shared" si="109"/>
        <v>Error?</v>
      </c>
    </row>
    <row r="7076" spans="1:4" x14ac:dyDescent="0.2">
      <c r="A7076">
        <v>7015</v>
      </c>
      <c r="B7076" s="1890">
        <f>'Expenditures 15-22'!K218</f>
        <v>1202</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4497</v>
      </c>
      <c r="D7093" s="2" t="str">
        <f t="shared" si="109"/>
        <v>Error?</v>
      </c>
    </row>
    <row r="7094" spans="1:4" x14ac:dyDescent="0.2">
      <c r="A7094">
        <v>7033</v>
      </c>
      <c r="B7094" s="1890">
        <f>'Expenditures 15-22'!K254</f>
        <v>4497</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88823</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88823</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203032</v>
      </c>
      <c r="D7172" s="2" t="str">
        <f t="shared" si="111"/>
        <v>Error?</v>
      </c>
    </row>
    <row r="7173" spans="1:4" x14ac:dyDescent="0.2">
      <c r="A7173">
        <v>7112</v>
      </c>
      <c r="B7173" s="1890">
        <f>'Expenditures 15-22'!D325</f>
        <v>34870</v>
      </c>
      <c r="D7173" s="2" t="str">
        <f t="shared" si="111"/>
        <v>Error?</v>
      </c>
    </row>
    <row r="7174" spans="1:4" x14ac:dyDescent="0.2">
      <c r="A7174">
        <v>7113</v>
      </c>
      <c r="B7174" s="1890">
        <f>'Expenditures 15-22'!E325</f>
        <v>62788</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300690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203032</v>
      </c>
      <c r="D7199" s="2" t="str">
        <f t="shared" si="111"/>
        <v>Error?</v>
      </c>
    </row>
    <row r="7200" spans="1:4" x14ac:dyDescent="0.2">
      <c r="A7200">
        <v>7139</v>
      </c>
      <c r="B7200" s="1890">
        <f>'Expenditures 15-22'!D330</f>
        <v>34870</v>
      </c>
      <c r="D7200" s="2" t="str">
        <f t="shared" si="111"/>
        <v>Error?</v>
      </c>
    </row>
    <row r="7201" spans="1:4" x14ac:dyDescent="0.2">
      <c r="A7201">
        <v>7140</v>
      </c>
      <c r="B7201" s="1890">
        <f>'Expenditures 15-22'!E330</f>
        <v>151611</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389513</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203032</v>
      </c>
      <c r="D7216" s="2" t="str">
        <f t="shared" si="111"/>
        <v>Error?</v>
      </c>
    </row>
    <row r="7217" spans="1:4" x14ac:dyDescent="0.2">
      <c r="A7217">
        <v>7156</v>
      </c>
      <c r="B7217" s="1890">
        <f>'Expenditures 15-22'!D342</f>
        <v>34870</v>
      </c>
      <c r="D7217" s="2" t="str">
        <f t="shared" si="111"/>
        <v>Error?</v>
      </c>
    </row>
    <row r="7218" spans="1:4" x14ac:dyDescent="0.2">
      <c r="A7218">
        <v>7157</v>
      </c>
      <c r="B7218" s="1890">
        <f>'Expenditures 15-22'!E342</f>
        <v>151611</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389513</v>
      </c>
      <c r="D7224" s="2" t="str">
        <f t="shared" si="111"/>
        <v>Error?</v>
      </c>
    </row>
    <row r="7225" spans="1:4" x14ac:dyDescent="0.2">
      <c r="A7225">
        <v>7164</v>
      </c>
      <c r="B7225" s="1890">
        <f>'Expenditures 15-22'!K343</f>
        <v>28777</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56209</v>
      </c>
      <c r="D7251" s="2" t="str">
        <f t="shared" si="112"/>
        <v>Error?</v>
      </c>
    </row>
    <row r="7252" spans="1:4" x14ac:dyDescent="0.2">
      <c r="A7252">
        <f t="shared" si="113"/>
        <v>7191</v>
      </c>
      <c r="B7252" s="1890">
        <f>'Expenditures 15-22'!D9</f>
        <v>11208</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852</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306001</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3025</v>
      </c>
      <c r="D7712" s="2" t="str">
        <f t="shared" si="126"/>
        <v>Error?</v>
      </c>
      <c r="E7712" s="2" t="s">
        <v>822</v>
      </c>
    </row>
    <row r="7713" spans="1:6" x14ac:dyDescent="0.2">
      <c r="A7713">
        <v>7652</v>
      </c>
      <c r="B7713" s="1890">
        <f>'Rest Tax Levies-Tort Im 25'!J8</f>
        <v>235043</v>
      </c>
      <c r="D7713" s="2" t="str">
        <f t="shared" si="126"/>
        <v>Error?</v>
      </c>
      <c r="E7713" s="2" t="s">
        <v>822</v>
      </c>
    </row>
    <row r="7714" spans="1:6" x14ac:dyDescent="0.2">
      <c r="A7714">
        <v>7653</v>
      </c>
      <c r="B7714" s="1890">
        <f>'Rest Tax Levies-Tort Im 25'!K9</f>
        <v>4501</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235043</v>
      </c>
      <c r="D7718" s="2" t="str">
        <f t="shared" si="126"/>
        <v>Error?</v>
      </c>
      <c r="E7718" s="2" t="s">
        <v>822</v>
      </c>
    </row>
    <row r="7719" spans="1:6" x14ac:dyDescent="0.2">
      <c r="A7719">
        <v>7658</v>
      </c>
      <c r="B7719" s="1890">
        <f>'Rest Tax Levies-Tort Im 25'!K12</f>
        <v>7526</v>
      </c>
      <c r="D7719" s="2" t="str">
        <f t="shared" si="126"/>
        <v>Error?</v>
      </c>
      <c r="E7719" s="2" t="s">
        <v>822</v>
      </c>
    </row>
    <row r="7720" spans="1:6" x14ac:dyDescent="0.2">
      <c r="A7720">
        <v>7659</v>
      </c>
      <c r="B7720" s="1890">
        <f>'Rest Tax Levies-Tort Im 25'!H14</f>
        <v>39151</v>
      </c>
      <c r="D7720" s="2" t="str">
        <f t="shared" si="126"/>
        <v>Error?</v>
      </c>
      <c r="E7720" s="2" t="s">
        <v>822</v>
      </c>
    </row>
    <row r="7721" spans="1:6" x14ac:dyDescent="0.2">
      <c r="A7721">
        <v>7660</v>
      </c>
      <c r="B7721" s="1890">
        <f>'Rest Tax Levies-Tort Im 25'!K14</f>
        <v>7526</v>
      </c>
      <c r="D7721" s="2" t="str">
        <f t="shared" si="126"/>
        <v>Error?</v>
      </c>
      <c r="E7721" s="2" t="s">
        <v>822</v>
      </c>
    </row>
    <row r="7722" spans="1:6" x14ac:dyDescent="0.2">
      <c r="A7722">
        <v>7661</v>
      </c>
      <c r="B7722" s="1890">
        <f>'Rest Tax Levies-Tort Im 25'!J15</f>
        <v>235043</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235043</v>
      </c>
      <c r="D7730" s="2" t="str">
        <f t="shared" si="126"/>
        <v>Error?</v>
      </c>
      <c r="E7730" s="2" t="s">
        <v>822</v>
      </c>
    </row>
    <row r="7731" spans="1:6" x14ac:dyDescent="0.2">
      <c r="A7731">
        <v>7670</v>
      </c>
      <c r="B7731" s="1890">
        <f>'Revenues 9-14'!H103</f>
        <v>235043</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7526</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10715116</v>
      </c>
      <c r="D7817" s="2" t="str">
        <f t="shared" si="128"/>
        <v>Error?</v>
      </c>
      <c r="E7817" s="4" t="s">
        <v>1969</v>
      </c>
    </row>
    <row r="7818" spans="1:5" x14ac:dyDescent="0.2">
      <c r="A7818">
        <v>7757</v>
      </c>
      <c r="B7818" s="1890">
        <f>'PCTC-OEPP 27-28'!F172</f>
        <v>151820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6316483</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68269</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989427</v>
      </c>
      <c r="D7834" s="2" t="str">
        <f t="shared" si="129"/>
        <v>Error?</v>
      </c>
      <c r="E7834" s="4" t="s">
        <v>2001</v>
      </c>
    </row>
    <row r="7835" spans="1:5" x14ac:dyDescent="0.2">
      <c r="A7835">
        <v>7774</v>
      </c>
      <c r="B7835" s="1890">
        <f>'PCTC-OEPP 27-28'!F78</f>
        <v>5327056</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11431.450643776823</v>
      </c>
      <c r="D7837" s="2" t="str">
        <f t="shared" si="129"/>
        <v>Error?</v>
      </c>
      <c r="E7837" s="4" t="s">
        <v>2001</v>
      </c>
    </row>
    <row r="7838" spans="1:5" x14ac:dyDescent="0.2">
      <c r="A7838">
        <v>7777</v>
      </c>
      <c r="B7838" s="1890">
        <f>'PCTC-OEPP 27-28'!F96</f>
        <v>75394</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11252</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4501</v>
      </c>
      <c r="D7846" s="2" t="str">
        <f t="shared" si="129"/>
        <v>Error?</v>
      </c>
      <c r="E7846" s="4" t="s">
        <v>2001</v>
      </c>
    </row>
    <row r="7847" spans="1:5" x14ac:dyDescent="0.2">
      <c r="A7847">
        <v>7786</v>
      </c>
      <c r="B7847" s="1890">
        <f>'PCTC-OEPP 27-28'!F112</f>
        <v>172175</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68833</v>
      </c>
      <c r="D7858" s="2" t="str">
        <f t="shared" si="129"/>
        <v>Error?</v>
      </c>
      <c r="E7858" s="4" t="s">
        <v>2001</v>
      </c>
    </row>
    <row r="7859" spans="1:5" x14ac:dyDescent="0.2">
      <c r="A7859">
        <v>7798</v>
      </c>
      <c r="B7859" s="1890">
        <f>'PCTC-OEPP 27-28'!F127</f>
        <v>77160</v>
      </c>
      <c r="D7859" s="2" t="str">
        <f t="shared" si="129"/>
        <v>Error?</v>
      </c>
      <c r="E7859" s="4" t="s">
        <v>2001</v>
      </c>
    </row>
    <row r="7860" spans="1:5" x14ac:dyDescent="0.2">
      <c r="A7860">
        <v>7799</v>
      </c>
      <c r="B7860" s="1890">
        <f>'PCTC-OEPP 27-28'!F128</f>
        <v>7500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15135</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11342</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640032</v>
      </c>
      <c r="D7877" s="2" t="str">
        <f t="shared" si="129"/>
        <v>Error?</v>
      </c>
      <c r="E7877" s="4" t="s">
        <v>2001</v>
      </c>
    </row>
    <row r="7878" spans="1:5" x14ac:dyDescent="0.2">
      <c r="A7878">
        <v>7817</v>
      </c>
      <c r="B7878" s="1890">
        <f>'PCTC-OEPP 27-28'!F176</f>
        <v>4687024</v>
      </c>
      <c r="D7878" s="2" t="str">
        <f t="shared" si="129"/>
        <v>Error?</v>
      </c>
      <c r="E7878" s="4" t="s">
        <v>2001</v>
      </c>
    </row>
    <row r="7879" spans="1:5" x14ac:dyDescent="0.2">
      <c r="A7879">
        <v>7818</v>
      </c>
      <c r="B7879" s="1890">
        <f>'PCTC-OEPP 27-28'!F178</f>
        <v>4993025</v>
      </c>
      <c r="D7879" s="2" t="str">
        <f t="shared" si="129"/>
        <v>Error?</v>
      </c>
      <c r="E7879" s="4" t="s">
        <v>2001</v>
      </c>
    </row>
    <row r="7880" spans="1:5" x14ac:dyDescent="0.2">
      <c r="A7880">
        <v>7819</v>
      </c>
      <c r="B7880" s="1890">
        <f>'PCTC-OEPP 27-28'!F180</f>
        <v>10714.64592274678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2" t="s">
        <v>1183</v>
      </c>
      <c r="B2" s="2442"/>
      <c r="C2" s="2442"/>
      <c r="D2" s="2442"/>
      <c r="E2" s="2442"/>
      <c r="F2" s="2442"/>
      <c r="G2" s="2442"/>
      <c r="H2" s="2442"/>
      <c r="I2" s="2442"/>
      <c r="J2" s="2442"/>
      <c r="K2" s="2442"/>
      <c r="L2" s="2442"/>
    </row>
    <row r="3" spans="1:29" ht="13.5" customHeight="1" x14ac:dyDescent="0.2">
      <c r="A3" s="2474" t="s">
        <v>1182</v>
      </c>
      <c r="B3" s="2474"/>
      <c r="C3" s="2474"/>
      <c r="D3" s="2474"/>
      <c r="E3" s="2474"/>
      <c r="F3" s="2474"/>
      <c r="G3" s="2474"/>
      <c r="H3" s="2474"/>
      <c r="I3" s="2474"/>
      <c r="J3" s="2474"/>
      <c r="K3" s="2474"/>
      <c r="L3" s="2474"/>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65" t="str">
        <f>COVER!A17</f>
        <v>Ashton-Franklin Center CUSD 275</v>
      </c>
      <c r="B7" s="2466"/>
      <c r="C7" s="2466"/>
      <c r="D7" s="2467"/>
      <c r="E7" s="2468">
        <f>COVER!A13</f>
        <v>47052275026</v>
      </c>
      <c r="F7" s="2469"/>
      <c r="G7" s="2475" t="str">
        <f>COVER!T23</f>
        <v>066-004023</v>
      </c>
      <c r="H7" s="2476"/>
      <c r="I7" s="2476"/>
      <c r="J7" s="2476"/>
      <c r="K7" s="2476"/>
      <c r="L7" s="247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8"/>
      <c r="B9" s="2479"/>
      <c r="C9" s="2479"/>
      <c r="D9" s="2479"/>
      <c r="E9" s="2479"/>
      <c r="F9" s="2480"/>
      <c r="G9" s="2448" t="str">
        <f>COVER!T13</f>
        <v>Wipfli LLP</v>
      </c>
      <c r="H9" s="2481"/>
      <c r="I9" s="2481"/>
      <c r="J9" s="2481"/>
      <c r="K9" s="2481"/>
      <c r="L9" s="2482"/>
    </row>
    <row r="10" spans="1:29" ht="13.5" customHeight="1" x14ac:dyDescent="0.2">
      <c r="A10" s="2454" t="str">
        <f>COVER!A38</f>
        <v>Michael Lindy</v>
      </c>
      <c r="B10" s="2455"/>
      <c r="C10" s="2455"/>
      <c r="D10" s="2455"/>
      <c r="E10" s="2455"/>
      <c r="F10" s="2456"/>
      <c r="G10" s="2448" t="str">
        <f>COVER!T17</f>
        <v>403 East 3rd Street</v>
      </c>
      <c r="H10" s="2449"/>
      <c r="I10" s="2449"/>
      <c r="J10" s="2449"/>
      <c r="K10" s="2449"/>
      <c r="L10" s="2450"/>
    </row>
    <row r="11" spans="1:29" ht="13.5" customHeight="1" x14ac:dyDescent="0.2">
      <c r="A11" s="1008" t="s">
        <v>1505</v>
      </c>
      <c r="B11" s="1009"/>
      <c r="C11" s="1010"/>
      <c r="D11" s="1015"/>
      <c r="E11" s="1010"/>
      <c r="F11" s="1014"/>
      <c r="G11" s="2448" t="str">
        <f>COVER!T19</f>
        <v>Sterling</v>
      </c>
      <c r="H11" s="2449"/>
      <c r="I11" s="2449"/>
      <c r="J11" s="2449"/>
      <c r="K11" s="2449"/>
      <c r="L11" s="2450"/>
    </row>
    <row r="12" spans="1:29" ht="13.5" customHeight="1" x14ac:dyDescent="0.2">
      <c r="A12" s="2457" t="s">
        <v>1504</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1506</v>
      </c>
      <c r="H13" s="2444"/>
      <c r="I13" s="2460" t="str">
        <f>COVER!T25</f>
        <v>mschueler@wipfli.com</v>
      </c>
      <c r="J13" s="2461"/>
      <c r="K13" s="2461"/>
      <c r="L13" s="2462"/>
    </row>
    <row r="14" spans="1:29" ht="13.5" customHeight="1" x14ac:dyDescent="0.2">
      <c r="A14" s="2448" t="str">
        <f>COVER!A19</f>
        <v>611 Western Avenue, PO Box 329</v>
      </c>
      <c r="B14" s="2449"/>
      <c r="C14" s="2449"/>
      <c r="D14" s="2449"/>
      <c r="E14" s="2449"/>
      <c r="F14" s="2450"/>
      <c r="G14" s="1019" t="s">
        <v>1177</v>
      </c>
      <c r="H14" s="1017"/>
      <c r="I14" s="1017"/>
      <c r="J14" s="1017"/>
      <c r="K14" s="1017"/>
      <c r="L14" s="1018"/>
    </row>
    <row r="15" spans="1:29" ht="13.5" customHeight="1" x14ac:dyDescent="0.2">
      <c r="A15" s="2448" t="str">
        <f>COVER!A21</f>
        <v>Ashton</v>
      </c>
      <c r="B15" s="2449"/>
      <c r="C15" s="2449"/>
      <c r="D15" s="2449"/>
      <c r="E15" s="2449"/>
      <c r="F15" s="2450"/>
      <c r="G15" s="2445" t="str">
        <f>COVER!T15</f>
        <v>Matthew Schueler</v>
      </c>
      <c r="H15" s="2446"/>
      <c r="I15" s="2446"/>
      <c r="J15" s="2446"/>
      <c r="K15" s="2446"/>
      <c r="L15" s="2447"/>
    </row>
    <row r="16" spans="1:29" ht="12.2" customHeight="1" x14ac:dyDescent="0.2">
      <c r="A16" s="2471">
        <f>COVER!A25</f>
        <v>61006</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019" t="s">
        <v>1176</v>
      </c>
      <c r="H17" s="1017"/>
      <c r="I17" s="1017"/>
      <c r="J17" s="1017"/>
      <c r="K17" s="1021" t="s">
        <v>1175</v>
      </c>
      <c r="L17" s="1014"/>
      <c r="M17" s="1007"/>
    </row>
    <row r="18" spans="1:13" ht="12.2" customHeight="1" x14ac:dyDescent="0.2">
      <c r="A18" s="2454"/>
      <c r="B18" s="2455"/>
      <c r="C18" s="2455"/>
      <c r="D18" s="2455"/>
      <c r="E18" s="2455"/>
      <c r="F18" s="2456"/>
      <c r="G18" s="2465" t="str">
        <f>COVER!T21</f>
        <v>815-626-1277</v>
      </c>
      <c r="H18" s="2466"/>
      <c r="I18" s="2466"/>
      <c r="J18" s="2466"/>
      <c r="K18" s="2465" t="str">
        <f>COVER!X21</f>
        <v>815-626-9118</v>
      </c>
      <c r="L18" s="247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35" customHeight="1" x14ac:dyDescent="0.2">
      <c r="A24" s="1024"/>
      <c r="C24" s="1026" t="s">
        <v>1173</v>
      </c>
    </row>
    <row r="25" spans="1:13" ht="9.1999999999999993" customHeight="1" x14ac:dyDescent="0.2">
      <c r="B25" s="1027" t="s">
        <v>1161</v>
      </c>
      <c r="C25" s="1028"/>
    </row>
    <row r="26" spans="1:13" s="1022" customFormat="1" ht="12.2" customHeight="1" x14ac:dyDescent="0.2">
      <c r="B26" s="1025"/>
      <c r="C26" s="1026" t="s">
        <v>1680</v>
      </c>
    </row>
    <row r="27" spans="1:13" s="1022" customFormat="1" ht="9.1999999999999993" customHeight="1" x14ac:dyDescent="0.2">
      <c r="B27" s="1027"/>
      <c r="C27" s="1026"/>
    </row>
    <row r="28" spans="1:13" s="1022" customFormat="1" ht="12.2" customHeight="1" x14ac:dyDescent="0.2">
      <c r="A28" s="1029"/>
      <c r="B28" s="1025"/>
      <c r="C28" s="1026" t="s">
        <v>1681</v>
      </c>
    </row>
    <row r="29" spans="1:13" s="1022" customFormat="1" ht="9.1999999999999993" customHeight="1" x14ac:dyDescent="0.2">
      <c r="A29" s="1029"/>
      <c r="B29" s="1027"/>
      <c r="C29" s="1026"/>
    </row>
    <row r="30" spans="1:13" s="1022" customFormat="1" ht="12.2" customHeight="1" x14ac:dyDescent="0.2">
      <c r="B30" s="1025"/>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c r="C38" s="1026" t="s">
        <v>1552</v>
      </c>
    </row>
    <row r="39" spans="1:8" ht="9.1999999999999993" customHeight="1" x14ac:dyDescent="0.2">
      <c r="B39" s="1027"/>
      <c r="C39" s="1030"/>
    </row>
    <row r="40" spans="1:8" s="1022" customFormat="1" ht="13.5" customHeight="1" x14ac:dyDescent="0.2">
      <c r="B40" s="1025"/>
      <c r="C40" s="1026" t="s">
        <v>1553</v>
      </c>
    </row>
    <row r="41" spans="1:8" ht="9.1999999999999993"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Ashton-Franklin Center CUSD 275</v>
      </c>
      <c r="B1" s="2488"/>
      <c r="C1" s="2488"/>
      <c r="D1" s="2488"/>
    </row>
    <row r="2" spans="1:11" s="1036" customFormat="1" ht="12.75" x14ac:dyDescent="0.2">
      <c r="A2" s="2489">
        <f>'Single Audit Cover'!E7</f>
        <v>47052275026</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Ashton-Franklin Center CUSD 275</v>
      </c>
      <c r="B1" s="2492"/>
      <c r="C1" s="2492"/>
      <c r="D1" s="2492"/>
      <c r="E1" s="2492"/>
    </row>
    <row r="2" spans="1:5" x14ac:dyDescent="0.2">
      <c r="A2" s="2493">
        <f>'Single Audit Cover'!E7</f>
        <v>47052275026</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179970</v>
      </c>
    </row>
    <row r="11" spans="1:5" ht="18" customHeight="1" x14ac:dyDescent="0.2">
      <c r="A11" s="1082" t="s">
        <v>1231</v>
      </c>
      <c r="B11" s="1083"/>
      <c r="C11" s="1083"/>
    </row>
    <row r="12" spans="1:5" x14ac:dyDescent="0.2">
      <c r="A12" s="1082" t="s">
        <v>1230</v>
      </c>
      <c r="B12" s="1083" t="s">
        <v>1229</v>
      </c>
      <c r="C12" s="1083"/>
      <c r="D12" s="1085">
        <f>SUM('Revenues 9-14'!C112:D112,'Revenues 9-14'!F112:G112)</f>
        <v>60289</v>
      </c>
    </row>
    <row r="13" spans="1:5" x14ac:dyDescent="0.2">
      <c r="A13" s="1082" t="s">
        <v>1228</v>
      </c>
      <c r="B13" s="1083"/>
      <c r="C13" s="1083"/>
    </row>
    <row r="14" spans="1:5" x14ac:dyDescent="0.2">
      <c r="A14" s="1082" t="s">
        <v>2007</v>
      </c>
      <c r="B14" s="1083"/>
      <c r="C14" s="1083"/>
      <c r="D14" s="1085">
        <f>'ICR Computation 30'!E11</f>
        <v>16356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-11342</v>
      </c>
    </row>
    <row r="19" spans="1:4" ht="13.5" thickBot="1" x14ac:dyDescent="0.25">
      <c r="A19" s="1086" t="s">
        <v>1226</v>
      </c>
      <c r="D19" s="1087">
        <f>SUM(D10:D17)</f>
        <v>245273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245273</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245273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4" t="str">
        <f>'Single Audit Cover'!A7</f>
        <v>Ashton-Franklin Center CUSD 275</v>
      </c>
      <c r="C1" s="2496"/>
      <c r="D1" s="2496"/>
      <c r="E1" s="2496"/>
      <c r="F1" s="2496"/>
      <c r="G1" s="2496"/>
      <c r="H1" s="2496"/>
      <c r="I1" s="2496"/>
      <c r="J1" s="2496"/>
      <c r="K1" s="2496"/>
      <c r="L1" s="2496"/>
      <c r="M1" s="2496"/>
    </row>
    <row r="2" spans="2:14" ht="15" x14ac:dyDescent="0.2">
      <c r="B2" s="2497">
        <f>'Single Audit Cover'!E7</f>
        <v>47052275026</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4"/>
      <c r="J5" s="1984"/>
    </row>
    <row r="6" spans="2:14" x14ac:dyDescent="0.2">
      <c r="B6" s="1124"/>
      <c r="C6" s="1125"/>
      <c r="D6" s="1126" t="s">
        <v>1256</v>
      </c>
      <c r="E6" s="1127" t="s">
        <v>524</v>
      </c>
      <c r="F6" s="1128"/>
      <c r="G6" s="1129" t="s">
        <v>1714</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2" colorId="8" zoomScaleNormal="100" workbookViewId="0">
      <selection activeCell="D122" sqref="D12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28" t="s">
        <v>2042</v>
      </c>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1999999999999993" customHeight="1" x14ac:dyDescent="0.2">
      <c r="A67" s="249"/>
      <c r="B67" s="2134"/>
      <c r="C67" s="2135"/>
      <c r="D67" s="2135"/>
      <c r="E67" s="2135"/>
      <c r="F67" s="2135"/>
      <c r="G67" s="2135"/>
      <c r="H67" s="2135"/>
      <c r="I67" s="2135"/>
      <c r="J67" s="2136"/>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7"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9" t="str">
        <f>'Single Audit Cover'!A7</f>
        <v>Ashton-Franklin Center CUSD 275</v>
      </c>
      <c r="B1" s="2509"/>
      <c r="C1" s="2509"/>
      <c r="D1" s="2509"/>
      <c r="E1" s="2509"/>
      <c r="F1" s="2509"/>
    </row>
    <row r="2" spans="1:7" ht="13.5" customHeight="1" x14ac:dyDescent="0.2">
      <c r="A2" s="2497">
        <f>'Single Audit Cover'!E7</f>
        <v>47052275026</v>
      </c>
      <c r="B2" s="2497"/>
      <c r="C2" s="2497"/>
      <c r="D2" s="2497"/>
      <c r="E2" s="2497"/>
      <c r="F2" s="2497"/>
      <c r="G2" s="1096"/>
    </row>
    <row r="3" spans="1:7" ht="15.75" customHeight="1" x14ac:dyDescent="0.2">
      <c r="A3" s="2510" t="s">
        <v>1262</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97" t="s">
        <v>1708</v>
      </c>
      <c r="C6" s="295"/>
      <c r="D6" s="295"/>
    </row>
    <row r="7" spans="1:7" ht="60.95" customHeight="1" x14ac:dyDescent="0.2">
      <c r="A7" s="2508" t="s">
        <v>1709</v>
      </c>
      <c r="B7" s="2508"/>
      <c r="C7" s="2508"/>
      <c r="D7" s="2508"/>
      <c r="E7" s="2508"/>
      <c r="F7" s="250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8" t="s">
        <v>1711</v>
      </c>
      <c r="B13" s="2508"/>
      <c r="C13" s="2508"/>
      <c r="D13" s="2508"/>
      <c r="E13" s="2508"/>
      <c r="F13" s="2508"/>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1"/>
      <c r="E17" s="2501"/>
      <c r="F17" s="2501"/>
    </row>
    <row r="18" spans="1:6" ht="20.85" customHeight="1" x14ac:dyDescent="0.2">
      <c r="A18" s="1104"/>
      <c r="B18" s="1105"/>
      <c r="C18" s="1106"/>
      <c r="D18" s="2501"/>
      <c r="E18" s="2501"/>
      <c r="F18" s="2501"/>
    </row>
    <row r="19" spans="1:6" ht="20.85" customHeight="1" x14ac:dyDescent="0.2">
      <c r="A19" s="1104"/>
      <c r="B19" s="1105"/>
      <c r="C19" s="1106"/>
      <c r="D19" s="2501"/>
      <c r="E19" s="2501"/>
      <c r="F19" s="2501"/>
    </row>
    <row r="20" spans="1:6" ht="20.85" customHeight="1" x14ac:dyDescent="0.2">
      <c r="A20" s="1104"/>
      <c r="B20" s="1105"/>
      <c r="C20" s="1106"/>
      <c r="D20" s="2501"/>
      <c r="E20" s="2501"/>
      <c r="F20" s="2501"/>
    </row>
    <row r="21" spans="1:6" ht="20.85" customHeight="1" x14ac:dyDescent="0.2">
      <c r="A21" s="1104"/>
      <c r="B21" s="1105"/>
      <c r="C21" s="1106"/>
      <c r="D21" s="2501"/>
      <c r="E21" s="2501"/>
      <c r="F21" s="2501"/>
    </row>
    <row r="22" spans="1:6" ht="20.85" customHeight="1" x14ac:dyDescent="0.2">
      <c r="A22" s="1104"/>
      <c r="B22" s="1105"/>
      <c r="C22" s="1106"/>
      <c r="D22" s="2501"/>
      <c r="E22" s="2501"/>
      <c r="F22" s="2501"/>
    </row>
    <row r="23" spans="1:6" ht="20.85" customHeight="1" x14ac:dyDescent="0.2">
      <c r="A23" s="1104"/>
      <c r="B23" s="1105"/>
      <c r="C23" s="1106"/>
      <c r="D23" s="2501"/>
      <c r="E23" s="2501"/>
      <c r="F23" s="2501"/>
    </row>
    <row r="24" spans="1:6" ht="20.85" customHeight="1" x14ac:dyDescent="0.2">
      <c r="A24" s="1104"/>
      <c r="B24" s="1105"/>
      <c r="C24" s="1106"/>
      <c r="D24" s="2501"/>
      <c r="E24" s="2501"/>
      <c r="F24" s="2501"/>
    </row>
    <row r="25" spans="1:6" ht="20.85" customHeight="1" x14ac:dyDescent="0.2">
      <c r="A25" s="1104"/>
      <c r="B25" s="1105"/>
      <c r="C25" s="1106"/>
      <c r="D25" s="2501"/>
      <c r="E25" s="2501"/>
      <c r="F25" s="2501"/>
    </row>
    <row r="26" spans="1:6" ht="20.85" customHeight="1" x14ac:dyDescent="0.2">
      <c r="A26" s="1104"/>
      <c r="B26" s="1105"/>
      <c r="C26" s="1106"/>
      <c r="D26" s="2501"/>
      <c r="E26" s="2501"/>
      <c r="F26" s="2501"/>
    </row>
    <row r="27" spans="1:6" ht="20.85" customHeight="1" x14ac:dyDescent="0.2">
      <c r="A27" s="1104"/>
      <c r="B27" s="1105"/>
      <c r="C27" s="1106"/>
      <c r="D27" s="2501"/>
      <c r="E27" s="2501"/>
      <c r="F27" s="2501"/>
    </row>
    <row r="28" spans="1:6" ht="20.85" customHeight="1" x14ac:dyDescent="0.2">
      <c r="A28" s="1104"/>
      <c r="B28" s="1105"/>
      <c r="C28" s="1106"/>
      <c r="D28" s="2501"/>
      <c r="E28" s="2501"/>
      <c r="F28" s="2501"/>
    </row>
    <row r="29" spans="1:6" ht="20.85" customHeight="1" x14ac:dyDescent="0.2">
      <c r="A29" s="1104"/>
      <c r="B29" s="1105"/>
      <c r="C29" s="1106"/>
      <c r="D29" s="2501"/>
      <c r="E29" s="2501"/>
      <c r="F29" s="250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2" t="s">
        <v>1712</v>
      </c>
      <c r="B32" s="2502"/>
      <c r="C32" s="2502"/>
      <c r="D32" s="2502"/>
      <c r="E32" s="2502"/>
      <c r="F32" s="250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3">
        <f>+C33+C34</f>
        <v>0</v>
      </c>
      <c r="F34" s="250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5" t="s">
        <v>1576</v>
      </c>
      <c r="C49" s="2505"/>
      <c r="D49" s="2505"/>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23" t="str">
        <f>'Single Audit Cover'!A7</f>
        <v>Ashton-Franklin Center CUSD 275</v>
      </c>
      <c r="C1" s="2524"/>
      <c r="D1" s="2524"/>
      <c r="E1" s="2524"/>
      <c r="F1" s="2524"/>
      <c r="G1" s="2524"/>
      <c r="H1" s="2524"/>
      <c r="I1" s="2524"/>
      <c r="J1" s="1223"/>
    </row>
    <row r="2" spans="2:10" s="295" customFormat="1" ht="12.95" customHeight="1" x14ac:dyDescent="0.2">
      <c r="B2" s="2525">
        <f>'Single Audit Cover'!E7</f>
        <v>47052275026</v>
      </c>
      <c r="C2" s="2526"/>
      <c r="D2" s="2526"/>
      <c r="E2" s="2526"/>
      <c r="F2" s="2526"/>
      <c r="G2" s="2526"/>
      <c r="H2" s="2526"/>
      <c r="I2" s="2526"/>
      <c r="J2" s="1223"/>
    </row>
    <row r="3" spans="2:10" s="295" customFormat="1" ht="12.95" customHeight="1" x14ac:dyDescent="0.2">
      <c r="B3" s="2527" t="s">
        <v>1276</v>
      </c>
      <c r="C3" s="2528"/>
      <c r="D3" s="2528"/>
      <c r="E3" s="2528"/>
      <c r="F3" s="2528"/>
      <c r="G3" s="2528"/>
      <c r="H3" s="2528"/>
      <c r="I3" s="2528"/>
      <c r="J3" s="1224"/>
    </row>
    <row r="4" spans="2:10" s="295" customFormat="1" ht="12.95" customHeight="1" x14ac:dyDescent="0.2">
      <c r="B4" s="2527" t="str">
        <f>'Single Audit Cover'!A4</f>
        <v>Year Ending June 30, 2020</v>
      </c>
      <c r="C4" s="2528"/>
      <c r="D4" s="2528"/>
      <c r="E4" s="2528"/>
      <c r="F4" s="2528"/>
      <c r="G4" s="2528"/>
      <c r="H4" s="2528"/>
      <c r="I4" s="252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7" t="s">
        <v>1275</v>
      </c>
      <c r="C7" s="2528"/>
      <c r="D7" s="2528"/>
      <c r="E7" s="2528"/>
      <c r="F7" s="2528"/>
      <c r="G7" s="2528"/>
      <c r="H7" s="2528"/>
      <c r="I7" s="2528"/>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29"/>
      <c r="D11" s="2529"/>
      <c r="E11" s="1233"/>
      <c r="F11" s="1233"/>
      <c r="G11" s="1233"/>
    </row>
    <row r="12" spans="2:10" s="295" customFormat="1" ht="11.4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30"/>
      <c r="E29" s="2530"/>
      <c r="F29" s="2530"/>
      <c r="G29" s="2530"/>
      <c r="H29" s="2530"/>
      <c r="I29" s="253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1" t="s">
        <v>1731</v>
      </c>
      <c r="D37" s="2532"/>
      <c r="E37" s="2532"/>
      <c r="F37" s="2533"/>
      <c r="G37" s="2531" t="s">
        <v>1578</v>
      </c>
      <c r="H37" s="2532"/>
      <c r="I37" s="2533"/>
    </row>
    <row r="38" spans="2:9" ht="16.7" customHeight="1" x14ac:dyDescent="0.2">
      <c r="B38" s="1245"/>
      <c r="C38" s="2519"/>
      <c r="D38" s="2520"/>
      <c r="E38" s="2520"/>
      <c r="F38" s="2521"/>
      <c r="G38" s="2534"/>
      <c r="H38" s="2535"/>
      <c r="I38" s="2536"/>
    </row>
    <row r="39" spans="2:9" ht="16.7" customHeight="1" x14ac:dyDescent="0.2">
      <c r="B39" s="1245"/>
      <c r="C39" s="2519"/>
      <c r="D39" s="2520"/>
      <c r="E39" s="2520"/>
      <c r="F39" s="2521"/>
      <c r="G39" s="2522"/>
      <c r="H39" s="2522"/>
      <c r="I39" s="2522"/>
    </row>
    <row r="40" spans="2:9" ht="16.7" customHeight="1" x14ac:dyDescent="0.2">
      <c r="B40" s="1245"/>
      <c r="C40" s="2519"/>
      <c r="D40" s="2520"/>
      <c r="E40" s="2520"/>
      <c r="F40" s="2521"/>
      <c r="G40" s="2522"/>
      <c r="H40" s="2522"/>
      <c r="I40" s="2522"/>
    </row>
    <row r="41" spans="2:9" ht="16.7" customHeight="1" x14ac:dyDescent="0.2">
      <c r="B41" s="1245"/>
      <c r="C41" s="2519"/>
      <c r="D41" s="2520"/>
      <c r="E41" s="2520"/>
      <c r="F41" s="2521"/>
      <c r="G41" s="2522"/>
      <c r="H41" s="2522"/>
      <c r="I41" s="2522"/>
    </row>
    <row r="42" spans="2:9" ht="16.7" customHeight="1" x14ac:dyDescent="0.2">
      <c r="B42" s="1245"/>
      <c r="C42" s="2519"/>
      <c r="D42" s="2520"/>
      <c r="E42" s="2520"/>
      <c r="F42" s="2521"/>
      <c r="G42" s="2522"/>
      <c r="H42" s="2522"/>
      <c r="I42" s="2522"/>
    </row>
    <row r="43" spans="2:9" ht="16.7" customHeight="1" x14ac:dyDescent="0.2">
      <c r="B43" s="1245"/>
      <c r="C43" s="2512" t="s">
        <v>1579</v>
      </c>
      <c r="D43" s="2513"/>
      <c r="E43" s="2513"/>
      <c r="F43" s="2514"/>
      <c r="G43" s="2515">
        <f>SUM(G38:I42)</f>
        <v>0</v>
      </c>
      <c r="H43" s="2515"/>
      <c r="I43" s="2515"/>
    </row>
    <row r="44" spans="2:9" ht="12.95" customHeight="1" x14ac:dyDescent="0.2"/>
    <row r="45" spans="2:9" ht="12.95" customHeight="1" x14ac:dyDescent="0.2">
      <c r="B45" s="1986" t="str">
        <f>"Total Federal Expenditures for 7/1/"&amp;MID('AFR20'!E2,3,2)-1&amp;"-6/30/"&amp;MID('AFR20'!E2,3,2)</f>
        <v>Total Federal Expenditures for 7/1/19-6/30/20</v>
      </c>
      <c r="C45" s="1987"/>
      <c r="D45" s="2516">
        <v>0</v>
      </c>
      <c r="E45" s="2517"/>
    </row>
    <row r="46" spans="2:9" ht="5.25" customHeight="1" x14ac:dyDescent="0.2">
      <c r="B46" s="1246"/>
      <c r="D46" s="1247"/>
      <c r="E46" s="1248"/>
    </row>
    <row r="47" spans="2:9" ht="12.9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8"/>
      <c r="F49" s="2518"/>
      <c r="G49" s="2518"/>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9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Ashton-Franklin Center CUSD 275</v>
      </c>
      <c r="C1" s="2523"/>
      <c r="D1" s="2523"/>
      <c r="E1" s="2523"/>
      <c r="F1" s="2523"/>
      <c r="G1" s="2523"/>
      <c r="H1" s="2523"/>
      <c r="I1" s="2523"/>
      <c r="J1" s="2523"/>
      <c r="K1" s="2523"/>
      <c r="L1" s="1189"/>
      <c r="M1" s="1189"/>
    </row>
    <row r="2" spans="1:13" ht="12" customHeight="1" x14ac:dyDescent="0.2">
      <c r="B2" s="2525">
        <f>'Single Audit Cover'!E7</f>
        <v>47052275026</v>
      </c>
      <c r="C2" s="2525"/>
      <c r="D2" s="2525"/>
      <c r="E2" s="2525"/>
      <c r="F2" s="2525"/>
      <c r="G2" s="2525"/>
      <c r="H2" s="2525"/>
      <c r="I2" s="2525"/>
      <c r="J2" s="2525"/>
      <c r="K2" s="2525"/>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1722</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46" t="str">
        <f>'Single Audit Cover'!A7</f>
        <v>Ashton-Franklin Center CUSD 275</v>
      </c>
      <c r="C1" s="2546"/>
      <c r="D1" s="2546"/>
      <c r="E1" s="2546"/>
      <c r="F1" s="2546"/>
      <c r="G1" s="2546"/>
      <c r="H1" s="2546"/>
      <c r="I1" s="2546"/>
      <c r="J1" s="2546"/>
      <c r="K1" s="2546"/>
      <c r="L1" s="1266"/>
    </row>
    <row r="2" spans="1:12" ht="12.95" customHeight="1" x14ac:dyDescent="0.2">
      <c r="B2" s="2547">
        <f>'Single Audit Cover'!E7</f>
        <v>47052275026</v>
      </c>
      <c r="C2" s="2547"/>
      <c r="D2" s="2547"/>
      <c r="E2" s="2547"/>
      <c r="F2" s="2547"/>
      <c r="G2" s="2547"/>
      <c r="H2" s="2547"/>
      <c r="I2" s="2547"/>
      <c r="J2" s="2547"/>
      <c r="K2" s="2547"/>
      <c r="L2" s="1267"/>
    </row>
    <row r="3" spans="1:12" ht="12.95" customHeight="1" x14ac:dyDescent="0.2">
      <c r="B3" s="2539" t="s">
        <v>1276</v>
      </c>
      <c r="C3" s="2539"/>
      <c r="D3" s="2539"/>
      <c r="E3" s="2539"/>
      <c r="F3" s="2539"/>
      <c r="G3" s="2539"/>
      <c r="H3" s="2539"/>
      <c r="I3" s="2539"/>
      <c r="J3" s="2539"/>
      <c r="K3" s="2539"/>
      <c r="L3" s="1192"/>
    </row>
    <row r="4" spans="1:12" ht="12.9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95" customHeight="1" x14ac:dyDescent="0.2">
      <c r="A6" s="300"/>
      <c r="B6" s="2548" t="s">
        <v>1299</v>
      </c>
      <c r="C6" s="2548"/>
      <c r="D6" s="2548"/>
      <c r="E6" s="2548"/>
      <c r="F6" s="2548"/>
      <c r="G6" s="2548"/>
      <c r="H6" s="2548"/>
      <c r="I6" s="2548"/>
      <c r="J6" s="2548"/>
      <c r="K6" s="254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0"/>
      <c r="G12" s="2530"/>
      <c r="H12" s="2530"/>
      <c r="I12" s="2530"/>
      <c r="J12" s="2530"/>
      <c r="K12" s="253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3"/>
      <c r="E14" s="2543"/>
      <c r="F14" s="2543"/>
      <c r="H14" s="1275" t="s">
        <v>1294</v>
      </c>
      <c r="I14" s="2544"/>
      <c r="J14" s="2544"/>
      <c r="K14" s="2544"/>
      <c r="L14" s="300"/>
    </row>
    <row r="15" spans="1:12" ht="9.6"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4"/>
      <c r="E16" s="2544"/>
      <c r="F16" s="2544"/>
      <c r="G16" s="2544"/>
      <c r="H16" s="2544"/>
      <c r="I16" s="2544"/>
      <c r="J16" s="2544"/>
      <c r="K16" s="2544"/>
      <c r="L16" s="300"/>
    </row>
    <row r="17" spans="2:12" ht="13.5" customHeight="1" x14ac:dyDescent="0.2">
      <c r="B17" s="1201" t="s">
        <v>1292</v>
      </c>
      <c r="C17" s="1201"/>
      <c r="D17" s="2545"/>
      <c r="E17" s="2545"/>
      <c r="F17" s="2545"/>
      <c r="G17" s="2545"/>
      <c r="H17" s="2545"/>
      <c r="I17" s="2545"/>
      <c r="J17" s="2545"/>
      <c r="K17" s="2545"/>
      <c r="L17" s="300"/>
    </row>
    <row r="18" spans="2:12" ht="9.6"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23" t="str">
        <f>'Single Audit Cover'!A7</f>
        <v>Ashton-Franklin Center CUSD 275</v>
      </c>
      <c r="C1" s="2523"/>
      <c r="D1" s="2523"/>
      <c r="E1" s="1285"/>
    </row>
    <row r="2" spans="2:5" s="1103" customFormat="1" ht="12.95" customHeight="1" x14ac:dyDescent="0.2">
      <c r="B2" s="2525">
        <f>'Single Audit Cover'!E7</f>
        <v>47052275026</v>
      </c>
      <c r="C2" s="2525"/>
      <c r="D2" s="2525"/>
      <c r="E2" s="1286"/>
    </row>
    <row r="3" spans="2:5" ht="12.95" customHeight="1" x14ac:dyDescent="0.2">
      <c r="B3" s="2539" t="s">
        <v>1746</v>
      </c>
      <c r="C3" s="2539"/>
      <c r="D3" s="2539"/>
      <c r="E3" s="1095"/>
    </row>
    <row r="4" spans="2:5" s="1103" customFormat="1" ht="12.9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48C2-4220-4BCB-81D6-1412E36549BD}">
  <dimension ref="A1"/>
  <sheetViews>
    <sheetView workbookViewId="0"/>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104410266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0.03</v>
      </c>
      <c r="E10" s="333" t="s">
        <v>998</v>
      </c>
      <c r="F10" s="332">
        <v>7.4999999999999997E-3</v>
      </c>
      <c r="G10" s="333" t="s">
        <v>998</v>
      </c>
      <c r="H10" s="332">
        <v>2E-3</v>
      </c>
      <c r="I10" s="333" t="s">
        <v>999</v>
      </c>
      <c r="J10" s="1473">
        <f>ROUND(D10+F10+H10,5)</f>
        <v>3.95E-2</v>
      </c>
      <c r="K10" s="217"/>
      <c r="L10" s="332">
        <v>5.0000000000000001E-4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5491997</v>
      </c>
      <c r="E16" s="1597"/>
      <c r="F16" s="1596">
        <f>SUM('Acct Summary 7-8'!C17,'Acct Summary 7-8'!D17,'Acct Summary 7-8'!F17)</f>
        <v>5142958</v>
      </c>
      <c r="G16" s="1597"/>
      <c r="H16" s="1596">
        <f>SUM(D16-F16)</f>
        <v>349039</v>
      </c>
      <c r="I16" s="1598"/>
      <c r="J16" s="1596">
        <f>SUM('Acct Summary 7-8'!C81,'Acct Summary 7-8'!D81,'Acct Summary 7-8'!F81,'Acct Summary 7-8'!I81)</f>
        <v>5059983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14408616.708000001</v>
      </c>
      <c r="I31" s="345"/>
      <c r="J31" s="217"/>
      <c r="K31" s="217"/>
      <c r="L31" s="217"/>
      <c r="M31" s="217"/>
    </row>
    <row r="32" spans="1:13" ht="13.35" customHeight="1" x14ac:dyDescent="0.2">
      <c r="B32" s="346" t="s">
        <v>2043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8300000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95" customHeight="1" x14ac:dyDescent="0.2">
      <c r="B55" s="2146"/>
      <c r="C55" s="2147"/>
      <c r="D55" s="2147"/>
      <c r="E55" s="2147"/>
      <c r="F55" s="2147"/>
      <c r="G55" s="2147"/>
      <c r="H55" s="2147"/>
      <c r="I55" s="2147"/>
      <c r="J55" s="2147"/>
      <c r="K55" s="2147"/>
      <c r="L55" s="2148"/>
      <c r="M55" s="357"/>
    </row>
    <row r="56" spans="1:13" ht="12.95" customHeight="1" x14ac:dyDescent="0.2">
      <c r="B56" s="2146"/>
      <c r="C56" s="2147"/>
      <c r="D56" s="2147"/>
      <c r="E56" s="2147"/>
      <c r="F56" s="2147"/>
      <c r="G56" s="2147"/>
      <c r="H56" s="2147"/>
      <c r="I56" s="2147"/>
      <c r="J56" s="2147"/>
      <c r="K56" s="2147"/>
      <c r="L56" s="2148"/>
      <c r="M56" s="217"/>
    </row>
    <row r="57" spans="1:13" ht="12.9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Ashton-Franklin Center CUSD 275</v>
      </c>
      <c r="E7" s="368"/>
      <c r="G7" s="247"/>
      <c r="H7" s="364"/>
      <c r="I7" s="364"/>
      <c r="J7" s="364"/>
      <c r="K7" s="364"/>
      <c r="L7" s="307"/>
      <c r="M7" s="307"/>
      <c r="N7" s="307"/>
      <c r="O7" s="307"/>
      <c r="P7" s="307"/>
    </row>
    <row r="8" spans="1:18" ht="12.75" x14ac:dyDescent="0.2">
      <c r="A8" s="307"/>
      <c r="B8" s="307"/>
      <c r="C8" s="366" t="s">
        <v>1117</v>
      </c>
      <c r="D8" s="369">
        <f>COVER!A13</f>
        <v>47052275026</v>
      </c>
      <c r="E8" s="370"/>
      <c r="G8" s="307"/>
      <c r="H8" s="307"/>
      <c r="I8" s="307"/>
      <c r="J8" s="307"/>
      <c r="K8" s="307"/>
      <c r="L8" s="307"/>
      <c r="M8" s="307"/>
      <c r="N8" s="307"/>
      <c r="O8" s="307"/>
      <c r="P8" s="307"/>
    </row>
    <row r="9" spans="1:18" ht="12.75" x14ac:dyDescent="0.2">
      <c r="A9" s="307"/>
      <c r="B9" s="307"/>
      <c r="C9" s="366" t="s">
        <v>708</v>
      </c>
      <c r="D9" s="371" t="str">
        <f>COVER!A15</f>
        <v>Lee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5059983</v>
      </c>
      <c r="I12" s="380"/>
      <c r="J12" s="380"/>
      <c r="K12" s="1609">
        <f>TRUNC((H12/H13*100000),5)/100000</f>
        <v>0.92133753890000003</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5491997</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5142958</v>
      </c>
      <c r="I17" s="380"/>
      <c r="J17" s="389"/>
      <c r="K17" s="1609">
        <f>TRUNC((H17/H18*100000),5)/100000</f>
        <v>0.93644588659999994</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5491997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4609983</v>
      </c>
      <c r="I24" s="394"/>
      <c r="J24" s="394"/>
      <c r="K24" s="1605">
        <f>TRUNC(((H24/H25*100000)/100000),2)</f>
        <v>322.69</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14285.99444</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3505574.68095</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2</v>
      </c>
      <c r="P31" s="211"/>
    </row>
    <row r="32" spans="1:18" s="382" customFormat="1" ht="11.25" x14ac:dyDescent="0.2">
      <c r="A32" s="213"/>
      <c r="B32" s="377"/>
      <c r="C32" s="213" t="s">
        <v>842</v>
      </c>
      <c r="D32" s="213"/>
      <c r="E32" s="213"/>
      <c r="F32" s="213"/>
      <c r="G32" s="378"/>
      <c r="H32" s="1601">
        <f>'FP Info 3'!H37</f>
        <v>8300000</v>
      </c>
      <c r="I32" s="392"/>
      <c r="J32" s="392"/>
      <c r="K32" s="1605">
        <f>TRUNC(100-((((H32/H33*100))*100)/100),2)</f>
        <v>42.39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14408616.708000001</v>
      </c>
      <c r="I33" s="392"/>
      <c r="J33" s="392"/>
      <c r="K33" s="379"/>
      <c r="L33" s="213"/>
      <c r="M33" s="401" t="s">
        <v>1137</v>
      </c>
      <c r="N33" s="401"/>
      <c r="O33" s="1618">
        <f>(O31*O32)</f>
        <v>0.2</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B7" sqref="B7"/>
      <selection pane="bottomLeft" activeCell="C6" sqref="C5:I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274601</v>
      </c>
      <c r="D4" s="1623">
        <v>1656534</v>
      </c>
      <c r="E4" s="1623">
        <v>57152</v>
      </c>
      <c r="F4" s="1623">
        <v>84707</v>
      </c>
      <c r="G4" s="1623">
        <v>225036</v>
      </c>
      <c r="H4" s="1623">
        <v>29589</v>
      </c>
      <c r="I4" s="1623">
        <v>377783</v>
      </c>
      <c r="J4" s="1624">
        <v>423466</v>
      </c>
      <c r="K4" s="1623">
        <v>358774</v>
      </c>
      <c r="L4" s="1623">
        <v>196809</v>
      </c>
      <c r="M4" s="1625"/>
      <c r="N4" s="1626"/>
    </row>
    <row r="5" spans="1:14" x14ac:dyDescent="0.2">
      <c r="A5" s="427" t="s">
        <v>985</v>
      </c>
      <c r="B5" s="429">
        <v>120</v>
      </c>
      <c r="C5" s="1622">
        <v>1821663</v>
      </c>
      <c r="D5" s="1623">
        <v>328</v>
      </c>
      <c r="E5" s="1623"/>
      <c r="F5" s="1623">
        <v>394178</v>
      </c>
      <c r="G5" s="1623"/>
      <c r="H5" s="1623"/>
      <c r="I5" s="1623">
        <v>189</v>
      </c>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450000</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2096264</v>
      </c>
      <c r="D13" s="1637">
        <f t="shared" ref="D13:L13" si="0">SUM(D4:D12)</f>
        <v>1656862</v>
      </c>
      <c r="E13" s="1637">
        <f t="shared" si="0"/>
        <v>57152</v>
      </c>
      <c r="F13" s="1637">
        <f t="shared" si="0"/>
        <v>478885</v>
      </c>
      <c r="G13" s="1637">
        <f t="shared" si="0"/>
        <v>225036</v>
      </c>
      <c r="H13" s="1637">
        <f t="shared" si="0"/>
        <v>29589</v>
      </c>
      <c r="I13" s="1637">
        <f t="shared" si="0"/>
        <v>827972</v>
      </c>
      <c r="J13" s="1637">
        <f t="shared" si="0"/>
        <v>423466</v>
      </c>
      <c r="K13" s="1637">
        <f t="shared" si="0"/>
        <v>358774</v>
      </c>
      <c r="L13" s="1637">
        <f t="shared" si="0"/>
        <v>196809</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10346689</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423742</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v>173026</v>
      </c>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v>57152</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8242848</v>
      </c>
    </row>
    <row r="23" spans="1:14" ht="13.5" customHeight="1" thickBot="1" x14ac:dyDescent="0.25">
      <c r="A23" s="1475" t="s">
        <v>638</v>
      </c>
      <c r="B23" s="1478"/>
      <c r="C23" s="1625"/>
      <c r="D23" s="1625"/>
      <c r="E23" s="1625"/>
      <c r="F23" s="1625"/>
      <c r="G23" s="1625"/>
      <c r="H23" s="1625"/>
      <c r="I23" s="1625"/>
      <c r="J23" s="1625"/>
      <c r="K23" s="1625"/>
      <c r="L23" s="1625"/>
      <c r="M23" s="1644">
        <f>SUM(M15:M22)</f>
        <v>10943457</v>
      </c>
      <c r="N23" s="1644">
        <f>SUM(N21:N22)</f>
        <v>8300000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v>450000</v>
      </c>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196809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450000</v>
      </c>
      <c r="I34" s="1650">
        <f t="shared" si="1"/>
        <v>0</v>
      </c>
      <c r="J34" s="1650">
        <f t="shared" si="1"/>
        <v>0</v>
      </c>
      <c r="K34" s="1650">
        <f t="shared" si="1"/>
        <v>0</v>
      </c>
      <c r="L34" s="1651">
        <f>SUM(L33)</f>
        <v>196809</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8300000</v>
      </c>
    </row>
    <row r="37" spans="1:14" ht="13.5" thickBot="1" x14ac:dyDescent="0.25">
      <c r="A37" s="1475" t="s">
        <v>648</v>
      </c>
      <c r="B37" s="1478"/>
      <c r="C37" s="1632"/>
      <c r="D37" s="1632"/>
      <c r="E37" s="1632"/>
      <c r="F37" s="1632"/>
      <c r="G37" s="1632"/>
      <c r="H37" s="1632"/>
      <c r="I37" s="1632"/>
      <c r="J37" s="1632"/>
      <c r="K37" s="1632"/>
      <c r="L37" s="1635"/>
      <c r="M37" s="1625"/>
      <c r="N37" s="1644">
        <f>SUM(N36:N36)</f>
        <v>8300000</v>
      </c>
    </row>
    <row r="38" spans="1:14" s="307" customFormat="1" ht="13.5" customHeight="1" thickTop="1" x14ac:dyDescent="0.2">
      <c r="A38" s="438" t="s">
        <v>417</v>
      </c>
      <c r="B38" s="432">
        <v>714</v>
      </c>
      <c r="C38" s="1623">
        <v>147049</v>
      </c>
      <c r="D38" s="1623">
        <v>41763</v>
      </c>
      <c r="E38" s="1623"/>
      <c r="F38" s="1623"/>
      <c r="G38" s="1623"/>
      <c r="H38" s="1623"/>
      <c r="I38" s="1623"/>
      <c r="J38" s="1624"/>
      <c r="K38" s="1623"/>
      <c r="L38" s="1636"/>
      <c r="M38" s="1654"/>
      <c r="N38" s="1654"/>
    </row>
    <row r="39" spans="1:14" s="307" customFormat="1" ht="13.5" customHeight="1" x14ac:dyDescent="0.2">
      <c r="A39" s="438" t="s">
        <v>339</v>
      </c>
      <c r="B39" s="432">
        <v>730</v>
      </c>
      <c r="C39" s="1623">
        <f>'Acct Summary 7-8'!C81-'Assets-Liab 5-6'!C38</f>
        <v>1949215</v>
      </c>
      <c r="D39" s="1623">
        <f>'Acct Summary 7-8'!D81-'Assets-Liab 5-6'!D38</f>
        <v>1615099</v>
      </c>
      <c r="E39" s="1623">
        <v>57152</v>
      </c>
      <c r="F39" s="1623">
        <v>478885</v>
      </c>
      <c r="G39" s="1623">
        <v>225036</v>
      </c>
      <c r="H39" s="1623">
        <v>-420411</v>
      </c>
      <c r="I39" s="1623">
        <v>827972</v>
      </c>
      <c r="J39" s="1624">
        <v>423466</v>
      </c>
      <c r="K39" s="1623">
        <v>358774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10943457</v>
      </c>
      <c r="N40" s="1654"/>
    </row>
    <row r="41" spans="1:14" ht="13.5" customHeight="1" thickBot="1" x14ac:dyDescent="0.25">
      <c r="A41" s="1475" t="s">
        <v>650</v>
      </c>
      <c r="B41" s="1454"/>
      <c r="C41" s="1644">
        <f>(SUM(C34,C37,C38,C39))</f>
        <v>2096264</v>
      </c>
      <c r="D41" s="1644">
        <f t="shared" ref="D41:L41" si="2">SUM(D34,D37,D38:D39)</f>
        <v>1656862</v>
      </c>
      <c r="E41" s="1644">
        <f t="shared" si="2"/>
        <v>57152</v>
      </c>
      <c r="F41" s="1644">
        <f t="shared" si="2"/>
        <v>478885</v>
      </c>
      <c r="G41" s="1644">
        <f t="shared" si="2"/>
        <v>225036</v>
      </c>
      <c r="H41" s="1644">
        <f t="shared" si="2"/>
        <v>29589</v>
      </c>
      <c r="I41" s="1644">
        <f t="shared" si="2"/>
        <v>827972</v>
      </c>
      <c r="J41" s="1644">
        <f t="shared" si="2"/>
        <v>423466</v>
      </c>
      <c r="K41" s="1644">
        <f t="shared" si="2"/>
        <v>358774</v>
      </c>
      <c r="L41" s="1644">
        <f t="shared" si="2"/>
        <v>196809</v>
      </c>
      <c r="M41" s="1644">
        <f>SUM(M40)</f>
        <v>10943457</v>
      </c>
      <c r="N41" s="1644">
        <f>SUM(N37)</f>
        <v>8300000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 REGULATORY BASIS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activeCell="B7" sqref="B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3354845</v>
      </c>
      <c r="D4" s="1656">
        <f>'Revenues 9-14'!D109</f>
        <v>753494</v>
      </c>
      <c r="E4" s="1656">
        <f>'Revenues 9-14'!E109</f>
        <v>663803</v>
      </c>
      <c r="F4" s="1656">
        <f>'Revenues 9-14'!F109</f>
        <v>200151</v>
      </c>
      <c r="G4" s="1656">
        <f>'Revenues 9-14'!G109</f>
        <v>145908</v>
      </c>
      <c r="H4" s="1656">
        <f>'Revenues 9-14'!H109</f>
        <v>245813</v>
      </c>
      <c r="I4" s="1656">
        <f>'Revenues 9-14'!I109</f>
        <v>50483</v>
      </c>
      <c r="J4" s="1656">
        <f>'Revenues 9-14'!J109</f>
        <v>418290</v>
      </c>
      <c r="K4" s="1656">
        <f>'Revenues 9-14'!K109</f>
        <v>49637</v>
      </c>
      <c r="L4" s="325"/>
    </row>
    <row r="5" spans="1:13" ht="15.75" customHeight="1" x14ac:dyDescent="0.2">
      <c r="A5" s="1359" t="s">
        <v>1486</v>
      </c>
      <c r="B5" s="1360">
        <v>2000</v>
      </c>
      <c r="C5" s="1657">
        <f>'Revenues 9-14'!C114</f>
        <v>60289</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720590</v>
      </c>
      <c r="D6" s="1657">
        <f>'Revenues 9-14'!D170</f>
        <v>0</v>
      </c>
      <c r="E6" s="1657">
        <f>'Revenues 9-14'!E170</f>
        <v>0</v>
      </c>
      <c r="F6" s="1657">
        <f>'Revenues 9-14'!F170</f>
        <v>172175</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179970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4315694</v>
      </c>
      <c r="D8" s="1644">
        <f t="shared" ref="D8:K8" si="0">SUM(D4:D7)</f>
        <v>753494</v>
      </c>
      <c r="E8" s="1644">
        <f t="shared" si="0"/>
        <v>663803</v>
      </c>
      <c r="F8" s="1644">
        <f t="shared" si="0"/>
        <v>372326</v>
      </c>
      <c r="G8" s="1644">
        <f t="shared" si="0"/>
        <v>145908</v>
      </c>
      <c r="H8" s="1644">
        <f t="shared" si="0"/>
        <v>245813</v>
      </c>
      <c r="I8" s="1644">
        <f t="shared" si="0"/>
        <v>50483</v>
      </c>
      <c r="J8" s="1644">
        <f t="shared" si="0"/>
        <v>418290</v>
      </c>
      <c r="K8" s="1644">
        <f t="shared" si="0"/>
        <v>49637</v>
      </c>
      <c r="L8" s="325"/>
    </row>
    <row r="9" spans="1:13" ht="15.75" thickTop="1" x14ac:dyDescent="0.2">
      <c r="A9" s="449" t="s">
        <v>1637</v>
      </c>
      <c r="B9" s="450">
        <v>3998</v>
      </c>
      <c r="C9" s="1636">
        <v>2054271</v>
      </c>
      <c r="D9" s="1663"/>
      <c r="E9" s="1636"/>
      <c r="F9" s="1636"/>
      <c r="G9" s="1664"/>
      <c r="H9" s="1636"/>
      <c r="I9" s="1659" t="s">
        <v>1161</v>
      </c>
      <c r="J9" s="1633"/>
      <c r="K9" s="1636"/>
      <c r="L9" s="325"/>
    </row>
    <row r="10" spans="1:13" s="452" customFormat="1" ht="13.5" thickBot="1" x14ac:dyDescent="0.25">
      <c r="A10" s="1475" t="s">
        <v>1165</v>
      </c>
      <c r="B10" s="1456"/>
      <c r="C10" s="1644">
        <f>SUM(C8:C9)</f>
        <v>6369965</v>
      </c>
      <c r="D10" s="1644">
        <f t="shared" ref="D10:K10" si="1">SUM(D8:D9)</f>
        <v>753494</v>
      </c>
      <c r="E10" s="1644">
        <f t="shared" si="1"/>
        <v>663803</v>
      </c>
      <c r="F10" s="1644">
        <f t="shared" si="1"/>
        <v>372326</v>
      </c>
      <c r="G10" s="1644">
        <f t="shared" si="1"/>
        <v>145908</v>
      </c>
      <c r="H10" s="1644">
        <f t="shared" si="1"/>
        <v>245813</v>
      </c>
      <c r="I10" s="1644">
        <f t="shared" si="1"/>
        <v>50483</v>
      </c>
      <c r="J10" s="1644">
        <f t="shared" si="1"/>
        <v>418290</v>
      </c>
      <c r="K10" s="1644">
        <f t="shared" si="1"/>
        <v>49637</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2851160</v>
      </c>
      <c r="D12" s="1666" t="s">
        <v>1161</v>
      </c>
      <c r="E12" s="1625" t="s">
        <v>1161</v>
      </c>
      <c r="F12" s="1625" t="s">
        <v>1161</v>
      </c>
      <c r="G12" s="1656">
        <f>'Expenditures 15-22'!K229</f>
        <v>47874</v>
      </c>
      <c r="H12" s="1667"/>
      <c r="I12" s="1625" t="s">
        <v>1161</v>
      </c>
      <c r="J12" s="1625" t="s">
        <v>1161</v>
      </c>
      <c r="K12" s="1667" t="s">
        <v>1161</v>
      </c>
      <c r="L12" s="325"/>
    </row>
    <row r="13" spans="1:13" ht="15.75" customHeight="1" x14ac:dyDescent="0.2">
      <c r="A13" s="1359" t="s">
        <v>454</v>
      </c>
      <c r="B13" s="1361">
        <v>2000</v>
      </c>
      <c r="C13" s="1657">
        <f>'Expenditures 15-22'!K74</f>
        <v>929194</v>
      </c>
      <c r="D13" s="1657">
        <f>'Expenditures 15-22'!K129</f>
        <v>814654</v>
      </c>
      <c r="E13" s="1626" t="s">
        <v>1161</v>
      </c>
      <c r="F13" s="1657">
        <f>'Expenditures 15-22'!K184</f>
        <v>350174</v>
      </c>
      <c r="G13" s="1657">
        <f>'Expenditures 15-22'!K279</f>
        <v>63072</v>
      </c>
      <c r="H13" s="1657">
        <f>'Expenditures 15-22'!K303</f>
        <v>5471237</v>
      </c>
      <c r="I13" s="1625" t="s">
        <v>1161</v>
      </c>
      <c r="J13" s="1657">
        <f>'Expenditures 15-22'!K330</f>
        <v>389513</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188911</v>
      </c>
      <c r="D15" s="1657">
        <f>'Expenditures 15-22'!K139</f>
        <v>4509</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673066</v>
      </c>
      <c r="F16" s="1657">
        <f>'Expenditures 15-22'!K208</f>
        <v>4356</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3969265</v>
      </c>
      <c r="D17" s="1644">
        <f t="shared" si="2"/>
        <v>819163</v>
      </c>
      <c r="E17" s="1644">
        <f t="shared" si="2"/>
        <v>673066</v>
      </c>
      <c r="F17" s="1644">
        <f t="shared" si="2"/>
        <v>354530</v>
      </c>
      <c r="G17" s="1644">
        <f t="shared" si="2"/>
        <v>110946</v>
      </c>
      <c r="H17" s="1644">
        <f t="shared" si="2"/>
        <v>5471237</v>
      </c>
      <c r="I17" s="1625"/>
      <c r="J17" s="1644">
        <f>SUM(J12:J16)</f>
        <v>389513</v>
      </c>
      <c r="K17" s="1644">
        <f>SUM(K12:K16)</f>
        <v>0</v>
      </c>
      <c r="L17" s="325"/>
    </row>
    <row r="18" spans="1:12" ht="15" customHeight="1" thickTop="1" x14ac:dyDescent="0.2">
      <c r="A18" s="1479" t="s">
        <v>1638</v>
      </c>
      <c r="B18" s="1480">
        <v>4180</v>
      </c>
      <c r="C18" s="1656">
        <f t="shared" ref="C18:H18" si="3">C9</f>
        <v>2054271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6023536</v>
      </c>
      <c r="D19" s="1644">
        <f t="shared" si="4"/>
        <v>819163</v>
      </c>
      <c r="E19" s="1644">
        <f t="shared" si="4"/>
        <v>673066</v>
      </c>
      <c r="F19" s="1644">
        <f t="shared" si="4"/>
        <v>354530</v>
      </c>
      <c r="G19" s="1644">
        <f t="shared" si="4"/>
        <v>110946</v>
      </c>
      <c r="H19" s="1644">
        <f t="shared" si="4"/>
        <v>5471237</v>
      </c>
      <c r="I19" s="1625"/>
      <c r="J19" s="1644">
        <f>SUM(J17:J18)</f>
        <v>389513</v>
      </c>
      <c r="K19" s="1644">
        <f>SUM(K17:K18)</f>
        <v>0</v>
      </c>
      <c r="L19" s="325"/>
    </row>
    <row r="20" spans="1:12" ht="16.5" thickTop="1" thickBot="1" x14ac:dyDescent="0.25">
      <c r="A20" s="2184" t="s">
        <v>1639</v>
      </c>
      <c r="B20" s="2185"/>
      <c r="C20" s="1672">
        <f>C8-C17</f>
        <v>346429</v>
      </c>
      <c r="D20" s="1672">
        <f t="shared" ref="D20:K20" si="5">D8-D17</f>
        <v>-65669</v>
      </c>
      <c r="E20" s="1672">
        <f t="shared" si="5"/>
        <v>-9263</v>
      </c>
      <c r="F20" s="1672">
        <f t="shared" si="5"/>
        <v>17796</v>
      </c>
      <c r="G20" s="1672">
        <f t="shared" si="5"/>
        <v>34962</v>
      </c>
      <c r="H20" s="1672">
        <f t="shared" si="5"/>
        <v>-5225424</v>
      </c>
      <c r="I20" s="1672">
        <f t="shared" si="5"/>
        <v>50483</v>
      </c>
      <c r="J20" s="1672">
        <f t="shared" si="5"/>
        <v>28777</v>
      </c>
      <c r="K20" s="1672">
        <f t="shared" si="5"/>
        <v>49637</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346429</v>
      </c>
      <c r="D78" s="1679">
        <f t="shared" si="9"/>
        <v>-65669</v>
      </c>
      <c r="E78" s="1679">
        <f t="shared" si="9"/>
        <v>-9263</v>
      </c>
      <c r="F78" s="1679">
        <f t="shared" si="9"/>
        <v>17796</v>
      </c>
      <c r="G78" s="1679">
        <f t="shared" si="9"/>
        <v>34962</v>
      </c>
      <c r="H78" s="1679">
        <f t="shared" si="9"/>
        <v>-5225424</v>
      </c>
      <c r="I78" s="1679">
        <f t="shared" si="9"/>
        <v>50483</v>
      </c>
      <c r="J78" s="1679">
        <f t="shared" si="9"/>
        <v>28777</v>
      </c>
      <c r="K78" s="1679">
        <f t="shared" si="9"/>
        <v>49637</v>
      </c>
      <c r="L78" s="457"/>
    </row>
    <row r="79" spans="1:12" ht="13.5" thickTop="1" x14ac:dyDescent="0.2">
      <c r="A79" s="1902" t="str">
        <f>"Fund Balances - July 1, "&amp;'AFR20'!E2-1</f>
        <v>Fund Balances - July 1, 2019</v>
      </c>
      <c r="B79" s="458"/>
      <c r="C79" s="1633">
        <v>1749835</v>
      </c>
      <c r="D79" s="1680">
        <v>1722531</v>
      </c>
      <c r="E79" s="1680">
        <v>66415</v>
      </c>
      <c r="F79" s="1680">
        <v>461089</v>
      </c>
      <c r="G79" s="1680">
        <v>190074</v>
      </c>
      <c r="H79" s="1680">
        <v>4805013</v>
      </c>
      <c r="I79" s="1680">
        <v>777489</v>
      </c>
      <c r="J79" s="1680">
        <v>394689</v>
      </c>
      <c r="K79" s="1680">
        <v>309137</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2096264</v>
      </c>
      <c r="D81" s="1644">
        <f>SUM(D78:D80)</f>
        <v>1656862</v>
      </c>
      <c r="E81" s="1644">
        <f t="shared" ref="E81:K81" si="10">SUM(E78:E80)</f>
        <v>57152</v>
      </c>
      <c r="F81" s="1644">
        <f t="shared" si="10"/>
        <v>478885</v>
      </c>
      <c r="G81" s="1644">
        <f t="shared" si="10"/>
        <v>225036</v>
      </c>
      <c r="H81" s="1644">
        <f t="shared" si="10"/>
        <v>-420411</v>
      </c>
      <c r="I81" s="1644">
        <f t="shared" si="10"/>
        <v>827972</v>
      </c>
      <c r="J81" s="1644">
        <f t="shared" si="10"/>
        <v>423466</v>
      </c>
      <c r="K81" s="1644">
        <f t="shared" si="10"/>
        <v>358774</v>
      </c>
      <c r="L81" s="325"/>
    </row>
    <row r="82" spans="1:12" ht="0.75" customHeight="1" thickTop="1" thickBot="1" x14ac:dyDescent="0.25">
      <c r="A82" s="459" t="s">
        <v>340</v>
      </c>
      <c r="B82" s="460"/>
      <c r="C82" s="461">
        <f>(C81-C79)</f>
        <v>346429</v>
      </c>
      <c r="D82" s="461">
        <f t="shared" ref="D82:K82" si="11">(D81-D79)</f>
        <v>-65669</v>
      </c>
      <c r="E82" s="461">
        <f t="shared" si="11"/>
        <v>-9263</v>
      </c>
      <c r="F82" s="461">
        <f t="shared" si="11"/>
        <v>17796</v>
      </c>
      <c r="G82" s="461">
        <f t="shared" si="11"/>
        <v>34962</v>
      </c>
      <c r="H82" s="461">
        <f t="shared" si="11"/>
        <v>-5225424</v>
      </c>
      <c r="I82" s="461">
        <f t="shared" si="11"/>
        <v>50483</v>
      </c>
      <c r="J82" s="461">
        <f t="shared" si="11"/>
        <v>28777</v>
      </c>
      <c r="K82" s="461">
        <f t="shared" si="11"/>
        <v>49637</v>
      </c>
    </row>
    <row r="83" spans="1:12" ht="14.25" hidden="1" thickTop="1" thickBot="1" x14ac:dyDescent="0.25">
      <c r="A83" s="462" t="s">
        <v>341</v>
      </c>
      <c r="B83" s="428"/>
      <c r="C83" s="463">
        <f>C82/C81</f>
        <v>0.16526019623482538</v>
      </c>
      <c r="D83" s="463">
        <f t="shared" ref="D83:K83" si="12">D82/D81</f>
        <v>-3.9634562202525016E-2</v>
      </c>
      <c r="E83" s="463">
        <f t="shared" si="12"/>
        <v>-0.16207656774916013</v>
      </c>
      <c r="F83" s="463">
        <f t="shared" si="12"/>
        <v>3.7161322655752428E-2</v>
      </c>
      <c r="G83" s="463">
        <f t="shared" si="12"/>
        <v>0.1553618087772623</v>
      </c>
      <c r="H83" s="463">
        <f t="shared" si="12"/>
        <v>12.42932273418155</v>
      </c>
      <c r="I83" s="463">
        <f t="shared" si="12"/>
        <v>6.097186861391448E-2</v>
      </c>
      <c r="J83" s="463">
        <f t="shared" si="12"/>
        <v>6.7955868948156403E-2</v>
      </c>
      <c r="K83" s="463">
        <f t="shared" si="12"/>
        <v>0.13835172002430499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1" activePane="bottomLeft" state="frozen"/>
      <selection activeCell="B7" sqref="B7"/>
      <selection pane="bottomLeft" activeCell="C113" sqref="C1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2932887</v>
      </c>
      <c r="D5" s="1636">
        <v>734041</v>
      </c>
      <c r="E5" s="1623">
        <v>663720</v>
      </c>
      <c r="F5" s="1681">
        <v>195747</v>
      </c>
      <c r="G5" s="1623">
        <v>47157</v>
      </c>
      <c r="H5" s="1623"/>
      <c r="I5" s="1623">
        <v>48935</v>
      </c>
      <c r="J5" s="1624">
        <v>417317</v>
      </c>
      <c r="K5" s="1623">
        <v>48935</v>
      </c>
    </row>
    <row r="6" spans="1:12" ht="15" x14ac:dyDescent="0.2">
      <c r="A6" s="427" t="s">
        <v>1646</v>
      </c>
      <c r="B6" s="429">
        <v>1130</v>
      </c>
      <c r="C6" s="1623">
        <v>48935</v>
      </c>
      <c r="D6" s="1623"/>
      <c r="E6" s="1630"/>
      <c r="F6" s="1630"/>
      <c r="G6" s="1625"/>
      <c r="H6" s="1625"/>
      <c r="I6" s="1625"/>
      <c r="J6" s="1625"/>
      <c r="K6" s="1625"/>
    </row>
    <row r="7" spans="1:12" x14ac:dyDescent="0.2">
      <c r="A7" s="427" t="s">
        <v>110</v>
      </c>
      <c r="B7" s="471">
        <v>1140</v>
      </c>
      <c r="C7" s="1623">
        <v>39151</v>
      </c>
      <c r="D7" s="1623"/>
      <c r="E7" s="1625"/>
      <c r="F7" s="1624"/>
      <c r="G7" s="1624"/>
      <c r="H7" s="1624"/>
      <c r="I7" s="1625"/>
      <c r="J7" s="1625"/>
      <c r="K7" s="1625"/>
    </row>
    <row r="8" spans="1:12" x14ac:dyDescent="0.2">
      <c r="A8" s="427" t="s">
        <v>410</v>
      </c>
      <c r="B8" s="429">
        <v>1150</v>
      </c>
      <c r="C8" s="1630"/>
      <c r="D8" s="1630"/>
      <c r="E8" s="1632"/>
      <c r="F8" s="1632"/>
      <c r="G8" s="1636">
        <v>92709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3020973</v>
      </c>
      <c r="D12" s="1683">
        <f t="shared" si="0"/>
        <v>734041</v>
      </c>
      <c r="E12" s="1683">
        <f t="shared" si="0"/>
        <v>663720</v>
      </c>
      <c r="F12" s="1683">
        <f t="shared" si="0"/>
        <v>195747</v>
      </c>
      <c r="G12" s="1683">
        <f t="shared" si="0"/>
        <v>139866</v>
      </c>
      <c r="H12" s="1683">
        <f t="shared" si="0"/>
        <v>0</v>
      </c>
      <c r="I12" s="1683">
        <f t="shared" si="0"/>
        <v>48935</v>
      </c>
      <c r="J12" s="1683">
        <f t="shared" si="0"/>
        <v>417317</v>
      </c>
      <c r="K12" s="1644">
        <f t="shared" si="0"/>
        <v>48935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9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175887</v>
      </c>
      <c r="D16" s="1623"/>
      <c r="E16" s="1623"/>
      <c r="F16" s="1623"/>
      <c r="G16" s="1623">
        <v>5623</v>
      </c>
      <c r="H16" s="1623"/>
      <c r="I16" s="1623"/>
      <c r="J16" s="1624"/>
      <c r="K16" s="1623"/>
    </row>
    <row r="17" spans="1:11" ht="12.95" customHeight="1" x14ac:dyDescent="0.2">
      <c r="A17" s="427" t="s">
        <v>802</v>
      </c>
      <c r="B17" s="429">
        <v>1290</v>
      </c>
      <c r="C17" s="1682"/>
      <c r="D17" s="1623"/>
      <c r="E17" s="1623"/>
      <c r="F17" s="1623"/>
      <c r="G17" s="1623"/>
      <c r="H17" s="1623"/>
      <c r="I17" s="1623"/>
      <c r="J17" s="1624"/>
      <c r="K17" s="1623"/>
    </row>
    <row r="18" spans="1:11" ht="12.95" customHeight="1" thickBot="1" x14ac:dyDescent="0.25">
      <c r="A18" s="1455" t="s">
        <v>534</v>
      </c>
      <c r="B18" s="1456"/>
      <c r="C18" s="1685">
        <f>SUM(C14:C17)</f>
        <v>175887</v>
      </c>
      <c r="D18" s="1685">
        <f t="shared" ref="D18:K18" si="1">SUM(D14:D17)</f>
        <v>0</v>
      </c>
      <c r="E18" s="1685">
        <f t="shared" si="1"/>
        <v>0</v>
      </c>
      <c r="F18" s="1685">
        <f t="shared" si="1"/>
        <v>0</v>
      </c>
      <c r="G18" s="1685">
        <f t="shared" si="1"/>
        <v>5623</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26655</v>
      </c>
      <c r="D65" s="1623">
        <v>3645</v>
      </c>
      <c r="E65" s="1623">
        <v>83</v>
      </c>
      <c r="F65" s="1624">
        <v>4249</v>
      </c>
      <c r="G65" s="1623">
        <v>419</v>
      </c>
      <c r="H65" s="1623">
        <v>10770</v>
      </c>
      <c r="I65" s="1623">
        <v>1548</v>
      </c>
      <c r="J65" s="1624">
        <v>973</v>
      </c>
      <c r="K65" s="1623">
        <v>702</v>
      </c>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26655</v>
      </c>
      <c r="D67" s="1644">
        <f t="shared" ref="D67:K67" si="2">SUM(D65:D66)</f>
        <v>3645</v>
      </c>
      <c r="E67" s="1644">
        <f t="shared" si="2"/>
        <v>83</v>
      </c>
      <c r="F67" s="1644">
        <f t="shared" si="2"/>
        <v>4249</v>
      </c>
      <c r="G67" s="1644">
        <f t="shared" si="2"/>
        <v>419</v>
      </c>
      <c r="H67" s="1644">
        <f t="shared" si="2"/>
        <v>10770</v>
      </c>
      <c r="I67" s="1644">
        <f t="shared" si="2"/>
        <v>1548</v>
      </c>
      <c r="J67" s="1644">
        <f t="shared" si="2"/>
        <v>973</v>
      </c>
      <c r="K67" s="1644">
        <f t="shared" si="2"/>
        <v>702</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v>37483</v>
      </c>
      <c r="D69" s="1625"/>
      <c r="E69" s="1625"/>
      <c r="F69" s="1625"/>
      <c r="G69" s="1625"/>
      <c r="H69" s="1625"/>
      <c r="I69" s="1625"/>
      <c r="J69" s="1625"/>
      <c r="K69" s="1625"/>
    </row>
    <row r="70" spans="1:11" ht="12.95" customHeight="1" x14ac:dyDescent="0.2">
      <c r="A70" s="427" t="s">
        <v>990</v>
      </c>
      <c r="B70" s="429">
        <v>1612</v>
      </c>
      <c r="C70" s="1682"/>
      <c r="D70" s="1625"/>
      <c r="E70" s="1625"/>
      <c r="F70" s="1625"/>
      <c r="G70" s="1625"/>
      <c r="H70" s="1625"/>
      <c r="I70" s="1625"/>
      <c r="J70" s="1625"/>
      <c r="K70" s="1625"/>
    </row>
    <row r="71" spans="1:11" ht="12.95" customHeight="1" x14ac:dyDescent="0.2">
      <c r="A71" s="427" t="s">
        <v>271</v>
      </c>
      <c r="B71" s="429">
        <v>1613</v>
      </c>
      <c r="C71" s="1682"/>
      <c r="D71" s="1625"/>
      <c r="E71" s="1625"/>
      <c r="F71" s="1625"/>
      <c r="G71" s="1625"/>
      <c r="H71" s="1625"/>
      <c r="I71" s="1625"/>
      <c r="J71" s="1625"/>
      <c r="K71" s="1625"/>
    </row>
    <row r="72" spans="1:11" ht="12.95" customHeight="1" x14ac:dyDescent="0.2">
      <c r="A72" s="427" t="s">
        <v>24</v>
      </c>
      <c r="B72" s="429">
        <v>1614</v>
      </c>
      <c r="C72" s="1682">
        <v>1522</v>
      </c>
      <c r="D72" s="1625"/>
      <c r="E72" s="1625"/>
      <c r="F72" s="1625"/>
      <c r="G72" s="1625"/>
      <c r="H72" s="1625"/>
      <c r="I72" s="1625"/>
      <c r="J72" s="1625"/>
      <c r="K72" s="1625"/>
    </row>
    <row r="73" spans="1:11" ht="12.95" customHeight="1" x14ac:dyDescent="0.2">
      <c r="A73" s="427" t="s">
        <v>991</v>
      </c>
      <c r="B73" s="429">
        <v>1620</v>
      </c>
      <c r="C73" s="1682">
        <v>1888</v>
      </c>
      <c r="D73" s="1625"/>
      <c r="E73" s="1625"/>
      <c r="F73" s="1625"/>
      <c r="G73" s="1625"/>
      <c r="H73" s="1625"/>
      <c r="I73" s="1625"/>
      <c r="J73" s="1625"/>
      <c r="K73" s="1625"/>
    </row>
    <row r="74" spans="1:11" ht="12.95" customHeight="1" x14ac:dyDescent="0.2">
      <c r="A74" s="427" t="s">
        <v>25</v>
      </c>
      <c r="B74" s="429">
        <v>1690</v>
      </c>
      <c r="C74" s="1682">
        <v>2499</v>
      </c>
      <c r="D74" s="1625"/>
      <c r="E74" s="1625"/>
      <c r="F74" s="1625"/>
      <c r="G74" s="1625"/>
      <c r="H74" s="1625"/>
      <c r="I74" s="1625"/>
      <c r="J74" s="1625"/>
      <c r="K74" s="1625"/>
    </row>
    <row r="75" spans="1:11" ht="12.95" customHeight="1" thickBot="1" x14ac:dyDescent="0.25">
      <c r="A75" s="1455" t="s">
        <v>544</v>
      </c>
      <c r="B75" s="1456"/>
      <c r="C75" s="1644">
        <f>SUM(C69:C74)</f>
        <v>43392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14414</v>
      </c>
      <c r="D77" s="1623"/>
      <c r="E77" s="1625"/>
      <c r="F77" s="1625"/>
      <c r="G77" s="1625"/>
      <c r="H77" s="1625"/>
      <c r="I77" s="1625"/>
      <c r="J77" s="1625"/>
      <c r="K77" s="1625"/>
    </row>
    <row r="78" spans="1:11" ht="12.95" customHeight="1" x14ac:dyDescent="0.2">
      <c r="A78" s="427" t="s">
        <v>76</v>
      </c>
      <c r="B78" s="429">
        <v>1719</v>
      </c>
      <c r="C78" s="1682">
        <v>9007</v>
      </c>
      <c r="D78" s="1623"/>
      <c r="E78" s="1625"/>
      <c r="F78" s="1625"/>
      <c r="G78" s="1625"/>
      <c r="H78" s="1625"/>
      <c r="I78" s="1625"/>
      <c r="J78" s="1625"/>
      <c r="K78" s="1625"/>
    </row>
    <row r="79" spans="1:11" ht="12.95" customHeight="1" x14ac:dyDescent="0.2">
      <c r="A79" s="427" t="s">
        <v>546</v>
      </c>
      <c r="B79" s="429">
        <v>1720</v>
      </c>
      <c r="C79" s="1682">
        <v>51973</v>
      </c>
      <c r="D79" s="1623"/>
      <c r="E79" s="1625"/>
      <c r="F79" s="1625"/>
      <c r="G79" s="1625"/>
      <c r="H79" s="1625"/>
      <c r="I79" s="1625"/>
      <c r="J79" s="1625"/>
      <c r="K79" s="1625"/>
    </row>
    <row r="80" spans="1:11" ht="12.95" customHeight="1" x14ac:dyDescent="0.2">
      <c r="A80" s="427" t="s">
        <v>547</v>
      </c>
      <c r="B80" s="429">
        <v>1730</v>
      </c>
      <c r="C80" s="1682"/>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75394</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c r="D91" s="1625"/>
      <c r="E91" s="1625"/>
      <c r="F91" s="1625"/>
      <c r="G91" s="1625"/>
      <c r="H91" s="1625"/>
      <c r="I91" s="1625"/>
      <c r="J91" s="1625"/>
      <c r="K91" s="1625"/>
    </row>
    <row r="92" spans="1:11" ht="12.95" customHeight="1" x14ac:dyDescent="0.2">
      <c r="A92" s="427" t="s">
        <v>757</v>
      </c>
      <c r="B92" s="429">
        <v>1890</v>
      </c>
      <c r="C92" s="1682"/>
      <c r="D92" s="1625"/>
      <c r="E92" s="1625"/>
      <c r="F92" s="1625"/>
      <c r="G92" s="1625"/>
      <c r="H92" s="1625"/>
      <c r="I92" s="1625"/>
      <c r="J92" s="1625"/>
      <c r="K92" s="1625"/>
    </row>
    <row r="93" spans="1:11" ht="12.9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c r="E95" s="1667"/>
      <c r="F95" s="1667"/>
      <c r="G95" s="1667"/>
      <c r="H95" s="1667"/>
      <c r="I95" s="1667"/>
      <c r="J95" s="1667"/>
      <c r="K95" s="1667"/>
    </row>
    <row r="96" spans="1:11" ht="12.95" customHeight="1" x14ac:dyDescent="0.2">
      <c r="A96" s="427" t="s">
        <v>388</v>
      </c>
      <c r="B96" s="429">
        <v>1920</v>
      </c>
      <c r="C96" s="1682">
        <v>9519</v>
      </c>
      <c r="D96" s="1682"/>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c r="G98" s="1662"/>
      <c r="H98" s="1662"/>
      <c r="I98" s="1660"/>
      <c r="J98" s="1662"/>
      <c r="K98" s="1662"/>
    </row>
    <row r="99" spans="1:12" ht="12.95" customHeight="1" x14ac:dyDescent="0.2">
      <c r="A99" s="427" t="s">
        <v>816</v>
      </c>
      <c r="B99" s="429">
        <v>1950</v>
      </c>
      <c r="C99" s="1648"/>
      <c r="D99" s="1623"/>
      <c r="E99" s="1623"/>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v>3025</v>
      </c>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c r="F103" s="1625"/>
      <c r="G103" s="1625"/>
      <c r="H103" s="1648">
        <v>235043</v>
      </c>
      <c r="I103" s="1625"/>
      <c r="J103" s="1660"/>
      <c r="K103" s="1660"/>
    </row>
    <row r="104" spans="1:12" ht="12.95" customHeight="1" x14ac:dyDescent="0.2">
      <c r="A104" s="427" t="s">
        <v>825</v>
      </c>
      <c r="B104" s="429">
        <v>1991</v>
      </c>
      <c r="C104" s="1648"/>
      <c r="D104" s="1623"/>
      <c r="E104" s="1636"/>
      <c r="F104" s="1624"/>
      <c r="G104" s="1624"/>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c r="D107" s="1623">
        <v>15808</v>
      </c>
      <c r="E107" s="1623"/>
      <c r="F107" s="1623">
        <v>155</v>
      </c>
      <c r="G107" s="1623"/>
      <c r="H107" s="1623"/>
      <c r="I107" s="1623"/>
      <c r="J107" s="1624"/>
      <c r="K107" s="1623"/>
    </row>
    <row r="108" spans="1:12" ht="12.95" customHeight="1" thickBot="1" x14ac:dyDescent="0.25">
      <c r="A108" s="1455" t="s">
        <v>484</v>
      </c>
      <c r="B108" s="1457"/>
      <c r="C108" s="1683">
        <f>SUM(C95:C107)</f>
        <v>12544</v>
      </c>
      <c r="D108" s="1683">
        <f t="shared" ref="D108:K108" si="3">SUM(D95:D107)</f>
        <v>15808</v>
      </c>
      <c r="E108" s="1683">
        <f t="shared" si="3"/>
        <v>0</v>
      </c>
      <c r="F108" s="1683">
        <f t="shared" si="3"/>
        <v>155</v>
      </c>
      <c r="G108" s="1683">
        <f t="shared" si="3"/>
        <v>0</v>
      </c>
      <c r="H108" s="1683">
        <f t="shared" si="3"/>
        <v>235043</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3354845</v>
      </c>
      <c r="D109" s="1691">
        <f t="shared" si="4"/>
        <v>753494</v>
      </c>
      <c r="E109" s="1691">
        <f t="shared" si="4"/>
        <v>663803</v>
      </c>
      <c r="F109" s="1691">
        <f t="shared" si="4"/>
        <v>200151</v>
      </c>
      <c r="G109" s="1691">
        <f t="shared" si="4"/>
        <v>145908</v>
      </c>
      <c r="H109" s="1691">
        <f t="shared" si="4"/>
        <v>245813</v>
      </c>
      <c r="I109" s="1691">
        <f t="shared" si="4"/>
        <v>50483</v>
      </c>
      <c r="J109" s="1691">
        <f t="shared" si="4"/>
        <v>418290</v>
      </c>
      <c r="K109" s="1679">
        <f t="shared" si="4"/>
        <v>49637</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f>31653+28636</f>
        <v>60289</v>
      </c>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60289</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703309</v>
      </c>
      <c r="D117" s="1636"/>
      <c r="E117" s="1623"/>
      <c r="F117" s="1636"/>
      <c r="G117" s="1636"/>
      <c r="H117" s="1623"/>
      <c r="I117" s="1625"/>
      <c r="J117" s="1624"/>
      <c r="K117" s="1623"/>
    </row>
    <row r="118" spans="1:11" ht="12.95" customHeight="1" x14ac:dyDescent="0.2">
      <c r="A118" s="427" t="s">
        <v>1779</v>
      </c>
      <c r="B118" s="478">
        <v>3002</v>
      </c>
      <c r="C118" s="1682"/>
      <c r="D118" s="1623"/>
      <c r="E118" s="1623"/>
      <c r="F118" s="1623"/>
      <c r="G118" s="1623"/>
      <c r="H118" s="1623"/>
      <c r="I118" s="1625"/>
      <c r="J118" s="1624"/>
      <c r="K118" s="1623"/>
    </row>
    <row r="119" spans="1:11" ht="12.95" customHeight="1" x14ac:dyDescent="0.2">
      <c r="A119" s="427" t="s">
        <v>1780</v>
      </c>
      <c r="B119" s="478">
        <v>3005</v>
      </c>
      <c r="C119" s="1682"/>
      <c r="D119" s="1623"/>
      <c r="E119" s="1623"/>
      <c r="F119" s="1623"/>
      <c r="G119" s="1623"/>
      <c r="H119" s="1623"/>
      <c r="I119" s="1625"/>
      <c r="J119" s="1624"/>
      <c r="K119" s="1623"/>
    </row>
    <row r="120" spans="1:11" ht="12.9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75" customHeight="1" thickBot="1" x14ac:dyDescent="0.25">
      <c r="A122" s="1455" t="s">
        <v>485</v>
      </c>
      <c r="B122" s="1462"/>
      <c r="C122" s="1683">
        <f t="shared" ref="C122:H122" si="5">SUM(C117:C121)</f>
        <v>703309</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v>11252</v>
      </c>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11252</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778</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v>4501</v>
      </c>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85675</v>
      </c>
      <c r="G152" s="1624"/>
      <c r="H152" s="1625"/>
      <c r="I152" s="1625"/>
      <c r="J152" s="1625"/>
      <c r="K152" s="1625"/>
    </row>
    <row r="153" spans="1:11" ht="12.95" customHeight="1" x14ac:dyDescent="0.2">
      <c r="A153" s="427" t="s">
        <v>1050</v>
      </c>
      <c r="B153" s="478">
        <v>3510</v>
      </c>
      <c r="C153" s="1682"/>
      <c r="D153" s="1623"/>
      <c r="E153" s="1690"/>
      <c r="F153" s="1623">
        <v>86500</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172175</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c r="D159" s="1703"/>
      <c r="E159" s="1690"/>
      <c r="F159" s="1701"/>
      <c r="G159" s="1701"/>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c r="I166" s="1625"/>
      <c r="J166" s="1625"/>
      <c r="K166" s="1625"/>
    </row>
    <row r="167" spans="1:11" ht="12.9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95" customHeight="1" thickTop="1" thickBot="1" x14ac:dyDescent="0.25">
      <c r="A169" s="2202" t="s">
        <v>395</v>
      </c>
      <c r="B169" s="2203"/>
      <c r="C169" s="1708">
        <f t="shared" ref="C169:K169" si="6">SUM(C132,C141,C145,C146:C150,C155,C156:C167,C168)</f>
        <v>17281</v>
      </c>
      <c r="D169" s="1708">
        <f t="shared" si="6"/>
        <v>0</v>
      </c>
      <c r="E169" s="1708">
        <f t="shared" si="6"/>
        <v>0</v>
      </c>
      <c r="F169" s="1708">
        <f t="shared" si="6"/>
        <v>172175</v>
      </c>
      <c r="G169" s="1708">
        <f t="shared" si="6"/>
        <v>0</v>
      </c>
      <c r="H169" s="1708">
        <f t="shared" si="6"/>
        <v>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720590</v>
      </c>
      <c r="D170" s="1691">
        <f t="shared" si="7"/>
        <v>0</v>
      </c>
      <c r="E170" s="1691">
        <f t="shared" si="7"/>
        <v>0</v>
      </c>
      <c r="F170" s="1691">
        <f t="shared" si="7"/>
        <v>172175</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7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61824</v>
      </c>
      <c r="D191" s="1625"/>
      <c r="E191" s="1690"/>
      <c r="F191" s="1625"/>
      <c r="G191" s="1714"/>
      <c r="H191" s="1625"/>
      <c r="I191" s="1625"/>
      <c r="J191" s="1625"/>
      <c r="K191" s="1625"/>
    </row>
    <row r="192" spans="1:11" ht="12.95" customHeight="1" x14ac:dyDescent="0.2">
      <c r="A192" s="427" t="s">
        <v>1040</v>
      </c>
      <c r="B192" s="429">
        <v>4215</v>
      </c>
      <c r="C192" s="1682"/>
      <c r="D192" s="1625"/>
      <c r="E192" s="1690"/>
      <c r="F192" s="1625"/>
      <c r="G192" s="1714"/>
      <c r="H192" s="1625"/>
      <c r="I192" s="1625"/>
      <c r="J192" s="1625"/>
      <c r="K192" s="1625"/>
    </row>
    <row r="193" spans="1:11" ht="12.95" customHeight="1" x14ac:dyDescent="0.2">
      <c r="A193" s="427" t="s">
        <v>1052</v>
      </c>
      <c r="B193" s="429">
        <v>4220</v>
      </c>
      <c r="C193" s="1682"/>
      <c r="D193" s="1625"/>
      <c r="E193" s="1690"/>
      <c r="F193" s="1625"/>
      <c r="G193" s="1714"/>
      <c r="H193" s="1625"/>
      <c r="I193" s="1625"/>
      <c r="J193" s="1625"/>
      <c r="K193" s="1625"/>
    </row>
    <row r="194" spans="1:11" ht="12.95" customHeight="1" x14ac:dyDescent="0.2">
      <c r="A194" s="427" t="s">
        <v>1437</v>
      </c>
      <c r="B194" s="429">
        <v>4225</v>
      </c>
      <c r="C194" s="1682">
        <v>7009</v>
      </c>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68833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77160</v>
      </c>
      <c r="D200" s="1623"/>
      <c r="E200" s="1625"/>
      <c r="F200" s="1623"/>
      <c r="G200" s="1623"/>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c r="D203" s="1623"/>
      <c r="E203" s="1625"/>
      <c r="F203" s="1623"/>
      <c r="G203" s="1623"/>
      <c r="H203" s="1625"/>
      <c r="I203" s="1625"/>
      <c r="J203" s="1625"/>
      <c r="K203" s="1625"/>
    </row>
    <row r="204" spans="1:11" ht="12.95" customHeight="1" thickBot="1" x14ac:dyDescent="0.25">
      <c r="A204" s="1455" t="s">
        <v>397</v>
      </c>
      <c r="B204" s="1456"/>
      <c r="C204" s="1683">
        <f>SUM(C200:C203)</f>
        <v>77160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v>7500</v>
      </c>
      <c r="D206" s="1623"/>
      <c r="E206" s="1625"/>
      <c r="F206" s="1623"/>
      <c r="G206" s="1623"/>
      <c r="H206" s="1625"/>
      <c r="I206" s="1625"/>
      <c r="J206" s="1625"/>
      <c r="K206" s="1625"/>
    </row>
    <row r="207" spans="1:11" ht="12.95" customHeight="1" x14ac:dyDescent="0.2">
      <c r="A207" s="427" t="s">
        <v>1439</v>
      </c>
      <c r="B207" s="429">
        <v>4421</v>
      </c>
      <c r="C207" s="1682"/>
      <c r="D207" s="1623"/>
      <c r="E207" s="1625"/>
      <c r="F207" s="1623"/>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7500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c r="D211" s="1623"/>
      <c r="E211" s="1625"/>
      <c r="F211" s="1623"/>
      <c r="G211" s="1623"/>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c r="D213" s="1623"/>
      <c r="E213" s="1625"/>
      <c r="F213" s="1623"/>
      <c r="G213" s="1623"/>
      <c r="H213" s="1625"/>
      <c r="I213" s="1625"/>
      <c r="J213" s="1625"/>
      <c r="K213" s="1625"/>
    </row>
    <row r="214" spans="1:11" ht="12.95" customHeight="1" x14ac:dyDescent="0.2">
      <c r="A214" s="427" t="s">
        <v>1047</v>
      </c>
      <c r="B214" s="429">
        <v>4625</v>
      </c>
      <c r="C214" s="1682"/>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c r="D255" s="1625"/>
      <c r="E255" s="1625"/>
      <c r="F255" s="1703"/>
      <c r="G255" s="1699"/>
      <c r="H255" s="1625"/>
      <c r="I255" s="1625"/>
      <c r="J255" s="1625"/>
      <c r="K255" s="1625"/>
    </row>
    <row r="256" spans="1:11" ht="12.95" customHeight="1" thickTop="1" thickBot="1" x14ac:dyDescent="0.25">
      <c r="A256" s="427" t="s">
        <v>1443</v>
      </c>
      <c r="B256" s="429">
        <v>4909</v>
      </c>
      <c r="C256" s="1701"/>
      <c r="D256" s="1625"/>
      <c r="E256" s="1625"/>
      <c r="F256" s="1701"/>
      <c r="G256" s="1701"/>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c r="D258" s="1701"/>
      <c r="E258" s="1625"/>
      <c r="F258" s="1701"/>
      <c r="G258" s="1701"/>
      <c r="H258" s="1625"/>
      <c r="I258" s="1625"/>
      <c r="J258" s="1625"/>
      <c r="K258" s="1625"/>
    </row>
    <row r="259" spans="1:11" ht="12.95" customHeight="1" thickTop="1" thickBot="1" x14ac:dyDescent="0.25">
      <c r="A259" s="427" t="s">
        <v>753</v>
      </c>
      <c r="B259" s="429">
        <v>4932</v>
      </c>
      <c r="C259" s="1701">
        <v>15135</v>
      </c>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1899</v>
      </c>
      <c r="B261" s="429">
        <v>4981</v>
      </c>
      <c r="C261" s="1700"/>
      <c r="D261" s="1701"/>
      <c r="E261" s="1625"/>
      <c r="F261" s="1701"/>
      <c r="G261" s="1701"/>
      <c r="H261" s="1625"/>
      <c r="I261" s="1625"/>
      <c r="J261" s="1625"/>
      <c r="K261" s="1625"/>
    </row>
    <row r="262" spans="1:11" ht="12.95" customHeight="1" thickTop="1" thickBot="1" x14ac:dyDescent="0.25">
      <c r="A262" s="1590" t="s">
        <v>1900</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c r="D263" s="1701"/>
      <c r="E263" s="1625"/>
      <c r="F263" s="1701"/>
      <c r="G263" s="1701"/>
      <c r="H263" s="1625"/>
      <c r="I263" s="1625"/>
      <c r="J263" s="1625"/>
      <c r="K263" s="1625"/>
    </row>
    <row r="264" spans="1:11" ht="12.95" customHeight="1" thickTop="1" thickBot="1" x14ac:dyDescent="0.25">
      <c r="A264" s="427" t="s">
        <v>374</v>
      </c>
      <c r="B264" s="429">
        <v>4992</v>
      </c>
      <c r="C264" s="1700">
        <v>11342</v>
      </c>
      <c r="D264" s="1701"/>
      <c r="E264" s="1625"/>
      <c r="F264" s="1701"/>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179970</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179970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4315694</v>
      </c>
      <c r="D268" s="1691">
        <f t="shared" si="12"/>
        <v>753494</v>
      </c>
      <c r="E268" s="1691">
        <f t="shared" si="12"/>
        <v>663803</v>
      </c>
      <c r="F268" s="1691">
        <f t="shared" si="12"/>
        <v>372326</v>
      </c>
      <c r="G268" s="1691">
        <f t="shared" si="12"/>
        <v>145908</v>
      </c>
      <c r="H268" s="1691">
        <f t="shared" si="12"/>
        <v>245813</v>
      </c>
      <c r="I268" s="1691">
        <f t="shared" si="12"/>
        <v>50483</v>
      </c>
      <c r="J268" s="1691">
        <f t="shared" si="12"/>
        <v>418290</v>
      </c>
      <c r="K268" s="1679">
        <f t="shared" si="12"/>
        <v>49637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office/infopath/2007/PartnerControls"/>
    <ds:schemaRef ds:uri="http://schemas.microsoft.com/sharepoint/v3"/>
    <ds:schemaRef ds:uri="http://purl.org/dc/elements/1.1/"/>
    <ds:schemaRef ds:uri="http://schemas.openxmlformats.org/package/2006/metadata/core-properties"/>
    <ds:schemaRef ds:uri="4d435f69-8686-490b-bd6d-b153bf22ab50"/>
    <ds:schemaRef ds:uri="6ce3111e-7420-4802-b50a-75d4e9a0b980"/>
    <ds:schemaRef ds:uri="http://schemas.microsoft.com/office/2006/metadata/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2020-08-14T19:36:02Z</cp:lastPrinted>
  <dcterms:created xsi:type="dcterms:W3CDTF">2003-10-29T19:06:34Z</dcterms:created>
  <dcterms:modified xsi:type="dcterms:W3CDTF">2020-12-15T23:24:37Z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