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6CA1F6A-CD47-47B9-AB2B-68B502604A3D}" xr6:coauthVersionLast="36" xr6:coauthVersionMax="36" xr10:uidLastSave="{00000000-0000-0000-0000-000000000000}"/>
  <bookViews>
    <workbookView xWindow="0" yWindow="0" windowWidth="28800" windowHeight="114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D31" i="108"/>
  <c r="E16" i="184"/>
  <c r="H16" i="184" s="1"/>
  <c r="B7705" i="106"/>
  <c r="D7705" i="106" s="1"/>
  <c r="E67" i="184"/>
  <c r="N67" i="184" s="1"/>
  <c r="B7198" i="106"/>
  <c r="D7198" i="106" s="1"/>
  <c r="E65" i="184"/>
  <c r="N65" i="184" s="1"/>
  <c r="B7162" i="106"/>
  <c r="D7162" i="106" s="1"/>
  <c r="E61" i="184"/>
  <c r="N61" i="184" s="1"/>
  <c r="B7126" i="106"/>
  <c r="D7126" i="106" s="1"/>
  <c r="E57" i="184"/>
  <c r="N57" i="184" s="1"/>
  <c r="G33" i="108"/>
  <c r="E17" i="184"/>
  <c r="H17" i="184" s="1"/>
  <c r="C342" i="29"/>
  <c r="B7216" i="106" s="1"/>
  <c r="D7216" i="106" s="1"/>
  <c r="I129" i="29"/>
  <c r="B7037" i="106" s="1"/>
  <c r="D7037" i="106" s="1"/>
  <c r="H342" i="29"/>
  <c r="J210" i="29"/>
  <c r="B7072" i="106" s="1"/>
  <c r="D7072" i="106" s="1"/>
  <c r="J129" i="29"/>
  <c r="B7038" i="106" s="1"/>
  <c r="D7038" i="106" s="1"/>
  <c r="I210" i="29"/>
  <c r="B7071" i="106" s="1"/>
  <c r="D7071" i="106" s="1"/>
  <c r="H365" i="29"/>
  <c r="B7242" i="106" s="1"/>
  <c r="D7242" i="106" s="1"/>
  <c r="H76" i="4"/>
  <c r="B3298" i="106" s="1"/>
  <c r="D3298" i="106" s="1"/>
  <c r="F77" i="4"/>
  <c r="B3255" i="106" s="1"/>
  <c r="D3255" i="106" s="1"/>
  <c r="D69" i="36"/>
  <c r="B7180" i="106"/>
  <c r="D7180" i="106" s="1"/>
  <c r="E63" i="184"/>
  <c r="N63" i="184" s="1"/>
  <c r="B7153" i="106"/>
  <c r="D7153" i="106" s="1"/>
  <c r="E60" i="184"/>
  <c r="N60" i="184" s="1"/>
  <c r="B7135" i="106"/>
  <c r="D7135" i="106" s="1"/>
  <c r="E58" i="184"/>
  <c r="C129" i="29"/>
  <c r="E19" i="184"/>
  <c r="H12" i="184"/>
  <c r="H19" i="184" s="1"/>
  <c r="L20"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5770" i="106"/>
  <c r="D5770" i="106" s="1"/>
  <c r="B7222" i="106"/>
  <c r="D7222" i="106" s="1"/>
  <c r="F76" i="34"/>
  <c r="B7887" i="106" s="1"/>
  <c r="D7887" i="106" s="1"/>
  <c r="K365" i="29"/>
  <c r="J151" i="29"/>
  <c r="B7052" i="106" s="1"/>
  <c r="D7052" i="106" s="1"/>
  <c r="H77" i="4"/>
  <c r="B3299" i="106" s="1"/>
  <c r="D3299" i="106" s="1"/>
  <c r="L16" i="11"/>
  <c r="B2061" i="106" s="1"/>
  <c r="D2061" i="106" s="1"/>
  <c r="N23" i="3"/>
  <c r="B284" i="106" s="1"/>
  <c r="D284" i="106" s="1"/>
  <c r="L114" i="29"/>
  <c r="B6216" i="106"/>
  <c r="D6216" i="106" s="1"/>
  <c r="B1381" i="106"/>
  <c r="D1381" i="106" s="1"/>
  <c r="D44" i="36"/>
  <c r="E367" i="29"/>
  <c r="B3636" i="106" s="1"/>
  <c r="D3636" i="106" s="1"/>
  <c r="B3635" i="106"/>
  <c r="K342" i="29"/>
  <c r="F13" i="34" s="1"/>
  <c r="N58" i="184"/>
  <c r="N68" i="184" s="1"/>
  <c r="E68" i="184"/>
  <c r="F41" i="108"/>
  <c r="G43" i="108" s="1"/>
  <c r="B1266" i="106"/>
  <c r="D126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77" i="34" l="1"/>
  <c r="J20" i="4"/>
  <c r="J19" i="4"/>
  <c r="B6229" i="106" s="1"/>
  <c r="D6229" i="106" s="1"/>
  <c r="F8" i="4"/>
  <c r="F10" i="4" s="1"/>
  <c r="B4125" i="106" s="1"/>
  <c r="D41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<sst xmlns="http://schemas.openxmlformats.org/spreadsheetml/2006/main" count="5153" uniqueCount="2088">
  <si>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</si>
  <si>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</si>
  <si>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</si>
  <si>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</si>
  <si>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</si>
  <si>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</si>
  <si>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</si>
  <si>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</si>
  <si>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</si>
  <si>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</si>
  <si>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</si>
  <si>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</si>
  <si>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</si>
  <si>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</si>
  <si>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</si>
  <si>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</si>
  <si>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</si>
  <si>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</si>
  <si>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</si>
  <si>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</si>
  <si>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</si>
  <si>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</si>
  <si>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</si>
  <si>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</si>
  <si>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</si>
  <si>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</si>
  <si>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</si>
  <si>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</si>
  <si>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</si>
  <si>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</si>
  <si>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</si>
  <si>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</si>
  <si>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</si>
  <si>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</si>
  <si>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</si>
  <si>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</si>
  <si>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</si>
  <si>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</si>
  <si>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</si>
  <si>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</si>
  <si>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</si>
  <si>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</si>
  <si>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</si>
  <si>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</si>
  <si>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</si>
  <si>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</si>
  <si>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</si>
  <si>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</si>
  <si>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</si>
  <si>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</si>
  <si>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</si>
  <si>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</si>
  <si>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</si>
  <si>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</si>
  <si>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</si>
  <si>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</si>
  <si>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</si>
  <si>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</si>
  <si>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</si>
  <si>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</si>
  <si>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</si>
  <si>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</si>
  <si>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</si>
  <si>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</si>
  <si>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</si>
  <si>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</si>
  <si>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</si>
  <si>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</si>
  <si>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</si>
  <si>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</si>
  <si>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</si>
  <si>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</si>
  <si>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</si>
  <si>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</si>
  <si>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</si>
  <si>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</si>
  <si>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</si>
  <si>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</si>
  <si>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</si>
  <si>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</si>
  <si>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</si>
  <si>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</si>
  <si>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</si>
  <si>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</si>
  <si>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</si>
  <si>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</si>
  <si>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</si>
  <si>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</si>
  <si>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</si>
  <si>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</si>
  <si>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</si>
  <si>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</si>
  <si>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</si>
  <si>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</si>
  <si>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</si>
  <si>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</si>
  <si>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</si>
  <si>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</si>
  <si>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</si>
  <si>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</si>
  <si>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</si>
  <si>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</si>
  <si>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</si>
  <si>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</si>
  <si>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</si>
  <si>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</si>
  <si>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</si>
  <si>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</si>
  <si>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</si>
  <si>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</si>
  <si>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</si>
  <si>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</si>
  <si>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</si>
  <si>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</si>
  <si>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</si>
  <si>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</si>
  <si>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</si>
  <si>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</si>
  <si>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</si>
  <si>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</si>
  <si>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</si>
  <si>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</si>
  <si>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</si>
  <si>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</si>
  <si>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</si>
  <si>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</si>
  <si>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</si>
  <si>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</si>
  <si>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</si>
  <si>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</si>
  <si>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</si>
  <si>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</si>
  <si>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</si>
  <si>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</si>
  <si>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</si>
  <si>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</si>
  <si>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</si>
  <si>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</si>
  <si>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</si>
  <si>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</si>
  <si>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</si>
  <si>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</si>
  <si>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</si>
  <si>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</si>
  <si>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</si>
  <si>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</si>
  <si>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</si>
  <si>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</si>
  <si>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</si>
  <si>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</si>
  <si>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</si>
  <si>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</si>
  <si>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</si>
  <si>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</si>
  <si>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</si>
  <si>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</si>
  <si>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</si>
  <si>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</si>
  <si>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</si>
  <si>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</si>
  <si>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</si>
  <si>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</si>
  <si>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</si>
  <si>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</si>
  <si>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</si>
  <si>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</si>
  <si>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</si>
  <si>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</si>
  <si>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</si>
  <si>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</si>
  <si>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</si>
  <si>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</si>
  <si>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</si>
  <si>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</si>
  <si>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</si>
  <si>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</si>
  <si>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</si>
  <si>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</si>
  <si>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</si>
  <si>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</si>
  <si>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</si>
  <si>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</si>
  <si>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</si>
  <si>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</si>
  <si>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</si>
  <si>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</si>
  <si>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</si>
  <si>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</si>
  <si>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</si>
  <si>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</si>
  <si>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</si>
  <si>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</si>
  <si>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</si>
  <si>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</si>
  <si>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</si>
  <si>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</si>
  <si>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</si>
  <si>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</si>
  <si>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</si>
  <si>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</si>
  <si>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</si>
  <si>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</si>
  <si>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</si>
  <si>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</si>
  <si>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</si>
  <si>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</si>
  <si>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</si>
  <si>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</si>
  <si>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</si>
  <si>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</si>
  <si>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</si>
  <si>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</si>
  <si>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</si>
  <si>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</si>
  <si>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</si>
  <si>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</si>
  <si>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</si>
  <si>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</si>
  <si>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</si>
  <si>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</si>
  <si>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</si>
  <si>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</si>
  <si>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</si>
  <si>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</si>
  <si>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</si>
  <si>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</si>
  <si>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</si>
  <si>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</si>
  <si>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</si>
  <si>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</si>
  <si>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</si>
  <si>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</si>
  <si>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</si>
  <si>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</si>
  <si>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</si>
  <si>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</si>
  <si>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</si>
  <si>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</si>
  <si>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</si>
  <si>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</si>
  <si>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</si>
  <si>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</si>
  <si>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</si>
  <si>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</si>
  <si>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</si>
  <si>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</si>
  <si>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</si>
  <si>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</si>
  <si>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</si>
  <si>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</si>
  <si>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</si>
  <si>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</si>
  <si>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</si>
  <si>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</si>
  <si>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</si>
  <si>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</si>
  <si>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</si>
  <si>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</si>
  <si>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</si>
  <si>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</si>
  <si>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</si>
  <si>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</si>
  <si>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</si>
  <si>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</si>
  <si>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</si>
  <si>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</si>
  <si>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</si>
  <si>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</si>
  <si>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</si>
  <si>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</si>
  <si>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</si>
  <si>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</si>
  <si>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</si>
  <si>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</si>
  <si>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</si>
  <si>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</si>
  <si>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</si>
  <si>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</si>
  <si>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</si>
  <si>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</si>
  <si>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</si>
  <si>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</si>
  <si>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</si>
  <si>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</si>
  <si>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</si>
  <si>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</si>
  <si>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</si>
  <si>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</si>
  <si>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</si>
  <si>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</si>
  <si>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</si>
  <si>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</si>
  <si>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</si>
  <si>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</si>
  <si>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</si>
  <si>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</si>
  <si>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</si>
  <si>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</si>
  <si>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</si>
  <si>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</si>
  <si>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</si>
  <si>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</si>
  <si>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</si>
  <si>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</si>
  <si>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</si>
  <si>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</si>
  <si>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</si>
  <si>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</si>
  <si>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</si>
  <si>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</si>
  <si>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</si>
  <si>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</si>
  <si>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</si>
  <si>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</si>
  <si>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</si>
  <si>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</si>
  <si>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</si>
  <si>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</si>
  <si>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</si>
  <si>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</si>
  <si>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</si>
  <si>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</si>
  <si>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</si>
  <si>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</si>
  <si>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</si>
  <si>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</si>
  <si>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</si>
  <si>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</si>
  <si>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</si>
  <si>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</si>
  <si>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</si>
  <si>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</si>
  <si>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</si>
  <si>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</si>
  <si>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</si>
  <si>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</si>
  <si>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</si>
  <si>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</si>
  <si>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</si>
  <si>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</si>
  <si>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</si>
  <si>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</si>
  <si>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</si>
  <si>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</si>
  <si>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</si>
  <si>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</si>
  <si>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</si>
  <si>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</si>
  <si>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</si>
  <si>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</si>
  <si>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</si>
  <si>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</si>
  <si>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</si>
  <si>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</si>
  <si>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</si>
  <si>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</si>
  <si>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</si>
  <si>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</si>
  <si>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</si>
  <si>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</si>
  <si>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</si>
  <si>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</si>
  <si>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</si>
  <si>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</si>
  <si>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</si>
  <si>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</si>
  <si>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</si>
  <si>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</si>
  <si>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</si>
  <si>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</si>
  <si>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</si>
  <si>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</si>
  <si>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</si>
  <si>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</si>
  <si>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</si>
  <si>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</si>
  <si>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</si>
  <si>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</si>
  <si>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</si>
  <si>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</si>
  <si>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</si>
  <si>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</si>
  <si>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</si>
  <si>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</si>
  <si>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</si>
  <si>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</si>
  <si>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</si>
  <si>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</si>
  <si>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</si>
  <si>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</si>
  <si>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</si>
  <si>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</si>
  <si>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</si>
  <si>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</si>
  <si>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</si>
  <si>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</si>
  <si>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</si>
  <si>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</si>
  <si>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</si>
  <si>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</si>
  <si>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</si>
  <si>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</si>
  <si>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</si>
  <si>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</si>
  <si>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</si>
  <si>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</si>
  <si>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</si>
  <si>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</si>
  <si>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</si>
  <si>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</si>
  <si>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</si>
  <si>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</si>
  <si>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</si>
  <si>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</si>
  <si>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</si>
  <si>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</si>
  <si>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</si>
  <si>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</si>
  <si>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</si>
  <si>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</si>
  <si>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</si>
  <si>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</si>
  <si>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</si>
  <si>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</si>
  <si>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</si>
  <si>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</si>
  <si>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</si>
  <si>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</si>
  <si>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</si>
  <si>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</si>
  <si>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</si>
  <si>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</si>
  <si>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</si>
  <si>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</si>
  <si>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</si>
  <si>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</si>
  <si>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</si>
  <si>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</si>
  <si>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</si>
  <si>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</si>
  <si>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</si>
  <si>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</si>
  <si>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</si>
  <si>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</si>
  <si>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</si>
  <si>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</si>
  <si>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</si>
  <si>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</si>
  <si>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</si>
  <si>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</si>
  <si>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</si>
  <si>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</si>
  <si>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</si>
  <si>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</si>
  <si>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</si>
  <si>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</si>
  <si>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</si>
  <si>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</si>
  <si>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</si>
  <si>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</si>
  <si>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</si>
  <si>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</si>
  <si>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</si>
  <si>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</si>
  <si>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</si>
  <si>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</si>
  <si>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</si>
  <si>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</si>
  <si>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</si>
  <si>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</si>
  <si>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</si>
  <si>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</si>
  <si>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</si>
  <si>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</si>
  <si>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</si>
  <si>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</si>
  <si>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</si>
  <si>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</si>
  <si>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</si>
  <si>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</si>
  <si>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</si>
  <si>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</si>
  <si>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</si>
  <si>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</si>
  <si>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</si>
  <si>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</si>
  <si>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</si>
  <si>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</si>
  <si>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</si>
  <si>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</si>
  <si>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</si>
  <si>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</si>
  <si>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</si>
  <si>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</si>
  <si>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</si>
  <si>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</si>
  <si>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</si>
  <si>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</si>
  <si>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</si>
  <si>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</si>
  <si>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</si>
  <si>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</si>
  <si>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</si>
  <si>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</si>
  <si>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</si>
  <si>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</si>
  <si>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</si>
  <si>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</si>
  <si>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</si>
  <si>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</si>
  <si>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</si>
  <si>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</si>
  <si>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</si>
  <si>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</si>
  <si>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</si>
  <si>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</si>
  <si>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</si>
  <si>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</si>
  <si>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</si>
  <si>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</si>
  <si>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</si>
  <si>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</si>
  <si>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</si>
  <si>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</si>
  <si>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</si>
  <si>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</si>
  <si>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</si>
  <si>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</si>
  <si>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</si>
  <si>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</si>
  <si>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</si>
  <si>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</si>
  <si>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</si>
  <si>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</si>
  <si>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</si>
  <si>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</si>
  <si>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</si>
  <si>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</si>
  <si>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</si>
  <si>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</si>
  <si>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</si>
  <si>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</si>
  <si>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</si>
  <si>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</si>
  <si>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</si>
  <si>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</si>
  <si>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</si>
  <si>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</si>
  <si>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</si>
  <si>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</si>
  <si>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</si>
  <si>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</si>
  <si>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</si>
  <si>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</si>
  <si>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</si>
  <si>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</si>
  <si>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</si>
  <si>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</si>
  <si>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</si>
  <si>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</si>
  <si>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</si>
  <si>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</si>
  <si>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</si>
  <si>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</si>
  <si>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</si>
  <si>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</si>
  <si>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</si>
  <si>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</si>
  <si>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</si>
  <si>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</si>
  <si>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</si>
  <si>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</si>
  <si>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</si>
  <si>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</si>
  <si>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</si>
  <si>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</si>
  <si>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</si>
  <si>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</si>
  <si>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</si>
  <si>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</si>
  <si>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</si>
  <si>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</si>
  <si>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</si>
  <si>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</si>
  <si>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</si>
  <si>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</si>
  <si>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</si>
  <si>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</si>
  <si>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</si>
  <si>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</si>
  <si>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</si>
  <si>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</si>
  <si>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</si>
  <si>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</si>
  <si>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</si>
  <si>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</si>
  <si>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</si>
  <si>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</si>
  <si>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</si>
  <si>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</si>
  <si>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</si>
  <si>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</si>
  <si>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</si>
  <si>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</si>
  <si>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</si>
  <si>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</si>
  <si>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</si>
  <si>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</si>
  <si>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</si>
  <si>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</si>
  <si>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</si>
  <si>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</si>
  <si>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</si>
  <si>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</si>
  <si>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</si>
  <si>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</si>
  <si>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</si>
  <si>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</si>
  <si>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</si>
  <si>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</si>
  <si>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</si>
  <si>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</si>
  <si>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</si>
  <si>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</si>
  <si>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</si>
  <si>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</si>
  <si>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</si>
  <si>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</si>
  <si>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</si>
  <si>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</si>
  <si>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</si>
  <si>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</si>
  <si>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</si>
  <si>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</si>
  <si>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</si>
  <si>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</si>
  <si>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</si>
  <si>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</si>
  <si>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</si>
  <si>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</si>
  <si>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</si>
  <si>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</si>
  <si>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</si>
  <si>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</si>
  <si>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</si>
  <si>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</si>
  <si>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</si>
  <si>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</si>
  <si>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</si>
  <si>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</si>
  <si>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</si>
  <si>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</si>
  <si>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</si>
  <si>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</si>
  <si>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</si>
  <si>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</si>
  <si>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</si>
  <si>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</si>
  <si>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</si>
  <si>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</si>
  <si>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</si>
  <si>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</si>
  <si>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</si>
  <si>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</si>
  <si>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</si>
  <si>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</si>
  <si>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</si>
  <si>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</si>
  <si>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</si>
  <si>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</si>
  <si>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</si>
  <si>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</si>
  <si>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</si>
  <si>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</si>
  <si>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</si>
  <si>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</si>
  <si>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</si>
  <si>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</si>
  <si>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</si>
  <si>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</si>
  <si>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</si>
  <si>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</si>
  <si>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</si>
  <si>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</si>
  <si>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</si>
  <si>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</si>
  <si>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</si>
  <si>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</si>
  <si>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</si>
  <si>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</si>
  <si>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</si>
  <si>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</si>
  <si>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</si>
  <si>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</si>
  <si>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</si>
  <si>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</si>
  <si>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</si>
  <si>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</si>
  <si>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</si>
  <si>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</si>
  <si>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</si>
  <si>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</si>
  <si>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</si>
  <si>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</si>
  <si>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</si>
  <si>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</si>
  <si>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</si>
  <si>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</si>
  <si>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</si>
  <si>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</si>
  <si>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</si>
  <si>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</si>
  <si>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</si>
  <si>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</si>
  <si>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</si>
  <si>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</si>
  <si>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</si>
  <si>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</si>
  <si>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</si>
  <si>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</si>
  <si>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</si>
  <si>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</si>
  <si>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</si>
  <si>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</si>
  <si>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</si>
  <si>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</si>
  <si>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</si>
  <si>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</si>
  <si>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</si>
  <si>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</si>
  <si>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</si>
  <si>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</si>
  <si>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</si>
  <si>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</si>
  <si>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</si>
  <si>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</si>
  <si>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</si>
  <si>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</si>
  <si>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</si>
  <si>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</si>
  <si>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</si>
  <si>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</si>
  <si>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</si>
  <si>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</si>
  <si>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</si>
  <si>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</si>
  <si>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</si>
  <si>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</si>
  <si>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</si>
  <si>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</si>
  <si>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</si>
  <si>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</si>
  <si>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</si>
  <si>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</si>
  <si>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</si>
  <si>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</si>
  <si>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</si>
  <si>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</si>
  <si>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</si>
  <si>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</si>
  <si>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</si>
  <si>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</si>
  <si>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</si>
  <si>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</si>
  <si>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</si>
  <si>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</si>
  <si>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</si>
  <si>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</si>
  <si>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</si>
  <si>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</si>
  <si>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</si>
  <si>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</si>
  <si>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</si>
  <si>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</si>
  <si>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</si>
  <si>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</si>
  <si>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</si>
  <si>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</si>
  <si>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</si>
  <si>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</si>
  <si>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</si>
  <si>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</si>
  <si>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</si>
  <si>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</si>
  <si>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</si>
  <si>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</si>
  <si>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</si>
  <si>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</si>
  <si>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</si>
  <si>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</si>
  <si>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</si>
  <si>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</si>
  <si>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</si>
  <si>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</si>
  <si>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</si>
  <si>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</si>
  <si>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</si>
  <si>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</si>
  <si>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</si>
  <si>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</si>
  <si>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</si>
  <si>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</si>
  <si>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</si>
  <si>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</si>
  <si>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</si>
  <si>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</si>
  <si>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</si>
  <si>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</si>
  <si>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</si>
  <si>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</si>
  <si>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</si>
  <si>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</si>
  <si>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</si>
  <si>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</si>
  <si>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</si>
  <si>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</si>
  <si>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</si>
  <si>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</si>
  <si>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</si>
  <si>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</si>
  <si>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</si>
  <si>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</si>
  <si>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</si>
  <si>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</si>
  <si>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</si>
  <si>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</si>
  <si>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</si>
  <si>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</si>
  <si>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</si>
  <si>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</si>
  <si>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</si>
  <si>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</si>
  <si>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</si>
  <si>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</si>
  <si>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</si>
  <si>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</si>
  <si>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</si>
  <si>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</si>
  <si>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</si>
  <si>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</si>
  <si>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</si>
  <si>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</si>
  <si>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</si>
  <si>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</si>
  <si>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</si>
  <si>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</si>
  <si>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</si>
  <si>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</si>
  <si>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</si>
  <si>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</si>
  <si>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</si>
  <si>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</si>
  <si>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</si>
  <si>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</si>
  <si>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</si>
  <si>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</si>
  <si>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</si>
  <si>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</si>
  <si>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</si>
  <si>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</si>
  <si>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</si>
  <si>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</si>
  <si>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</si>
  <si>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</si>
  <si>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</si>
  <si>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</si>
  <si>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</si>
  <si>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</si>
  <si>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</si>
  <si>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</si>
  <si>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</si>
  <si>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</si>
  <si>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</si>
  <si>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</si>
  <si>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</si>
  <si>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</si>
  <si>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</si>
  <si>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</si>
  <si>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</si>
  <si>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</si>
  <si>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</si>
  <si>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</si>
  <si>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</si>
  <si>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</si>
  <si>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</si>
  <si>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</si>
  <si>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</si>
  <si>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</si>
  <si>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</si>
  <si>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</si>
  <si>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</si>
  <si>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</si>
  <si>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</si>
  <si>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</si>
  <si>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</si>
  <si>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</si>
  <si>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</si>
  <si>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</si>
  <si>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</si>
  <si>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</si>
  <si>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</si>
  <si>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</si>
  <si>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</si>
  <si>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</si>
  <si>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</si>
  <si>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</si>
  <si>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</si>
  <si>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</si>
  <si>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</si>
  <si>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</si>
  <si>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</si>
  <si>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</si>
  <si>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</si>
  <si>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</si>
  <si>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</si>
  <si>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</si>
  <si>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</si>
  <si>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</si>
  <si>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</si>
  <si>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</si>
  <si>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</si>
  <si>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</si>
  <si>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</si>
  <si>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</si>
  <si>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</si>
  <si>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</si>
  <si>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</si>
  <si>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</si>
  <si>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</si>
  <si>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</si>
  <si>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</si>
  <si>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</si>
  <si>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</si>
  <si>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</si>
  <si>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</si>
  <si>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</si>
  <si>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</si>
  <si>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</si>
  <si>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</si>
  <si>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</si>
  <si>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</si>
  <si>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</si>
  <si>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</si>
  <si>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</si>
  <si>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</si>
  <si>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</si>
  <si>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</si>
  <si>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</si>
  <si>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</si>
  <si>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</si>
  <si>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</si>
  <si>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</si>
  <si>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</si>
  <si>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</si>
  <si>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</si>
  <si>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</si>
  <si>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</si>
  <si>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</si>
  <si>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</si>
  <si>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</si>
  <si>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</si>
  <si>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</si>
  <si>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</si>
  <si>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</si>
  <si>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</si>
  <si>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</si>
  <si>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</si>
  <si>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</si>
  <si>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</si>
  <si>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</si>
  <si>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</si>
  <si>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</si>
  <si>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</si>
  <si>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</si>
  <si>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</si>
  <si>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</si>
  <si>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</si>
  <si>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</si>
  <si>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</si>
  <si>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</si>
  <si>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</si>
  <si>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</si>
  <si>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</si>
  <si>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</si>
  <si>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</si>
  <si>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</si>
  <si>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</si>
  <si>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</si>
  <si>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</si>
  <si>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</si>
  <si>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</si>
  <si>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</si>
  <si>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</si>
  <si>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</si>
  <si>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</si>
  <si>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</si>
  <si>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</si>
  <si>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</si>
  <si>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</si>
  <si>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</si>
  <si>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</si>
  <si>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</si>
  <si>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</si>
  <si>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</si>
  <si>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</si>
  <si>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</si>
  <si>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</si>
  <si>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</si>
  <si>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</si>
  <si>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</si>
  <si>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</si>
  <si>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</si>
  <si>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</si>
  <si>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</si>
  <si>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</si>
  <si>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</si>
  <si>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</si>
  <si>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</si>
  <si>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</si>
  <si>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</si>
  <si>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</si>
  <si>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</si>
  <si>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</si>
  <si>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</si>
  <si>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</si>
  <si>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</si>
  <si>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</si>
  <si>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</si>
  <si>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</si>
  <si>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</si>
  <si>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</si>
  <si>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</si>
  <si>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</si>
  <si>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</si>
  <si>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</si>
  <si>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</si>
  <si>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</si>
  <si>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</si>
  <si>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</si>
  <si>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</si>
  <si>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</si>
  <si>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</si>
  <si>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</si>
  <si>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</si>
  <si>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</si>
  <si>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</si>
  <si>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</si>
  <si>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</si>
  <si>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</si>
  <si>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</si>
  <si>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</si>
  <si>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</si>
  <si>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</si>
  <si>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</si>
  <si>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</si>
  <si>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</si>
  <si>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</si>
  <si>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</si>
  <si>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</si>
  <si>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</si>
  <si>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</si>
  <si>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</si>
  <si>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</si>
  <si>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</si>
  <si>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</si>
  <si>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</si>
  <si>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</si>
  <si>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</si>
  <si>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</si>
  <si>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</si>
  <si>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</si>
  <si>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</si>
  <si>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</si>
  <si>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</si>
  <si>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</si>
  <si>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</si>
  <si>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</si>
  <si>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</si>
  <si>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</si>
  <si>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</si>
  <si>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</si>
  <si>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</si>
  <si>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</si>
  <si>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</si>
  <si>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</si>
  <si>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</si>
  <si>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</si>
  <si>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</si>
  <si>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</si>
  <si>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</si>
  <si>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</si>
  <si>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</si>
  <si>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</si>
  <si>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</si>
  <si>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</si>
  <si>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</si>
  <si>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</si>
  <si>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</si>
  <si>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</si>
  <si>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</si>
  <si>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</si>
  <si>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</si>
  <si>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</si>
  <si>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</si>
  <si>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</si>
  <si>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</si>
  <si>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</si>
  <si>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</si>
  <si>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</si>
  <si>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</si>
  <si>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</si>
  <si>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</si>
  <si>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</si>
  <si>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</si>
  <si>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</si>
  <si>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</si>
  <si>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</si>
  <si>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</si>
  <si>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</si>
  <si>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</si>
  <si>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</si>
  <si>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</si>
  <si>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</si>
  <si>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</si>
  <si>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</si>
  <si>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</si>
  <si>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</si>
  <si>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</si>
  <si>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</si>
  <si>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</si>
  <si>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</si>
  <si>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</si>
  <si>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</si>
  <si>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</si>
  <si>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</si>
  <si>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</si>
  <si>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</si>
  <si>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</si>
  <si>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</si>
  <si>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</si>
  <si>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</si>
  <si>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</si>
  <si>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</si>
  <si>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</si>
  <si>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</si>
  <si>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</si>
  <si>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</si>
  <si>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</si>
  <si>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</si>
  <si>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</si>
  <si>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</si>
  <si>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</si>
  <si>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</si>
  <si>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</si>
  <si>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</si>
  <si>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</si>
  <si>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</si>
  <si>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</si>
  <si>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</si>
  <si>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</si>
  <si>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</si>
  <si>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</si>
  <si>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</si>
  <si>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</si>
  <si>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</si>
  <si>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</si>
  <si>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</si>
  <si>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</si>
  <si>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</si>
  <si>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</si>
  <si>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</si>
  <si>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</si>
  <si>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</si>
  <si>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</si>
  <si>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</si>
  <si>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</si>
  <si>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</si>
  <si>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</si>
  <si>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</si>
  <si>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</si>
  <si>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</si>
  <si>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</si>
  <si>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</si>
  <si>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</si>
  <si>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</si>
  <si>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</si>
  <si>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</si>
  <si>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</si>
  <si>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</si>
  <si>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</si>
  <si>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</si>
  <si>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</si>
  <si>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</si>
  <si>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</si>
  <si>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</si>
  <si>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</si>
  <si>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</si>
  <si>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</si>
  <si>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</si>
  <si>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</si>
  <si>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</si>
  <si>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</si>
  <si>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</si>
  <si>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</si>
  <si>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</si>
  <si>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</si>
  <si>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</si>
  <si>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</si>
  <si>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</si>
  <si>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</si>
  <si>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</si>
  <si>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</si>
  <si>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</si>
  <si>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</si>
  <si>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</si>
  <si>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</si>
  <si>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</si>
  <si>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</si>
  <si>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</si>
  <si>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</si>
  <si>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</si>
  <si>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</si>
  <si>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</si>
  <si>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</si>
  <si>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</si>
  <si>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</si>
  <si>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</si>
  <si>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</si>
  <si>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</si>
  <si>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</si>
  <si>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</si>
  <si>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</si>
  <si>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</si>
  <si>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</si>
  <si>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</si>
  <si>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</si>
  <si>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</si>
  <si>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</si>
  <si>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</si>
  <si>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</si>
  <si>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</si>
  <si>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</si>
  <si>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</si>
  <si>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</si>
  <si>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</si>
  <si>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</si>
  <si>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</si>
  <si>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</si>
  <si>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</si>
  <si>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</si>
  <si>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</si>
  <si>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</si>
  <si>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</si>
  <si>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</si>
  <si>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</si>
  <si>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</si>
  <si>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</si>
  <si>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</si>
  <si>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</si>
  <si>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</si>
  <si>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</si>
  <si>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</si>
  <si>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</si>
  <si>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</si>
  <si>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</si>
  <si>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</si>
  <si>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</si>
  <si>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</si>
  <si>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</si>
  <si>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</si>
  <si>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</si>
  <si>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</si>
  <si>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</si>
  <si>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</si>
  <si>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</si>
  <si>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</si>
  <si>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</si>
  <si>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</si>
  <si>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</si>
  <si>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</si>
  <si>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</si>
  <si>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</si>
  <si>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</si>
  <si>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</si>
  <si>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</si>
  <si>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</si>
  <si>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</si>
  <si>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</si>
  <si>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</si>
  <si>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</si>
  <si>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</si>
  <si>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</si>
  <si>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</si>
  <si>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</si>
  <si>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</si>
  <si>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</si>
  <si>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</si>
  <si>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</si>
  <si>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</si>
  <si>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</si>
  <si>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</si>
  <si>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</si>
  <si>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</si>
  <si>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</si>
  <si>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</si>
  <si>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</si>
  <si>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</si>
  <si>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</si>
  <si>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</si>
  <si>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</si>
  <si>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</si>
  <si>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</si>
  <si>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</si>
  <si>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</si>
  <si>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</si>
  <si>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</si>
  <si>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</si>
  <si>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</si>
  <si>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</si>
  <si>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</si>
  <si>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</si>
  <si>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</si>
  <si>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</si>
  <si>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</si>
  <si>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</si>
  <si>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</si>
  <si>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</si>
  <si>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</si>
  <si>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</si>
  <si>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</si>
  <si>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</si>
  <si>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</si>
  <si>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</si>
  <si>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</si>
  <si>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</si>
  <si>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</si>
  <si>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</si>
  <si>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</si>
  <si>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</si>
  <si>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</si>
  <si>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</si>
  <si>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</si>
  <si>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</si>
  <si>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</si>
  <si>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</si>
  <si>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</si>
  <si>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</si>
  <si>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</si>
  <si>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</si>
  <si>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</si>
  <si>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</si>
  <si>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</si>
  <si>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</si>
  <si>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</si>
  <si>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</si>
  <si>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</si>
  <si>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</si>
  <si>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</si>
  <si>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</si>
  <si>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</si>
  <si>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</si>
  <si>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</si>
  <si>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</si>
  <si>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</si>
  <si>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</si>
  <si>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</si>
  <si>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</si>
  <si>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</si>
  <si>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</si>
  <si>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</si>
  <si>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</si>
  <si>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</si>
  <si>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</si>
  <si>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</si>
  <si>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</si>
  <si>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</si>
  <si>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</si>
  <si>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</si>
  <si>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</si>
  <si>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</si>
  <si>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</si>
  <si>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</si>
  <si>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</si>
  <si>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</si>
  <si>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</si>
  <si>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</si>
  <si>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</si>
  <si>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</si>
  <si>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</si>
  <si>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</si>
  <si>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</si>
  <si>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</si>
  <si>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</si>
  <si>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</si>
  <si>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</si>
  <si>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</si>
  <si>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</si>
  <si>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</si>
  <si>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</si>
  <si>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</si>
  <si>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</si>
  <si>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</si>
  <si>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</si>
  <si>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</si>
  <si>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</si>
  <si>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</si>
  <si>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</si>
  <si>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</si>
  <si>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</si>
  <si>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</si>
  <si>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</si>
  <si>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</si>
  <si>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</si>
  <si>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</si>
  <si>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</si>
  <si>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</si>
  <si>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</si>
  <si>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</si>
  <si>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</si>
  <si>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</si>
  <si>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</si>
  <si>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</si>
  <si>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</si>
  <si>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</si>
  <si>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</si>
  <si>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</si>
  <si>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</si>
  <si>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</si>
  <si>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</si>
  <si>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</si>
  <si>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</si>
  <si>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</si>
  <si>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</si>
  <si>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</si>
  <si>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</si>
  <si>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</si>
  <si>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</si>
  <si>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</si>
  <si>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</si>
  <si>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</si>
  <si>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</si>
  <si>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</si>
  <si>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</si>
  <si>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</si>
  <si>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</si>
  <si>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</si>
  <si>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</si>
  <si>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</si>
  <si>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</si>
  <si>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</si>
  <si>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</si>
  <si>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</si>
  <si>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</si>
  <si>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</si>
  <si>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</si>
  <si>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</si>
  <si>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</si>
  <si>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</si>
  <si>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</si>
  <si>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</si>
  <si>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</si>
  <si>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</si>
  <si>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</si>
  <si>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</si>
  <si>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</si>
  <si>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</si>
  <si>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</si>
  <si>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</si>
  <si>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</si>
  <si>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</si>
  <si>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</si>
  <si>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</si>
  <si>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</si>
  <si>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</si>
  <si>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</si>
  <si>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</si>
  <si>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</si>
  <si>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</si>
  <si>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</si>
  <si>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</si>
  <si>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</si>
  <si>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</si>
  <si>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</si>
  <si>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</si>
  <si>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</si>
  <si>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</si>
  <si>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</si>
  <si>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</si>
  <si>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</si>
  <si>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</si>
  <si>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</si>
  <si>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</si>
  <si>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</si>
  <si>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</si>
  <si>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</si>
  <si>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</si>
  <si>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</si>
  <si>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</si>
  <si>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</si>
  <si>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</si>
  <si>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</si>
  <si>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</si>
  <si>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</si>
  <si>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</si>
  <si>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</si>
  <si>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</si>
  <si>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</si>
  <si>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</si>
  <si>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</si>
  <si>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</si>
  <si>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</si>
  <si>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</si>
  <si>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</si>
  <si>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</si>
  <si>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</si>
  <si>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</si>
  <si>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</si>
  <si>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</si>
  <si>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</si>
  <si>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</si>
  <si>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</si>
  <si>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</si>
  <si>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</si>
  <si>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</si>
  <si>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</si>
  <si>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</si>
  <si>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</si>
  <si>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</si>
  <si>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</si>
  <si>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</si>
  <si>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</si>
  <si>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</si>
  <si>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</si>
  <si>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</si>
  <si>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</si>
  <si>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</si>
  <si>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</si>
  <si>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</si>
  <si>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</si>
  <si>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</si>
  <si>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</si>
  <si>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</si>
  <si>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</si>
  <si>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</si>
  <si>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</si>
  <si>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</si>
  <si>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</si>
  <si>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</si>
  <si>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</si>
  <si>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</si>
  <si>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</si>
  <si>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</si>
  <si>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</si>
  <si>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</si>
  <si>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</si>
  <si>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</si>
  <si>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</si>
  <si>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</si>
  <si>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</si>
  <si>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</si>
  <si>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</si>
  <si>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</si>
  <si>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</si>
  <si>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</si>
  <si>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</si>
  <si>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</si>
  <si>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</si>
  <si>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</si>
  <si>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</si>
  <si>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</si>
  <si>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</si>
  <si>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</si>
  <si>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</si>
  <si>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</si>
  <si>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</si>
  <si>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</si>
  <si>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</si>
  <si>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</si>
  <si>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</si>
  <si>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</si>
  <si>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</si>
  <si>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</si>
  <si>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</si>
  <si>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</si>
  <si>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</si>
  <si>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</si>
  <si>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</si>
  <si>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</si>
  <si>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</si>
  <si>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</si>
  <si>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</si>
  <si>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</si>
  <si>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</si>
  <si>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</si>
  <si>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</si>
  <si>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</si>
  <si>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</si>
  <si>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</si>
  <si>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</si>
  <si>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</si>
  <si>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</si>
  <si>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</si>
  <si>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</si>
  <si>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</si>
  <si>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</si>
  <si>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</si>
  <si>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</si>
  <si>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</si>
  <si>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</si>
  <si>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</si>
  <si>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</si>
  <si>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</si>
  <si>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</si>
  <si>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</si>
  <si>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</si>
  <si>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</si>
  <si>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</si>
  <si>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</si>
  <si>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</si>
  <si>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</si>
  <si>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</si>
  <si>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</si>
  <si>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</si>
  <si>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</si>
  <si>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</si>
  <si>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</si>
  <si>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</si>
  <si>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</si>
  <si>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</si>
  <si>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</si>
  <si>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</si>
  <si>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</si>
  <si>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</si>
  <si>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</si>
  <si>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</si>
  <si>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</si>
  <si>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</si>
  <si>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</si>
  <si>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</si>
  <si>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</si>
  <si>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</si>
  <si>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</si>
  <si>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</si>
  <si>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</si>
  <si>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</si>
  <si>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</si>
  <si>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</si>
  <si>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</si>
  <si>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</si>
  <si>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</si>
  <si>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</si>
  <si>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</si>
  <si>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</si>
  <si>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</si>
  <si>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</si>
  <si>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</si>
  <si>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</si>
  <si>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</si>
  <si>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</si>
  <si>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</si>
  <si>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</si>
  <si>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</si>
  <si>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</si>
  <si>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</si>
  <si>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</si>
  <si>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</si>
  <si>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</si>
  <si>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</si>
  <si>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</si>
  <si>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</si>
  <si>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</si>
  <si>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</si>
  <si>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</si>
  <si>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</si>
  <si>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</si>
  <si>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</si>
  <si>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</si>
  <si>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</si>
  <si>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</si>
  <si>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</si>
  <si>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</si>
  <si>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</si>
  <si>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</si>
  <si>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</si>
  <si>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</si>
  <si>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</si>
  <si>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</si>
  <si>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</si>
  <si>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</si>
  <si>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</si>
  <si>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</si>
  <si>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</si>
  <si>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</si>
  <si>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</si>
  <si>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</si>
  <si>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</si>
  <si>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</si>
  <si>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</si>
  <si>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</si>
  <si>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</si>
  <si>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</si>
  <si>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</si>
  <si>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</si>
  <si>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</si>
  <si>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</si>
  <si>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</si>
  <si>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</si>
  <si>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</si>
  <si>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</si>
  <si>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</si>
  <si>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</si>
  <si>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</si>
  <si>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</si>
  <si>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</si>
  <si>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</si>
  <si>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</si>
  <si>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</si>
  <si>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</si>
  <si>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</si>
  <si>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</si>
  <si>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</si>
  <si>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</si>
  <si>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</si>
  <si>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</si>
  <si>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</si>
  <si>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</si>
  <si>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</si>
  <si>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</si>
  <si>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</si>
  <si>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</si>
  <si>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</si>
  <si>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</si>
  <si>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</si>
  <si>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</si>
  <si>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</si>
  <si>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</si>
  <si>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</si>
  <si>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</si>
  <si>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</si>
  <si>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</si>
  <si>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</si>
  <si>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</si>
  <si>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</si>
  <si>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</si>
  <si>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</si>
  <si>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</si>
  <si>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</si>
  <si>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</si>
  <si>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</si>
  <si>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</si>
  <si>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</si>
  <si>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</si>
  <si>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</si>
  <si>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</si>
  <si>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</si>
  <si>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</si>
  <si>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</si>
  <si>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</si>
  <si>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</si>
  <si>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</si>
  <si>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</si>
  <si>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</si>
  <si>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</si>
  <si>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</si>
  <si>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</si>
  <si>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</si>
  <si>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</si>
  <si>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</si>
  <si>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</si>
  <si>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</si>
  <si>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</si>
  <si>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</si>
  <si>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</si>
  <si>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</si>
  <si>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</si>
  <si>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</si>
  <si>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</si>
  <si>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</si>
  <si>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</si>
  <si>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</si>
  <si>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</si>
  <si>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</si>
  <si>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</si>
  <si>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</si>
  <si>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</si>
  <si>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</si>
  <si>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</si>
  <si>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</si>
  <si>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</si>
  <si>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</si>
  <si>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</si>
  <si>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</si>
  <si>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</si>
  <si>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</si>
  <si>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</si>
  <si>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</si>
  <si>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</si>
  <si>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</si>
  <si>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</si>
  <si>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</si>
  <si>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</si>
  <si>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</si>
  <si>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</si>
  <si>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</si>
  <si>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</si>
  <si>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</si>
  <si>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</si>
  <si>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</si>
  <si>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</si>
  <si>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</si>
  <si>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</si>
  <si>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</si>
  <si>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</si>
  <si>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</si>
  <si>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</si>
  <si>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</si>
  <si>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</si>
  <si>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</si>
  <si>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</si>
  <si>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</si>
  <si>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</si>
  <si>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</si>
  <si>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</si>
  <si>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</si>
  <si>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</si>
  <si>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</si>
  <si>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</si>
  <si>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</si>
  <si>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</si>
  <si>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</si>
  <si>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</si>
  <si>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</si>
  <si>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</si>
  <si>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</si>
  <si>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</si>
  <si>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</si>
  <si>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</si>
  <si>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</si>
  <si>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</si>
  <si>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</si>
  <si>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</si>
  <si>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</si>
  <si>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</si>
  <si>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</si>
  <si>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</si>
  <si>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</si>
  <si>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</si>
  <si>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</si>
  <si>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</si>
  <si>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</si>
  <si>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</si>
  <si>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</si>
  <si>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</si>
  <si>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</si>
  <si>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</si>
  <si>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</si>
  <si>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</si>
  <si>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</si>
  <si>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</si>
  <si>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</si>
  <si>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</si>
  <si>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</si>
  <si>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</si>
  <si>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</si>
  <si>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</si>
  <si>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</si>
  <si>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</si>
  <si>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</si>
  <si>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</si>
  <si>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</si>
  <si>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</si>
  <si>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</si>
  <si>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</si>
  <si>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</si>
  <si>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</si>
  <si>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</si>
  <si>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</si>
  <si>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</si>
  <si>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</si>
  <si>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</si>
  <si>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</si>
  <si>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</si>
  <si>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</si>
  <si>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</si>
  <si>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</si>
  <si>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</si>
  <si>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</si>
  <si>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</si>
  <si>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</si>
  <si>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</si>
  <si>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</si>
  <si>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</si>
  <si>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</si>
  <si>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</si>
  <si>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</si>
  <si>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</si>
  <si>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</si>
  <si>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</si>
  <si>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</si>
  <si>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</si>
  <si>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</si>
  <si>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</si>
  <si>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</si>
  <si>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</si>
  <si>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</si>
  <si>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</si>
  <si>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</si>
  <si>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</si>
  <si>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</si>
  <si>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</si>
  <si>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</si>
  <si>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</si>
  <si>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</si>
  <si>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</si>
  <si>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</si>
  <si>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</si>
  <si>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</si>
  <si>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</si>
  <si>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</si>
  <si>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</si>
  <si>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</si>
  <si>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</si>
  <si>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</si>
  <si>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</si>
  <si>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</si>
  <si>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</si>
  <si>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</si>
  <si>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</si>
  <si>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</si>
  <si>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</si>
  <si>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</si>
  <si>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</si>
  <si>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</si>
  <si>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</si>
  <si>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</si>
  <si>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</si>
  <si>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</si>
  <si>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</si>
  <si>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</si>
  <si>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</si>
  <si>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</si>
  <si>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</si>
  <si>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</si>
  <si>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</si>
  <si>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</si>
  <si>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</si>
  <si>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</si>
  <si>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</si>
  <si>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</si>
  <si>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</si>
  <si>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</si>
  <si>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</si>
  <si>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</si>
  <si>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</si>
  <si>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</si>
  <si>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</si>
  <si>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</si>
  <si>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</si>
  <si>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</si>
  <si>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</si>
  <si>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</si>
  <si>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</si>
  <si>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</si>
  <si>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</si>
  <si>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</si>
  <si>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</si>
  <si>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</si>
  <si>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</si>
  <si>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</si>
  <si>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</si>
  <si>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</si>
  <si>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</si>
  <si>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</si>
  <si>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</si>
  <si>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</si>
  <si>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</si>
  <si>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</si>
  <si>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</si>
  <si>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</si>
  <si>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</si>
  <si>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</si>
  <si>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</si>
  <si>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</si>
  <si>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</si>
  <si>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</si>
  <si>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</si>
  <si>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</si>
  <si>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</si>
  <si>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</si>
  <si>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</si>
  <si>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</si>
  <si>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</si>
  <si>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</si>
  <si>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</si>
  <si>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</si>
  <si>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</si>
  <si>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</si>
  <si>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</si>
  <si>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</si>
  <si>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</si>
  <si>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</si>
  <si>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</si>
  <si>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</si>
  <si>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</si>
  <si>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</si>
  <si>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</si>
  <si>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</si>
  <si>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</si>
  <si>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</si>
  <si>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</si>
  <si>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</si>
  <si>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</si>
  <si>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</si>
  <si>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</si>
  <si>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</si>
  <si>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</si>
  <si>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</si>
  <si>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</si>
  <si>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</si>
  <si>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</si>
  <si>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</si>
  <si>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</si>
  <si>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</si>
  <si>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</si>
  <si>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</si>
  <si>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</si>
  <si>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</si>
  <si>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</si>
  <si>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</si>
  <si>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</si>
  <si>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</si>
  <si>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</si>
  <si>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</si>
  <si>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</si>
  <si>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</si>
  <si>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</si>
  <si>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</si>
  <si>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</si>
  <si>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</si>
  <si>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</si>
  <si>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</si>
  <si>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</si>
  <si>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</si>
  <si>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</si>
  <si>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</si>
  <si>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</si>
  <si>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</si>
  <si>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</si>
  <si>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</si>
  <si>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</si>
  <si>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</si>
  <si>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</si>
  <si>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Lee</t>
  </si>
  <si>
    <t>11 East Hawley</t>
  </si>
  <si>
    <t xml:space="preserve">Amboy  </t>
  </si>
  <si>
    <t>jnichols@amboy.net</t>
  </si>
  <si>
    <t>Joshua Nichols</t>
  </si>
  <si>
    <t>815-857-2464</t>
  </si>
  <si>
    <t>815-857-4434</t>
  </si>
  <si>
    <t>Winkel, Parker &amp; Foster, CPA PC</t>
  </si>
  <si>
    <t>Claire E. Buyert, CPA</t>
  </si>
  <si>
    <t>1301 19th Ave NW</t>
  </si>
  <si>
    <t>Clinton</t>
  </si>
  <si>
    <t>IA</t>
  </si>
  <si>
    <t>563-242-3440</t>
  </si>
  <si>
    <t>563-242-5555</t>
  </si>
  <si>
    <t>065-031649</t>
  </si>
  <si>
    <t>cbuyert@wpf-cpa.com</t>
  </si>
  <si>
    <t>2013 Limited School Bonds</t>
  </si>
  <si>
    <t>2019 General Obligation Bonds</t>
  </si>
  <si>
    <t>2016 Bus Lease</t>
  </si>
  <si>
    <t>2017 Bus Lease</t>
  </si>
  <si>
    <t>2019 Bus Lease</t>
  </si>
  <si>
    <t>2018 Bus Lease</t>
  </si>
  <si>
    <t>Bus Lease</t>
  </si>
  <si>
    <t>Ogle County Education Cooperative</t>
  </si>
  <si>
    <t>815-857-2164</t>
  </si>
  <si>
    <t>No Contracts</t>
  </si>
  <si>
    <t>2019A General Obligation Bonds</t>
  </si>
  <si>
    <t>Page 10 - Acct#1690 - Other - Fund 10 - Misc food purchases</t>
  </si>
  <si>
    <t>Page 10 - Acct#1890 - Other - Fund 10 - Technology fee</t>
  </si>
  <si>
    <t>Page 11 - Acct#1999 - Other Local Revenues - Fund 10 - Misc fees</t>
  </si>
  <si>
    <t>Page 13 - Acct#4699 - Fed Special Education IDEA Other - Fund 10 - IDEA Sub Grant</t>
  </si>
  <si>
    <t>Page 12 - Acct#3999 - Other Restricted Revenue from State Sources - Fund 10 - Library Grant</t>
  </si>
  <si>
    <t>Page 11 - Acct#3299 - Other CTE - Fund 10 - Vocational formuala &amp; Ag Grant</t>
  </si>
  <si>
    <t>Audit check #8 shows an error due to bus leases, which are included in long-term debt, but do not have bond proceeds</t>
  </si>
  <si>
    <t>and payments do not go through debt service fund.</t>
  </si>
  <si>
    <t xml:space="preserve">   Amboy CUSD 272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</si>
</sst>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47052272026</v>
      </c>
      <c r="B13" s="2101"/>
      <c r="C13" s="2101"/>
      <c r="D13" s="2101"/>
      <c r="E13" s="2101"/>
      <c r="F13" s="2101"/>
      <c r="G13" s="2101"/>
      <c r="H13" s="2102"/>
      <c r="I13" s="31"/>
      <c r="J13" s="30"/>
      <c r="K13" s="28"/>
      <c r="L13" s="30"/>
      <c r="M13" s="30"/>
      <c r="N13" s="30"/>
      <c r="O13" s="30"/>
      <c r="P13" s="30"/>
      <c r="Q13" s="30"/>
      <c r="R13" s="30"/>
      <c r="S13" s="30"/>
      <c r="T13" s="2106" t="s">
        <v>2059</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2060</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2087</v>
      </c>
      <c r="B17" s="2074"/>
      <c r="C17" s="2074"/>
      <c r="D17" s="2074"/>
      <c r="E17" s="2074"/>
      <c r="F17" s="2074"/>
      <c r="G17" s="2074"/>
      <c r="H17" s="2099"/>
      <c r="T17" s="2117" t="s">
        <v>2061</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2053</v>
      </c>
      <c r="B19" s="2059"/>
      <c r="C19" s="2059"/>
      <c r="D19" s="2059"/>
      <c r="E19" s="2059"/>
      <c r="F19" s="2059"/>
      <c r="G19" s="2059"/>
      <c r="H19" s="2039"/>
      <c r="I19" s="30"/>
      <c r="J19" s="96"/>
      <c r="K19" s="40"/>
      <c r="L19" s="38"/>
      <c r="M19" s="109" t="s">
        <v>312</v>
      </c>
      <c r="P19" s="27"/>
      <c r="Q19" s="27"/>
      <c r="R19" s="27"/>
      <c r="S19" s="31"/>
      <c r="T19" s="2103" t="s">
        <v>2062</v>
      </c>
      <c r="U19" s="2038"/>
      <c r="V19" s="2038"/>
      <c r="W19" s="2039"/>
      <c r="X19" s="2115" t="s">
        <v>2063</v>
      </c>
      <c r="Y19" s="2116"/>
      <c r="Z19" s="2113">
        <v>52732</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2054</v>
      </c>
      <c r="B21" s="2038"/>
      <c r="C21" s="2038"/>
      <c r="D21" s="2038"/>
      <c r="E21" s="2038"/>
      <c r="F21" s="2038"/>
      <c r="G21" s="2038"/>
      <c r="H21" s="2039"/>
      <c r="I21" s="2093" t="s">
        <v>673</v>
      </c>
      <c r="J21" s="2088"/>
      <c r="K21" s="2088"/>
      <c r="L21" s="2088"/>
      <c r="M21" s="2088"/>
      <c r="N21" s="2088"/>
      <c r="O21" s="2088"/>
      <c r="P21" s="2088"/>
      <c r="Q21" s="2088"/>
      <c r="R21" s="2088"/>
      <c r="S21" s="2094"/>
      <c r="T21" s="2128" t="s">
        <v>2064</v>
      </c>
      <c r="U21" s="2129"/>
      <c r="V21" s="2129"/>
      <c r="W21" s="2129"/>
      <c r="X21" s="2134" t="s">
        <v>2065</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2055</v>
      </c>
      <c r="B23" s="2091"/>
      <c r="C23" s="2091"/>
      <c r="D23" s="2091"/>
      <c r="E23" s="2091"/>
      <c r="F23" s="2091"/>
      <c r="G23" s="2091"/>
      <c r="H23" s="2092"/>
      <c r="T23" s="2073" t="s">
        <v>2066</v>
      </c>
      <c r="U23" s="2127"/>
      <c r="V23" s="2127"/>
      <c r="W23" s="2127"/>
      <c r="X23" s="2131">
        <v>44469</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61310</v>
      </c>
      <c r="B25" s="2038"/>
      <c r="C25" s="2038"/>
      <c r="D25" s="2038"/>
      <c r="E25" s="2038"/>
      <c r="F25" s="2038"/>
      <c r="G25" s="2038"/>
      <c r="H25" s="2039"/>
      <c r="I25" s="110"/>
      <c r="J25" s="2062"/>
      <c r="K25" s="2062"/>
      <c r="L25" s="2062"/>
      <c r="M25" s="2062"/>
      <c r="N25" s="2062"/>
      <c r="O25" s="2062"/>
      <c r="P25" s="2062"/>
      <c r="Q25" s="2062"/>
      <c r="R25" s="2062"/>
      <c r="S25" s="2063"/>
      <c r="T25" s="2124" t="s">
        <v>2067</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2056</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2055</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2057</v>
      </c>
      <c r="B42" s="2057"/>
      <c r="C42" s="2058"/>
      <c r="D42" s="2056" t="s">
        <v>2058</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4" sqref="E1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5034445</v>
      </c>
      <c r="C4" s="1722"/>
      <c r="D4" s="1723">
        <f>B4-C4</f>
        <v>5034445</v>
      </c>
      <c r="E4" s="1722">
        <v>5247475</v>
      </c>
      <c r="F4" s="1723">
        <f>E4-C4</f>
        <v>5247475</v>
      </c>
    </row>
    <row r="5" spans="1:8" ht="13.7" customHeight="1" x14ac:dyDescent="0.2">
      <c r="A5" s="579" t="s">
        <v>865</v>
      </c>
      <c r="B5" s="1724">
        <f>'Revenues 9-14'!D5</f>
        <v>944703</v>
      </c>
      <c r="C5" s="1664"/>
      <c r="D5" s="1725">
        <f t="shared" ref="D5:D18" si="0">B5-C5</f>
        <v>944703</v>
      </c>
      <c r="E5" s="1664">
        <v>984771</v>
      </c>
      <c r="F5" s="1725">
        <f>E5-C5</f>
        <v>984771</v>
      </c>
    </row>
    <row r="6" spans="1:8" ht="13.7" customHeight="1" x14ac:dyDescent="0.2">
      <c r="A6" s="579" t="s">
        <v>408</v>
      </c>
      <c r="B6" s="1724">
        <f>'Revenues 9-14'!E5</f>
        <v>1307791</v>
      </c>
      <c r="C6" s="1664"/>
      <c r="D6" s="1725">
        <f t="shared" si="0"/>
        <v>1307791</v>
      </c>
      <c r="E6" s="1664">
        <v>1324748</v>
      </c>
      <c r="F6" s="1725">
        <f t="shared" ref="F6:F18" si="1">E6-C6</f>
        <v>1324748</v>
      </c>
    </row>
    <row r="7" spans="1:8" ht="13.7" customHeight="1" x14ac:dyDescent="0.2">
      <c r="A7" s="579" t="s">
        <v>154</v>
      </c>
      <c r="B7" s="1724">
        <f>'Revenues 9-14'!F5</f>
        <v>571936</v>
      </c>
      <c r="C7" s="1664"/>
      <c r="D7" s="1725">
        <f t="shared" si="0"/>
        <v>571936</v>
      </c>
      <c r="E7" s="1664">
        <v>596182</v>
      </c>
      <c r="F7" s="1725">
        <f t="shared" si="1"/>
        <v>596182</v>
      </c>
    </row>
    <row r="8" spans="1:8" ht="13.7" customHeight="1" x14ac:dyDescent="0.2">
      <c r="A8" s="579" t="s">
        <v>1169</v>
      </c>
      <c r="B8" s="1724">
        <f>'Revenues 9-14'!G5</f>
        <v>157714</v>
      </c>
      <c r="C8" s="1664"/>
      <c r="D8" s="1725">
        <f t="shared" si="0"/>
        <v>157714</v>
      </c>
      <c r="E8" s="1664">
        <v>164332</v>
      </c>
      <c r="F8" s="1725">
        <f t="shared" si="1"/>
        <v>164332</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56181</v>
      </c>
      <c r="C10" s="1664"/>
      <c r="D10" s="1725">
        <f t="shared" si="0"/>
        <v>56181</v>
      </c>
      <c r="E10" s="1664">
        <v>58701</v>
      </c>
      <c r="F10" s="1725">
        <f t="shared" si="1"/>
        <v>58701</v>
      </c>
    </row>
    <row r="11" spans="1:8" x14ac:dyDescent="0.2">
      <c r="A11" s="579" t="s">
        <v>406</v>
      </c>
      <c r="B11" s="1724">
        <f>'Revenues 9-14'!J5</f>
        <v>98786</v>
      </c>
      <c r="C11" s="1664"/>
      <c r="D11" s="1725">
        <f t="shared" si="0"/>
        <v>98786</v>
      </c>
      <c r="E11" s="1664">
        <v>103033</v>
      </c>
      <c r="F11" s="1725">
        <f t="shared" si="1"/>
        <v>103033</v>
      </c>
    </row>
    <row r="12" spans="1:8" ht="13.7" customHeight="1" x14ac:dyDescent="0.2">
      <c r="A12" s="579" t="s">
        <v>156</v>
      </c>
      <c r="B12" s="1724">
        <f>'Revenues 9-14'!K5</f>
        <v>56908</v>
      </c>
      <c r="C12" s="1664"/>
      <c r="D12" s="1725">
        <f t="shared" si="0"/>
        <v>56908</v>
      </c>
      <c r="E12" s="1664">
        <v>59312</v>
      </c>
      <c r="F12" s="1725">
        <f t="shared" si="1"/>
        <v>59312</v>
      </c>
    </row>
    <row r="13" spans="1:8" ht="13.7" customHeight="1" x14ac:dyDescent="0.2">
      <c r="A13" s="579" t="s">
        <v>930</v>
      </c>
      <c r="B13" s="1724">
        <f>SUM('Revenues 9-14'!C6:D6)</f>
        <v>56908</v>
      </c>
      <c r="C13" s="1664"/>
      <c r="D13" s="1725">
        <f t="shared" si="0"/>
        <v>56908</v>
      </c>
      <c r="E13" s="1664">
        <v>59312</v>
      </c>
      <c r="F13" s="1725">
        <f t="shared" si="1"/>
        <v>59312</v>
      </c>
    </row>
    <row r="14" spans="1:8" ht="13.7" customHeight="1" x14ac:dyDescent="0.2">
      <c r="A14" s="579" t="s">
        <v>407</v>
      </c>
      <c r="B14" s="1724">
        <f>SUM('Revenues 9-14'!C7:D7,'Revenues 9-14'!F7:H7)</f>
        <v>48674</v>
      </c>
      <c r="C14" s="1664"/>
      <c r="D14" s="1725">
        <f t="shared" si="0"/>
        <v>48674</v>
      </c>
      <c r="E14" s="1664">
        <v>50752</v>
      </c>
      <c r="F14" s="1725">
        <f t="shared" si="1"/>
        <v>50752</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119293</v>
      </c>
      <c r="C16" s="1664"/>
      <c r="D16" s="1725">
        <f t="shared" si="0"/>
        <v>119293</v>
      </c>
      <c r="E16" s="1664">
        <v>124434</v>
      </c>
      <c r="F16" s="1725">
        <f t="shared" si="1"/>
        <v>124434</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1151</v>
      </c>
      <c r="B19" s="1726">
        <f>SUM(B4:B18)</f>
        <v>8453339</v>
      </c>
      <c r="C19" s="1726">
        <f>SUM(C4:C18)</f>
        <v>0</v>
      </c>
      <c r="D19" s="1726">
        <f>SUM(D4:D18)</f>
        <v>8453339</v>
      </c>
      <c r="E19" s="1726">
        <f>SUM(E4:E18)</f>
        <v>8773052</v>
      </c>
      <c r="F19" s="1726">
        <f>SUM(F4:F18)</f>
        <v>8773052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gridLinesSet="0"/>
  <pageMargins left="0.25" right="0.15" top="1.65" bottom="0.52" header="0.9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41" sqref="A4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41464</v>
      </c>
      <c r="C31" s="1734">
        <v>2293160</v>
      </c>
      <c r="D31" s="1735">
        <v>4</v>
      </c>
      <c r="E31" s="1734">
        <v>1863998</v>
      </c>
      <c r="F31" s="1734"/>
      <c r="G31" s="1734"/>
      <c r="H31" s="1734">
        <v>109000</v>
      </c>
      <c r="I31" s="1736">
        <f>((E31+F31)-H31)+G31</f>
        <v>1754998</v>
      </c>
      <c r="J31" s="1734">
        <v>1626643</v>
      </c>
      <c r="K31" s="596"/>
    </row>
    <row r="32" spans="1:11" ht="12" customHeight="1" x14ac:dyDescent="0.2">
      <c r="A32" s="594" t="s">
        <v>2069</v>
      </c>
      <c r="B32" s="595">
        <v>43516</v>
      </c>
      <c r="C32" s="1734">
        <v>15575000</v>
      </c>
      <c r="D32" s="1735">
        <v>6</v>
      </c>
      <c r="E32" s="1734">
        <v>15575000</v>
      </c>
      <c r="F32" s="1734"/>
      <c r="G32" s="1734"/>
      <c r="H32" s="1734">
        <v>600000</v>
      </c>
      <c r="I32" s="1736">
        <f>((E32+F32)-H32)+G32</f>
        <v>14975000</v>
      </c>
      <c r="J32" s="1734">
        <v>14975000</v>
      </c>
      <c r="K32" s="596"/>
    </row>
    <row r="33" spans="1:11" ht="12" customHeight="1" x14ac:dyDescent="0.2">
      <c r="A33" s="594" t="s">
        <v>2078</v>
      </c>
      <c r="B33" s="595">
        <v>43676</v>
      </c>
      <c r="C33" s="1734">
        <v>1130000</v>
      </c>
      <c r="D33" s="1735">
        <v>6</v>
      </c>
      <c r="E33" s="1734"/>
      <c r="F33" s="1734">
        <v>1130000</v>
      </c>
      <c r="G33" s="1734"/>
      <c r="H33" s="1734">
        <v>115000</v>
      </c>
      <c r="I33" s="1736">
        <f t="shared" ref="I33:I48" si="1">((E33+F33)-H33)+G33</f>
        <v>1015000</v>
      </c>
      <c r="J33" s="1734">
        <v>1015000</v>
      </c>
      <c r="K33" s="596"/>
    </row>
    <row r="34" spans="1:11" ht="12" customHeight="1" x14ac:dyDescent="0.2">
      <c r="A34" s="594" t="s">
        <v>2070</v>
      </c>
      <c r="B34" s="595">
        <v>42571</v>
      </c>
      <c r="C34" s="1734">
        <v>324072</v>
      </c>
      <c r="D34" s="1735">
        <v>7</v>
      </c>
      <c r="E34" s="1734">
        <v>217307</v>
      </c>
      <c r="F34" s="1734"/>
      <c r="G34" s="1734"/>
      <c r="H34" s="1734">
        <v>217307</v>
      </c>
      <c r="I34" s="1736">
        <f t="shared" si="1"/>
        <v>0</v>
      </c>
      <c r="J34" s="1734">
        <v>0</v>
      </c>
      <c r="K34" s="597"/>
    </row>
    <row r="35" spans="1:11" ht="12" customHeight="1" x14ac:dyDescent="0.2">
      <c r="A35" s="594" t="s">
        <v>2071</v>
      </c>
      <c r="B35" s="595">
        <v>42936</v>
      </c>
      <c r="C35" s="1737">
        <v>76628</v>
      </c>
      <c r="D35" s="1735">
        <v>7</v>
      </c>
      <c r="E35" s="1737">
        <v>56667</v>
      </c>
      <c r="F35" s="1737"/>
      <c r="G35" s="1737"/>
      <c r="H35" s="1737">
        <v>9241</v>
      </c>
      <c r="I35" s="1736">
        <f t="shared" si="1"/>
        <v>47426</v>
      </c>
      <c r="J35" s="1737">
        <v>47426</v>
      </c>
      <c r="K35" s="597"/>
    </row>
    <row r="36" spans="1:11" ht="12" customHeight="1" x14ac:dyDescent="0.2">
      <c r="A36" s="594" t="s">
        <v>2073</v>
      </c>
      <c r="B36" s="595">
        <v>43296</v>
      </c>
      <c r="C36" s="1734">
        <v>375252</v>
      </c>
      <c r="D36" s="1735">
        <v>7</v>
      </c>
      <c r="E36" s="1734">
        <v>316116</v>
      </c>
      <c r="F36" s="1734"/>
      <c r="G36" s="1734"/>
      <c r="H36" s="1734">
        <v>45873</v>
      </c>
      <c r="I36" s="1736">
        <f t="shared" si="1"/>
        <v>270243</v>
      </c>
      <c r="J36" s="1734">
        <v>270243</v>
      </c>
      <c r="K36" s="598"/>
    </row>
    <row r="37" spans="1:11" ht="12" customHeight="1" x14ac:dyDescent="0.2">
      <c r="A37" s="594" t="s">
        <v>2072</v>
      </c>
      <c r="B37" s="595">
        <v>43657</v>
      </c>
      <c r="C37" s="1574">
        <v>302412</v>
      </c>
      <c r="D37" s="1738">
        <v>7</v>
      </c>
      <c r="E37" s="1574"/>
      <c r="F37" s="1574">
        <v>302412</v>
      </c>
      <c r="G37" s="1574"/>
      <c r="H37" s="1574">
        <v>49592</v>
      </c>
      <c r="I37" s="1736">
        <f t="shared" si="1"/>
        <v>252820</v>
      </c>
      <c r="J37" s="1574">
        <v>252820</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20076524</v>
      </c>
      <c r="D49" s="1742"/>
      <c r="E49" s="1736">
        <f t="shared" ref="E49:J49" si="2">SUM(E31:E48)</f>
        <v>18029088</v>
      </c>
      <c r="F49" s="1736">
        <f t="shared" si="2"/>
        <v>1432412</v>
      </c>
      <c r="G49" s="1736">
        <f t="shared" si="2"/>
        <v>0</v>
      </c>
      <c r="H49" s="1736">
        <f t="shared" si="2"/>
        <v>1146013</v>
      </c>
      <c r="I49" s="1736">
        <f t="shared" si="2"/>
        <v>18315487</v>
      </c>
      <c r="J49" s="1736">
        <f t="shared" si="2"/>
        <v>18187132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t="s">
        <v>2074</v>
      </c>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65" bottom="0.25" header="0.42" footer="0.1"/>
  <pageSetup scale="74" firstPageNumber="24"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H31" sqref="H31:K3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48674</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5751</v>
      </c>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48674</v>
      </c>
      <c r="I12" s="1755">
        <f>SUM(I5:I11)</f>
        <v>0</v>
      </c>
      <c r="J12" s="1755">
        <f>SUM(J5:J11)</f>
        <v>0</v>
      </c>
      <c r="K12" s="1755">
        <f>SUM(K5:K11)</f>
        <v>5751</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48674</v>
      </c>
      <c r="I14" s="1749"/>
      <c r="J14" s="1751"/>
      <c r="K14" s="1745">
        <v>5751</v>
      </c>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48674</v>
      </c>
      <c r="I23" s="1755">
        <f>SUM(I14:I16,I21,I22)</f>
        <v>0</v>
      </c>
      <c r="J23" s="1755">
        <f>SUM(J14:J16,J21,J22)</f>
        <v>0</v>
      </c>
      <c r="K23" s="1755">
        <f>SUM(K14:K16,K21,K22)</f>
        <v>5751</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ageMargins left="0.35" right="0.17" top="1.08" bottom="0.4" header="0.71" footer="0.2"/>
  <pageSetup scale="79"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5" sqref="D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61600</v>
      </c>
      <c r="D5" s="1770">
        <v>0</v>
      </c>
      <c r="E5" s="1770">
        <v>0</v>
      </c>
      <c r="F5" s="1765">
        <f>(C5+D5)-E5</f>
        <v>61600</v>
      </c>
      <c r="G5" s="676"/>
      <c r="H5" s="680"/>
      <c r="I5" s="680"/>
      <c r="J5" s="680"/>
      <c r="K5" s="637"/>
      <c r="L5" s="1442">
        <f>F5-K5</f>
        <v>61600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7157840</v>
      </c>
      <c r="D8" s="1771">
        <v>5485804</v>
      </c>
      <c r="E8" s="1771">
        <v>0</v>
      </c>
      <c r="F8" s="1765">
        <f>(C8+D8)-E8</f>
        <v>12643644</v>
      </c>
      <c r="G8" s="681">
        <v>50</v>
      </c>
      <c r="H8" s="619">
        <v>4151343</v>
      </c>
      <c r="I8" s="619">
        <v>106907</v>
      </c>
      <c r="J8" s="619">
        <v>0</v>
      </c>
      <c r="K8" s="1442">
        <f>(H8+I8)-J8</f>
        <v>4258250</v>
      </c>
      <c r="L8" s="1442">
        <f>F8-K8</f>
        <v>8385394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1949478</v>
      </c>
      <c r="D10" s="1772">
        <v>0</v>
      </c>
      <c r="E10" s="1772">
        <v>0</v>
      </c>
      <c r="F10" s="1773">
        <f>(C10+D10)-E10</f>
        <v>1949478</v>
      </c>
      <c r="G10" s="681">
        <v>20</v>
      </c>
      <c r="H10" s="683">
        <v>1322893</v>
      </c>
      <c r="I10" s="683">
        <v>56749</v>
      </c>
      <c r="J10" s="683">
        <v>0</v>
      </c>
      <c r="K10" s="1442">
        <f>(H10+I10)-J10</f>
        <v>1379642</v>
      </c>
      <c r="L10" s="1442">
        <f>F10-K10</f>
        <v>569836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1498529</v>
      </c>
      <c r="D12" s="1771">
        <v>0</v>
      </c>
      <c r="E12" s="1771">
        <v>0</v>
      </c>
      <c r="F12" s="1765">
        <f>(C12+D12)-E12</f>
        <v>1498529</v>
      </c>
      <c r="G12" s="681">
        <v>10</v>
      </c>
      <c r="H12" s="619">
        <v>1419427</v>
      </c>
      <c r="I12" s="619">
        <v>3680</v>
      </c>
      <c r="J12" s="619">
        <v>0</v>
      </c>
      <c r="K12" s="1442">
        <f>(H12+I12)-J12</f>
        <v>1423107</v>
      </c>
      <c r="L12" s="1442">
        <f>F12-K12</f>
        <v>75422</v>
      </c>
    </row>
    <row r="13" spans="1:14" ht="14.25" thickTop="1" thickBot="1" x14ac:dyDescent="0.25">
      <c r="A13" s="684" t="s">
        <v>1112</v>
      </c>
      <c r="B13" s="679">
        <v>252</v>
      </c>
      <c r="C13" s="1771">
        <v>3196178</v>
      </c>
      <c r="D13" s="1771">
        <v>13888</v>
      </c>
      <c r="E13" s="1771">
        <v>0</v>
      </c>
      <c r="F13" s="1765">
        <f>(C13+D13)-E13</f>
        <v>3210066</v>
      </c>
      <c r="G13" s="681">
        <v>5</v>
      </c>
      <c r="H13" s="619">
        <v>3136695</v>
      </c>
      <c r="I13" s="619">
        <v>21397</v>
      </c>
      <c r="J13" s="619">
        <v>0</v>
      </c>
      <c r="K13" s="1442">
        <f>(H13+I13)-J13</f>
        <v>3158092</v>
      </c>
      <c r="L13" s="1442">
        <f>F13-K13</f>
        <v>51974</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13863625</v>
      </c>
      <c r="D16" s="1765">
        <f>SUM(D3,D5:D6,D8:D10,D12:D15)</f>
        <v>5499692</v>
      </c>
      <c r="E16" s="1765">
        <f>SUM(E3,E5:E6,E8:E10,E12:E15)</f>
        <v>0</v>
      </c>
      <c r="F16" s="1765">
        <f>SUM(F3,F5:F6,F8:F10,F12:F15)</f>
        <v>19363317</v>
      </c>
      <c r="G16" s="681"/>
      <c r="H16" s="1435">
        <f>SUM(H3,H6,H8:H10,H12:H14,)</f>
        <v>10030358</v>
      </c>
      <c r="I16" s="1435">
        <f>SUM(I3,I6,I8:I10,I12:I14,)</f>
        <v>188733</v>
      </c>
      <c r="J16" s="1435">
        <f>SUM(J3,J6,J8:J10,J12:J14,)</f>
        <v>0</v>
      </c>
      <c r="K16" s="1435">
        <f>(H16+I16)-J16</f>
        <v>10219091</v>
      </c>
      <c r="L16" s="1435">
        <f>F16-K16</f>
        <v>9144226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188733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ageMargins left="0.25" right="0.17" top="1.1000000000000001" bottom="0.66" header="0.64"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7362719</v>
      </c>
      <c r="G8" s="701"/>
    </row>
    <row r="9" spans="1:9" x14ac:dyDescent="0.2">
      <c r="A9" s="705" t="s">
        <v>457</v>
      </c>
      <c r="B9" s="706" t="s">
        <v>1848</v>
      </c>
      <c r="C9" s="707"/>
      <c r="D9" s="705" t="s">
        <v>498</v>
      </c>
      <c r="E9" s="704"/>
      <c r="F9" s="1775">
        <f>'Expenditures 15-22'!K151</f>
        <v>797705</v>
      </c>
      <c r="G9" s="708"/>
    </row>
    <row r="10" spans="1:9" x14ac:dyDescent="0.2">
      <c r="A10" s="705" t="s">
        <v>496</v>
      </c>
      <c r="B10" s="706" t="s">
        <v>1849</v>
      </c>
      <c r="C10" s="707"/>
      <c r="D10" s="705" t="s">
        <v>498</v>
      </c>
      <c r="E10" s="704"/>
      <c r="F10" s="1775">
        <f>'Expenditures 15-22'!K174</f>
        <v>1431574</v>
      </c>
      <c r="G10" s="708"/>
    </row>
    <row r="11" spans="1:9" x14ac:dyDescent="0.2">
      <c r="A11" s="705" t="s">
        <v>458</v>
      </c>
      <c r="B11" s="706" t="s">
        <v>1850</v>
      </c>
      <c r="C11" s="707"/>
      <c r="D11" s="705" t="s">
        <v>498</v>
      </c>
      <c r="E11" s="704"/>
      <c r="F11" s="1775">
        <f>'Expenditures 15-22'!K210</f>
        <v>571726</v>
      </c>
      <c r="G11" s="708"/>
    </row>
    <row r="12" spans="1:9" x14ac:dyDescent="0.2">
      <c r="A12" s="705" t="s">
        <v>459</v>
      </c>
      <c r="B12" s="706" t="s">
        <v>1851</v>
      </c>
      <c r="C12" s="707"/>
      <c r="D12" s="705" t="s">
        <v>498</v>
      </c>
      <c r="E12" s="704"/>
      <c r="F12" s="1775">
        <f>'Expenditures 15-22'!K295</f>
        <v>302830</v>
      </c>
      <c r="G12" s="708"/>
    </row>
    <row r="13" spans="1:9" x14ac:dyDescent="0.2">
      <c r="A13" s="705" t="s">
        <v>106</v>
      </c>
      <c r="B13" s="706" t="s">
        <v>1852</v>
      </c>
      <c r="C13" s="707"/>
      <c r="D13" s="705" t="s">
        <v>498</v>
      </c>
      <c r="E13" s="704"/>
      <c r="F13" s="1775">
        <f>'Expenditures 15-22'!K342</f>
        <v>158958</v>
      </c>
      <c r="G13" s="709"/>
    </row>
    <row r="14" spans="1:9" ht="12" customHeight="1" thickBot="1" x14ac:dyDescent="0.25">
      <c r="A14" s="1443"/>
      <c r="B14" s="1444"/>
      <c r="C14" s="1445"/>
      <c r="D14" s="1446" t="s">
        <v>498</v>
      </c>
      <c r="E14" s="1447" t="s">
        <v>952</v>
      </c>
      <c r="F14" s="1776">
        <f>SUM(F8:F13)</f>
        <v>10625512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395028</v>
      </c>
      <c r="G53" s="701"/>
    </row>
    <row r="54" spans="1:7" x14ac:dyDescent="0.2">
      <c r="A54" s="705" t="s">
        <v>456</v>
      </c>
      <c r="B54" s="705" t="s">
        <v>1459</v>
      </c>
      <c r="C54" s="724" t="s">
        <v>975</v>
      </c>
      <c r="D54" s="720" t="s">
        <v>1086</v>
      </c>
      <c r="E54" s="704"/>
      <c r="F54" s="1782">
        <f>'Expenditures 15-22'!G114</f>
        <v>166889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824000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68409</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1454326</v>
      </c>
      <c r="G77" s="701"/>
    </row>
    <row r="78" spans="1:9" s="728" customFormat="1" ht="12" customHeight="1" thickTop="1" thickBot="1" x14ac:dyDescent="0.25">
      <c r="A78" s="1450"/>
      <c r="B78" s="1448"/>
      <c r="C78" s="1445"/>
      <c r="D78" s="1449" t="s">
        <v>2012</v>
      </c>
      <c r="E78" s="1447"/>
      <c r="F78" s="1788">
        <f>(F14-F77)</f>
        <v>9171186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642.79999999999995</v>
      </c>
      <c r="G79" s="733"/>
      <c r="H79" s="705"/>
      <c r="I79" s="705"/>
    </row>
    <row r="80" spans="1:9" s="728" customFormat="1" ht="12" customHeight="1" thickBot="1" x14ac:dyDescent="0.25">
      <c r="A80" s="1452"/>
      <c r="B80" s="1448"/>
      <c r="C80" s="1445"/>
      <c r="D80" s="1449" t="s">
        <v>2013</v>
      </c>
      <c r="E80" s="1447" t="s">
        <v>952</v>
      </c>
      <c r="F80" s="1790">
        <f>IF(F79&gt;0,F78/F79," Complete Line 79")</f>
        <v>14267.557560672061</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83700</v>
      </c>
      <c r="G95" s="745"/>
    </row>
    <row r="96" spans="1:7" x14ac:dyDescent="0.2">
      <c r="A96" s="741" t="s">
        <v>139</v>
      </c>
      <c r="B96" s="741" t="s">
        <v>174</v>
      </c>
      <c r="C96" s="743">
        <v>1700</v>
      </c>
      <c r="D96" s="751" t="str">
        <f>'Revenues 9-14'!A82</f>
        <v>Total District/School Activity Income</v>
      </c>
      <c r="E96" s="739"/>
      <c r="F96" s="1793">
        <f>SUM('Revenues 9-14'!C82,'Revenues 9-14'!D82)</f>
        <v>44314</v>
      </c>
      <c r="G96" s="745"/>
    </row>
    <row r="97" spans="1:7" x14ac:dyDescent="0.2">
      <c r="A97" s="741" t="s">
        <v>456</v>
      </c>
      <c r="B97" s="741" t="s">
        <v>175</v>
      </c>
      <c r="C97" s="743">
        <f>'Revenues 9-14'!B84</f>
        <v>1811</v>
      </c>
      <c r="D97" s="744" t="str">
        <f>'Revenues 9-14'!A84</f>
        <v>Rentals - Regular Textbooks</v>
      </c>
      <c r="E97" s="739"/>
      <c r="F97" s="1793">
        <f>'Revenues 9-14'!C84</f>
        <v>29020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20382</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9238</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24821</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1656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5751</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305061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780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167953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149658</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4722</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35245</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41499</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54677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35872</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211958</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1277057</v>
      </c>
    </row>
    <row r="176" spans="1:7" ht="12" customHeight="1" x14ac:dyDescent="0.2">
      <c r="A176" s="1443"/>
      <c r="B176" s="1453"/>
      <c r="C176" s="1454"/>
      <c r="D176" s="1455" t="s">
        <v>2014</v>
      </c>
      <c r="E176" s="1456"/>
      <c r="F176" s="1793">
        <f>'PCTC-OEPP 27-28'!F78-F175</f>
        <v>7894129</v>
      </c>
    </row>
    <row r="177" spans="1:9" ht="12" customHeight="1" x14ac:dyDescent="0.2">
      <c r="A177" s="1443"/>
      <c r="B177" s="1453"/>
      <c r="C177" s="1454"/>
      <c r="D177" s="1455" t="s">
        <v>1794</v>
      </c>
      <c r="E177" s="1456"/>
      <c r="F177" s="1793">
        <f>'Cap Outlay Deprec 26'!I18</f>
        <v>188733</v>
      </c>
    </row>
    <row r="178" spans="1:9" ht="12" customHeight="1" x14ac:dyDescent="0.2">
      <c r="A178" s="1443"/>
      <c r="B178" s="1453"/>
      <c r="C178" s="1454"/>
      <c r="D178" s="1455" t="s">
        <v>2015</v>
      </c>
      <c r="E178" s="1456"/>
      <c r="F178" s="1793">
        <f>F176+F177</f>
        <v>8082862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642.79999999999995</v>
      </c>
      <c r="G179" s="763"/>
      <c r="I179" s="701"/>
    </row>
    <row r="180" spans="1:9" ht="12" customHeight="1" thickBot="1" x14ac:dyDescent="0.25">
      <c r="A180" s="1443"/>
      <c r="B180" s="1457"/>
      <c r="C180" s="1454"/>
      <c r="D180" s="1455" t="s">
        <v>2017</v>
      </c>
      <c r="E180" s="1456" t="s">
        <v>1528</v>
      </c>
      <c r="F180" s="1798">
        <f>F178/F179</f>
        <v>12574.458618543871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ageMargins left="0.79"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18" sqref="D18"/>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2077</v>
      </c>
      <c r="B18" s="1908"/>
      <c r="C18" s="2036" t="s">
        <v>2077</v>
      </c>
      <c r="D18" s="1886">
        <v>0</v>
      </c>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75" bottom="0.25" header="0.55000000000000004"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112195</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37276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4797389</v>
      </c>
      <c r="F19" s="1802"/>
      <c r="G19" s="1804">
        <f>'Expenditures 15-22'!K33-SUM('Expenditures 15-22'!G33,'Expenditures 15-22'!I33)+'Expenditures 15-22'!D229</f>
        <v>4797389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316193</v>
      </c>
      <c r="F21" s="1805"/>
      <c r="G21" s="1808">
        <f>'Expenditures 15-22'!K42-SUM('Expenditures 15-22'!G42,'Expenditures 15-22'!I42)+'Expenditures 15-22'!K120-SUM('Expenditures 15-22'!G120,'Expenditures 15-22'!I120)+'Expenditures 15-22'!K180-SUM('Expenditures 15-22'!G180,'Expenditures 15-22'!I180)+'Expenditures 15-22'!D238</f>
        <v>316193</v>
      </c>
      <c r="H21" s="817"/>
      <c r="I21" s="157"/>
    </row>
    <row r="22" spans="1:9" s="542" customFormat="1" ht="12" customHeight="1" x14ac:dyDescent="0.2">
      <c r="A22" s="824" t="s">
        <v>560</v>
      </c>
      <c r="B22" s="825"/>
      <c r="C22" s="823">
        <v>2200</v>
      </c>
      <c r="D22" s="1805"/>
      <c r="E22" s="1807">
        <f>'Expenditures 15-22'!K47-SUM('Expenditures 15-22'!G47,'Expenditures 15-22'!I47)+'Expenditures 15-22'!D243</f>
        <v>236831</v>
      </c>
      <c r="F22" s="1805"/>
      <c r="G22" s="1808">
        <f>'Expenditures 15-22'!K47-SUM('Expenditures 15-22'!G47,'Expenditures 15-22'!I47)+'Expenditures 15-22'!D243</f>
        <v>236831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735312</v>
      </c>
      <c r="F23" s="1805"/>
      <c r="G23" s="1807">
        <f>'Expenditures 15-22'!K53-SUM('Expenditures 15-22'!G53,'Expenditures 15-22'!I53)+'Expenditures 15-22'!D257+'Expenditures 15-22'!K330-SUM('Expenditures 15-22'!G330,'Expenditures 15-22'!I330)</f>
        <v>735312</v>
      </c>
      <c r="H23" s="817"/>
      <c r="I23" s="157"/>
    </row>
    <row r="24" spans="1:9" s="542" customFormat="1" ht="12" customHeight="1" x14ac:dyDescent="0.2">
      <c r="A24" s="824" t="s">
        <v>562</v>
      </c>
      <c r="B24" s="825"/>
      <c r="C24" s="823">
        <v>2400</v>
      </c>
      <c r="D24" s="1805"/>
      <c r="E24" s="1807">
        <f>'Expenditures 15-22'!K57-SUM('Expenditures 15-22'!G57,'Expenditures 15-22'!I57)+'Expenditures 15-22'!D261</f>
        <v>592285</v>
      </c>
      <c r="F24" s="1805"/>
      <c r="G24" s="1808">
        <f>'Expenditures 15-22'!K57-SUM('Expenditures 15-22'!G57,'Expenditures 15-22'!I57)+'Expenditures 15-22'!D261</f>
        <v>592285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119488</v>
      </c>
      <c r="E27" s="1807">
        <f>E8</f>
        <v>0</v>
      </c>
      <c r="F27" s="1807">
        <f>'Expenditures 15-22'!K60-SUM('Expenditures 15-22'!G60,'Expenditures 15-22'!I60)+'Expenditures 15-22'!D264-E8</f>
        <v>119488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870053</v>
      </c>
      <c r="F28" s="1809">
        <f>'Expenditures 15-22'!K61-SUM('Expenditures 15-22'!G61,'Expenditures 15-22'!I61)+'Expenditures 15-22'!K124-SUM('Expenditures 15-22'!G124,'Expenditures 15-22'!I124)+'Expenditures 15-22'!D266-E9</f>
        <v>870053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546033</v>
      </c>
      <c r="F29" s="1805"/>
      <c r="G29" s="1808">
        <f>'Expenditures 15-22'!K62-SUM('Expenditures 15-22'!G62,'Expenditures 15-22'!I62)+'Expenditures 15-22'!K125-SUM('Expenditures 15-22'!G125,'Expenditures 15-22'!I125)+'Expenditures 15-22'!K182-SUM('Expenditures 15-22'!G182,'Expenditures 15-22'!I182)+'Expenditures 15-22'!D267</f>
        <v>546033</v>
      </c>
      <c r="H29" s="815"/>
    </row>
    <row r="30" spans="1:9" ht="12" customHeight="1" x14ac:dyDescent="0.2">
      <c r="A30" s="824" t="s">
        <v>100</v>
      </c>
      <c r="B30" s="827"/>
      <c r="C30" s="823">
        <v>2560</v>
      </c>
      <c r="D30" s="1805"/>
      <c r="E30" s="1807">
        <f>'Expenditures 15-22'!K63-SUM('Expenditures 15-22'!G63,'Expenditures 15-22'!I63)+'Expenditures 15-22'!D268-E10</f>
        <v>237833</v>
      </c>
      <c r="F30" s="1805"/>
      <c r="G30" s="1807">
        <f>'Expenditures 15-22'!K63-SUM('Expenditures 15-22'!G63,'Expenditures 15-22'!I63)+'Expenditures 15-22'!D268-E10</f>
        <v>237833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119488</v>
      </c>
      <c r="E41" s="1809">
        <f>SUM(E19:E40)</f>
        <v>8331929</v>
      </c>
      <c r="F41" s="1809">
        <f>SUM(F19:F39)</f>
        <v>989541</v>
      </c>
      <c r="G41" s="1809">
        <f>SUM(G19:G40)</f>
        <v>7461876</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119488</v>
      </c>
      <c r="F43" s="1458" t="s">
        <v>470</v>
      </c>
      <c r="G43" s="1810">
        <f>F41</f>
        <v>989541</v>
      </c>
    </row>
    <row r="44" spans="1:7" ht="12" customHeight="1" x14ac:dyDescent="0.2">
      <c r="A44" s="817"/>
      <c r="B44" s="157"/>
      <c r="C44" s="831"/>
      <c r="D44" s="1458" t="s">
        <v>471</v>
      </c>
      <c r="E44" s="1810">
        <f>E41</f>
        <v>8331929</v>
      </c>
      <c r="F44" s="1458" t="s">
        <v>471</v>
      </c>
      <c r="G44" s="1810">
        <f>G41</f>
        <v>7461876</v>
      </c>
    </row>
    <row r="45" spans="1:7" ht="12" customHeight="1" x14ac:dyDescent="0.2">
      <c r="A45" s="817"/>
      <c r="B45" s="157"/>
      <c r="C45" s="157"/>
      <c r="D45" s="1459" t="s">
        <v>999</v>
      </c>
      <c r="E45" s="1811">
        <f>(E43/E44)</f>
        <v>1.434097674140046E-2</v>
      </c>
      <c r="F45" s="1459" t="s">
        <v>999</v>
      </c>
      <c r="G45" s="1811">
        <f>(G43/G44)</f>
        <v>0.1326128978825164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8" bottom="0.34" header="0.55000000000000004"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27" sqref="F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Amboy CUSD 272</v>
      </c>
      <c r="D6" s="2415"/>
      <c r="E6" s="2415"/>
      <c r="F6" s="1482"/>
      <c r="G6" s="1507"/>
      <c r="L6" s="1507"/>
      <c r="M6" s="1855"/>
      <c r="N6" s="1855"/>
      <c r="O6" s="1855"/>
    </row>
    <row r="7" spans="1:15" ht="11.25" customHeight="1" thickBot="1" x14ac:dyDescent="0.3">
      <c r="A7" s="1480"/>
      <c r="B7" s="1481"/>
      <c r="C7" s="2416">
        <f>COVER!A13</f>
        <v>47052272026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2075</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C79" sqref="C79"/>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Amboy CUSD 272</v>
      </c>
      <c r="K6" s="2437"/>
      <c r="L6" s="2451"/>
      <c r="M6" s="838"/>
      <c r="N6" s="1998"/>
    </row>
    <row r="7" spans="1:14" x14ac:dyDescent="0.2">
      <c r="A7" s="2452" t="s">
        <v>864</v>
      </c>
      <c r="B7" s="2453"/>
      <c r="C7" s="2453"/>
      <c r="D7" s="2453"/>
      <c r="E7" s="2454"/>
      <c r="F7" s="839"/>
      <c r="G7" s="838"/>
      <c r="H7" s="838"/>
      <c r="I7" s="1924" t="s">
        <v>369</v>
      </c>
      <c r="J7" s="2439">
        <f>COVER!A13</f>
        <v>47052272026</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204513</v>
      </c>
      <c r="F12" s="1942"/>
      <c r="G12" s="1968">
        <f>G68</f>
        <v>0</v>
      </c>
      <c r="H12" s="1944">
        <f t="shared" ref="H12:H18" si="0">SUM(E12:G12)</f>
        <v>204513</v>
      </c>
      <c r="I12" s="1943">
        <v>208895</v>
      </c>
      <c r="J12" s="1942"/>
      <c r="K12" s="1943"/>
      <c r="L12" s="1944">
        <f t="shared" ref="L12:L18" si="1">SUM(I12:K12)</f>
        <v>208895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26750</v>
      </c>
      <c r="F15" s="1944">
        <f>'Expenditures 15-22'!K122</f>
        <v>0</v>
      </c>
      <c r="G15" s="1968">
        <f>J68</f>
        <v>0</v>
      </c>
      <c r="H15" s="1944">
        <f t="shared" si="0"/>
        <v>26750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231263</v>
      </c>
      <c r="F19" s="1950">
        <f t="shared" si="2"/>
        <v>0</v>
      </c>
      <c r="G19" s="1950">
        <f t="shared" ref="G19" si="3">SUM(G12:G17)-G18</f>
        <v>0</v>
      </c>
      <c r="H19" s="1950">
        <f t="shared" si="2"/>
        <v>231263</v>
      </c>
      <c r="I19" s="1950">
        <f t="shared" si="2"/>
        <v>208895</v>
      </c>
      <c r="J19" s="1950">
        <f t="shared" si="2"/>
        <v>0</v>
      </c>
      <c r="K19" s="1950">
        <f t="shared" si="2"/>
        <v>0</v>
      </c>
      <c r="L19" s="1950">
        <f t="shared" si="2"/>
        <v>208895</v>
      </c>
      <c r="M19" s="838"/>
      <c r="N19" s="1998"/>
    </row>
    <row r="20" spans="1:14" ht="13.5" thickTop="1" x14ac:dyDescent="0.2">
      <c r="A20" s="2003">
        <v>9</v>
      </c>
      <c r="B20" s="2461" t="s">
        <v>2021</v>
      </c>
      <c r="C20" s="2461"/>
      <c r="D20" s="2462"/>
      <c r="E20" s="1951"/>
      <c r="F20" s="1951"/>
      <c r="G20" s="1951"/>
      <c r="H20" s="1951"/>
      <c r="I20" s="1951"/>
      <c r="J20" s="1951"/>
      <c r="K20" s="1951"/>
      <c r="L20" s="1952">
        <f>IF(AND(H19&gt;0,L19&gt;0),(((L19-H19)/H19)),"Enter Budget Data")</f>
        <v>-9.6721049195072281E-2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t="s">
        <v>2056</v>
      </c>
      <c r="D29" s="2466"/>
      <c r="E29" s="845"/>
      <c r="F29" s="2466" t="s">
        <v>2076</v>
      </c>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Amboy CUSD 272</v>
      </c>
      <c r="M52" s="2437"/>
      <c r="N52" s="2438"/>
    </row>
    <row r="53" spans="1:14" x14ac:dyDescent="0.2">
      <c r="A53" s="1982"/>
      <c r="B53" s="1983"/>
      <c r="C53" s="1983"/>
      <c r="D53" s="1983"/>
      <c r="E53" s="1983"/>
      <c r="F53" s="1983"/>
      <c r="G53" s="1983"/>
      <c r="H53" s="1983"/>
      <c r="I53" s="1983"/>
      <c r="J53" s="1983"/>
      <c r="K53" s="1924" t="s">
        <v>369</v>
      </c>
      <c r="L53" s="2439">
        <f>J7</f>
        <v>47052272026</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49878</v>
      </c>
      <c r="F58" s="1972"/>
      <c r="G58" s="2031"/>
      <c r="H58" s="2032"/>
      <c r="I58" s="2032"/>
      <c r="J58" s="2032"/>
      <c r="K58" s="2032"/>
      <c r="L58" s="2032"/>
      <c r="M58" s="2032">
        <v>49878</v>
      </c>
      <c r="N58" s="1975">
        <f>IF((SUM(G58:M58))=E58,SUM(G58:M58),"Column N does not agree with Column E")</f>
        <v>49878</v>
      </c>
    </row>
    <row r="59" spans="1:14" ht="24.75" customHeight="1" x14ac:dyDescent="0.2">
      <c r="A59" s="2419" t="s">
        <v>297</v>
      </c>
      <c r="B59" s="2420"/>
      <c r="C59" s="2420"/>
      <c r="D59" s="1967">
        <v>2363</v>
      </c>
      <c r="E59" s="1977">
        <f>'Expenditures 15-22'!K321</f>
        <v>3356</v>
      </c>
      <c r="F59" s="1972"/>
      <c r="G59" s="2031"/>
      <c r="H59" s="2032"/>
      <c r="I59" s="2032"/>
      <c r="J59" s="2032"/>
      <c r="K59" s="2032"/>
      <c r="L59" s="2032"/>
      <c r="M59" s="2032">
        <v>3356</v>
      </c>
      <c r="N59" s="1975">
        <f>IF((SUM(G59:M59))=E59,SUM(G59:M59),"Column N does not agree with Column E")</f>
        <v>3356</v>
      </c>
    </row>
    <row r="60" spans="1:14" ht="24" customHeight="1" x14ac:dyDescent="0.2">
      <c r="A60" s="2419" t="s">
        <v>236</v>
      </c>
      <c r="B60" s="2420"/>
      <c r="C60" s="2420"/>
      <c r="D60" s="1967">
        <v>2364</v>
      </c>
      <c r="E60" s="1977">
        <f>'Expenditures 15-22'!K322</f>
        <v>91267</v>
      </c>
      <c r="F60" s="1972"/>
      <c r="G60" s="2031"/>
      <c r="H60" s="2032"/>
      <c r="I60" s="2032"/>
      <c r="J60" s="2032"/>
      <c r="K60" s="2032"/>
      <c r="L60" s="2032"/>
      <c r="M60" s="2032">
        <v>91267</v>
      </c>
      <c r="N60" s="1975">
        <f t="shared" ref="N60:N67" si="4">IF((SUM(G60:M60))=E60,SUM(G60:M60),"Column N does not agree with Column E")</f>
        <v>91267</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14457</v>
      </c>
      <c r="F63" s="1972"/>
      <c r="G63" s="2031"/>
      <c r="H63" s="2032"/>
      <c r="I63" s="2032"/>
      <c r="J63" s="2032"/>
      <c r="K63" s="2032"/>
      <c r="L63" s="2032"/>
      <c r="M63" s="2032">
        <v>14457</v>
      </c>
      <c r="N63" s="1975">
        <f t="shared" si="4"/>
        <v>14457</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0</v>
      </c>
      <c r="F65" s="1972"/>
      <c r="G65" s="2031"/>
      <c r="H65" s="2032"/>
      <c r="I65" s="2032"/>
      <c r="J65" s="2032"/>
      <c r="K65" s="2032"/>
      <c r="L65" s="2032"/>
      <c r="M65" s="2032"/>
      <c r="N65" s="1975">
        <f t="shared" si="4"/>
        <v>0</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2042</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158958</v>
      </c>
      <c r="F68" s="1973"/>
      <c r="G68" s="1974">
        <f t="shared" ref="G68:N68" si="5">SUM(G57:G67)</f>
        <v>0</v>
      </c>
      <c r="H68" s="1974">
        <f t="shared" si="5"/>
        <v>0</v>
      </c>
      <c r="I68" s="1974">
        <f t="shared" si="5"/>
        <v>0</v>
      </c>
      <c r="J68" s="1974">
        <f t="shared" si="5"/>
        <v>0</v>
      </c>
      <c r="K68" s="1974">
        <f t="shared" si="5"/>
        <v>0</v>
      </c>
      <c r="L68" s="1974">
        <f t="shared" si="5"/>
        <v>0</v>
      </c>
      <c r="M68" s="1974">
        <f t="shared" si="5"/>
        <v>158958</v>
      </c>
      <c r="N68" s="1988">
        <f t="shared" si="5"/>
        <v>158958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75" bottom="0.25" header="0.55000000000000004"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B15" sqref="B1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2079</v>
      </c>
    </row>
    <row r="6" spans="1:2" x14ac:dyDescent="0.2">
      <c r="A6" s="847">
        <v>2</v>
      </c>
      <c r="B6" s="307" t="s">
        <v>2080</v>
      </c>
    </row>
    <row r="7" spans="1:2" x14ac:dyDescent="0.2">
      <c r="A7" s="847">
        <v>3</v>
      </c>
      <c r="B7" s="307" t="s">
        <v>2081</v>
      </c>
    </row>
    <row r="8" spans="1:2" x14ac:dyDescent="0.2">
      <c r="A8" s="847">
        <v>4</v>
      </c>
      <c r="B8" s="307" t="s">
        <v>2084</v>
      </c>
    </row>
    <row r="9" spans="1:2" x14ac:dyDescent="0.2">
      <c r="A9" s="847">
        <v>5</v>
      </c>
      <c r="B9" s="307" t="s">
        <v>2083</v>
      </c>
    </row>
    <row r="10" spans="1:2" x14ac:dyDescent="0.2">
      <c r="A10" s="847">
        <v>6</v>
      </c>
      <c r="B10" s="307" t="s">
        <v>2082</v>
      </c>
    </row>
    <row r="11" spans="1:2" x14ac:dyDescent="0.2">
      <c r="A11" s="848"/>
    </row>
    <row r="12" spans="1:2" x14ac:dyDescent="0.2">
      <c r="A12" s="848"/>
      <c r="B12" s="307" t="s">
        <v>2085</v>
      </c>
    </row>
    <row r="13" spans="1:2" x14ac:dyDescent="0.2">
      <c r="A13" s="848"/>
      <c r="B13" s="307" t="s">
        <v>2086</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Amboy CUSD 272</v>
      </c>
    </row>
    <row r="65" spans="2:2" x14ac:dyDescent="0.2">
      <c r="B65" s="849">
        <f>COVER!A13</f>
        <v>47052272026</v>
      </c>
    </row>
  </sheetData>
  <phoneticPr fontId="16" type="noConversion"/>
  <pageMargins left="0.7" right="0.2" top="1.17" bottom="0.75" header="0.69" footer="0.16"/>
  <pageSetup scale="79" firstPageNumber="34" orientation="portrait" useFirstPageNumber="1" horizontalDpi="300" verticalDpi="300"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65" right="0" top="1" bottom="1" header="0.75" footer="0.5"/>
  <pageSetup scale="80" firstPageNumber="35" orientation="portrait" useFirstPageNumber="1" horizontalDpi="300" verticalDpi="300"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7230231</v>
      </c>
      <c r="C8" s="1813">
        <f>'Acct Summary 7-8'!D8</f>
        <v>1036369</v>
      </c>
      <c r="D8" s="1813">
        <f>'Acct Summary 7-8'!F8</f>
        <v>893936</v>
      </c>
      <c r="E8" s="1813">
        <f>'Acct Summary 7-8'!I8</f>
        <v>72425</v>
      </c>
      <c r="F8" s="1813">
        <f>SUM(B8:E8)</f>
        <v>9232961</v>
      </c>
    </row>
    <row r="9" spans="1:8" s="858" customFormat="1" ht="14.25" customHeight="1" thickBot="1" x14ac:dyDescent="0.25">
      <c r="A9" s="857" t="s">
        <v>1353</v>
      </c>
      <c r="B9" s="1814">
        <f>'Acct Summary 7-8'!C17</f>
        <v>7362719</v>
      </c>
      <c r="C9" s="1814">
        <f>'Acct Summary 7-8'!D17</f>
        <v>797705</v>
      </c>
      <c r="D9" s="1814">
        <f>'Acct Summary 7-8'!F17</f>
        <v>571726</v>
      </c>
      <c r="E9" s="1813"/>
      <c r="F9" s="1813">
        <f>SUM(B9:E9)</f>
        <v>8732150</v>
      </c>
    </row>
    <row r="10" spans="1:8" s="858" customFormat="1" ht="14.25" thickTop="1" thickBot="1" x14ac:dyDescent="0.25">
      <c r="A10" s="859" t="s">
        <v>1354</v>
      </c>
      <c r="B10" s="1815">
        <f>(B8-B9)</f>
        <v>-132488</v>
      </c>
      <c r="C10" s="1815">
        <f>(C8-C9)</f>
        <v>238664</v>
      </c>
      <c r="D10" s="1815">
        <f>(D8-D9)</f>
        <v>322210</v>
      </c>
      <c r="E10" s="1814">
        <f>(E8-E9)</f>
        <v>72425</v>
      </c>
      <c r="F10" s="1816">
        <f>SUM(F8-F9)</f>
        <v>500811</v>
      </c>
    </row>
    <row r="11" spans="1:8" s="858" customFormat="1" ht="14.25" thickTop="1" thickBot="1" x14ac:dyDescent="0.25">
      <c r="A11" s="860" t="s">
        <v>1903</v>
      </c>
      <c r="B11" s="1817">
        <f>'Acct Summary 7-8'!C81</f>
        <v>3772137</v>
      </c>
      <c r="C11" s="1817">
        <f>'Acct Summary 7-8'!D81</f>
        <v>2433698</v>
      </c>
      <c r="D11" s="1817">
        <f>'Acct Summary 7-8'!F81</f>
        <v>968652</v>
      </c>
      <c r="E11" s="1817">
        <f>'Acct Summary 7-8'!I81</f>
        <v>1118870</v>
      </c>
      <c r="F11" s="1818">
        <f>SUM(B11:E11)</f>
        <v>8293357</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ageMargins left="0.75" right="0.75" top="1" bottom="1" header="0.75" footer="0.5"/>
  <pageSetup firstPageNumber="37" fitToHeight="0" orientation="landscape" useFirstPageNumber="1" horizontalDpi="300" verticalDpi="300"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election activeCell="N45" sqref="N4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ERROR!</v>
      </c>
    </row>
    <row r="69" spans="1:4" x14ac:dyDescent="0.2">
      <c r="A69" s="879"/>
      <c r="B69" s="889"/>
      <c r="C69" s="881" t="s">
        <v>1882</v>
      </c>
      <c r="D69" s="903" t="str">
        <f>IF('Expenditures 15-22'!H170&lt;&gt;'Short-Term Long-Term Debt 24'!H49,"ERROR!","OK")</f>
        <v>ERROR!</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47052272026</v>
      </c>
      <c r="E2" s="1542">
        <v>2020</v>
      </c>
      <c r="F2" s="1542">
        <v>1</v>
      </c>
      <c r="G2" s="1899">
        <v>101000300</v>
      </c>
    </row>
    <row r="3" spans="1:7" ht="15" x14ac:dyDescent="0.25">
      <c r="A3" t="s">
        <v>950</v>
      </c>
      <c r="B3" s="135" t="str">
        <f>COVER!A15</f>
        <v>Lee</v>
      </c>
      <c r="E3" s="1830" t="s">
        <v>1971</v>
      </c>
      <c r="F3" s="1830" t="s">
        <v>1970</v>
      </c>
      <c r="G3" s="1899">
        <v>101000400</v>
      </c>
    </row>
    <row r="4" spans="1:7" ht="15" x14ac:dyDescent="0.25">
      <c r="A4" t="s">
        <v>1000</v>
      </c>
      <c r="B4" s="135" t="str">
        <f>COVER!A17</f>
        <v xml:space="preserve">   Amboy CUSD 272</v>
      </c>
      <c r="E4" s="1828">
        <v>44119</v>
      </c>
      <c r="F4" s="1829">
        <v>44151</v>
      </c>
      <c r="G4" s="1899">
        <v>101000600</v>
      </c>
    </row>
    <row r="5" spans="1:7" ht="15" x14ac:dyDescent="0.25">
      <c r="A5" t="s">
        <v>699</v>
      </c>
      <c r="B5" s="135" t="str">
        <f>COVER!A38</f>
        <v>Joshua Nichols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065-031649</v>
      </c>
      <c r="G15" s="1899">
        <v>402100400</v>
      </c>
    </row>
    <row r="16" spans="1:7" ht="15" x14ac:dyDescent="0.25">
      <c r="A16" t="s">
        <v>419</v>
      </c>
      <c r="B16" s="135" t="str">
        <f>COVER!T13</f>
        <v>Winkel, Parker &amp; Foster, CPA PC</v>
      </c>
      <c r="G16" s="1899">
        <v>402100600</v>
      </c>
    </row>
    <row r="17" spans="1:7" ht="15" x14ac:dyDescent="0.25">
      <c r="A17" t="s">
        <v>878</v>
      </c>
      <c r="B17" s="135" t="str">
        <f>COVER!T15</f>
        <v>Claire E. Buyert, CPA</v>
      </c>
      <c r="G17" s="1899">
        <v>402100800</v>
      </c>
    </row>
    <row r="18" spans="1:7" ht="15" x14ac:dyDescent="0.25">
      <c r="A18" t="s">
        <v>1140</v>
      </c>
      <c r="B18" s="135" t="str">
        <f>COVER!T17</f>
        <v>1301 19th Ave NW</v>
      </c>
      <c r="G18" s="1899">
        <v>102200300</v>
      </c>
    </row>
    <row r="19" spans="1:7" ht="15" x14ac:dyDescent="0.25">
      <c r="A19" t="s">
        <v>880</v>
      </c>
      <c r="B19" s="135" t="str">
        <f>COVER!T25</f>
        <v>cbuyert@wpf-cpa.com</v>
      </c>
      <c r="G19" s="1899">
        <v>102200400</v>
      </c>
    </row>
    <row r="20" spans="1:7" ht="15" x14ac:dyDescent="0.25">
      <c r="A20" t="s">
        <v>881</v>
      </c>
      <c r="B20" s="135" t="str">
        <f>COVER!T19</f>
        <v>Clinton</v>
      </c>
      <c r="G20" s="1899">
        <v>102200600</v>
      </c>
    </row>
    <row r="21" spans="1:7" ht="15" x14ac:dyDescent="0.25">
      <c r="A21" t="s">
        <v>476</v>
      </c>
      <c r="B21" s="135" t="str">
        <f>COVER!X19</f>
        <v>IA</v>
      </c>
      <c r="G21" s="1899">
        <v>102200800</v>
      </c>
    </row>
    <row r="22" spans="1:7" ht="15" x14ac:dyDescent="0.25">
      <c r="A22" t="s">
        <v>882</v>
      </c>
      <c r="B22" s="135">
        <f>COVER!Z19</f>
        <v>52732</v>
      </c>
      <c r="G22" s="1899">
        <v>102300300</v>
      </c>
    </row>
    <row r="23" spans="1:7" ht="15" x14ac:dyDescent="0.25">
      <c r="A23" t="s">
        <v>1142</v>
      </c>
      <c r="B23" s="135" t="str">
        <f>COVER!T21</f>
        <v>563-242-3440</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35431</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3772137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3772137</v>
      </c>
      <c r="D92" s="2" t="str">
        <f t="shared" si="0"/>
        <v>Error?</v>
      </c>
      <c r="G92" s="1899">
        <v>102640600</v>
      </c>
    </row>
    <row r="93" spans="1:7" ht="15" x14ac:dyDescent="0.25">
      <c r="A93" s="5">
        <v>32</v>
      </c>
      <c r="B93" s="1832">
        <f>'Assets-Liab 5-6'!C41</f>
        <v>3772137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2433698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2433698</v>
      </c>
      <c r="D123" s="2" t="str">
        <f t="shared" si="0"/>
        <v>Error?</v>
      </c>
      <c r="G123" s="1899">
        <v>203000400</v>
      </c>
    </row>
    <row r="124" spans="1:7" ht="15" x14ac:dyDescent="0.25">
      <c r="A124" s="5">
        <v>63</v>
      </c>
      <c r="B124" s="1832">
        <f>'Assets-Liab 5-6'!D41</f>
        <v>2433698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128355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128355</v>
      </c>
      <c r="D140" s="2" t="str">
        <f t="shared" si="1"/>
        <v>Error?</v>
      </c>
    </row>
    <row r="141" spans="1:7" x14ac:dyDescent="0.2">
      <c r="A141" s="5">
        <v>80</v>
      </c>
      <c r="B141" s="1832">
        <f>'Assets-Liab 5-6'!E41</f>
        <v>128355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968652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968652</v>
      </c>
      <c r="D170" s="2" t="str">
        <f t="shared" si="1"/>
        <v>Error?</v>
      </c>
    </row>
    <row r="171" spans="1:4" x14ac:dyDescent="0.2">
      <c r="A171" s="5">
        <v>110</v>
      </c>
      <c r="B171" s="1832">
        <f>'Assets-Liab 5-6'!F41</f>
        <v>968652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294353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294353</v>
      </c>
      <c r="D189" s="2" t="str">
        <f t="shared" si="1"/>
        <v>Error?</v>
      </c>
    </row>
    <row r="190" spans="1:4" x14ac:dyDescent="0.2">
      <c r="A190" s="5">
        <v>129</v>
      </c>
      <c r="B190" s="1832">
        <f>'Assets-Liab 5-6'!G41</f>
        <v>294353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12005761</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12005761</v>
      </c>
      <c r="D212" s="2" t="str">
        <f t="shared" si="2"/>
        <v>Error?</v>
      </c>
    </row>
    <row r="213" spans="1:4" x14ac:dyDescent="0.2">
      <c r="A213" s="12">
        <v>152</v>
      </c>
      <c r="B213" s="1832">
        <f>'Assets-Liab 5-6'!H41</f>
        <v>12005761</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61600</v>
      </c>
      <c r="D273" s="2" t="str">
        <f t="shared" si="3"/>
        <v>Error?</v>
      </c>
    </row>
    <row r="274" spans="1:4" x14ac:dyDescent="0.2">
      <c r="A274" s="5">
        <v>213</v>
      </c>
      <c r="B274" s="1832">
        <f>'Assets-Liab 5-6'!M17</f>
        <v>13877549</v>
      </c>
      <c r="D274" s="2" t="str">
        <f t="shared" si="3"/>
        <v>Error?</v>
      </c>
    </row>
    <row r="275" spans="1:4" x14ac:dyDescent="0.2">
      <c r="A275" s="5">
        <v>214</v>
      </c>
      <c r="B275" s="1832">
        <f>'Assets-Liab 5-6'!M18</f>
        <v>417378</v>
      </c>
      <c r="D275" s="2" t="str">
        <f t="shared" si="3"/>
        <v>Error?</v>
      </c>
    </row>
    <row r="276" spans="1:4" x14ac:dyDescent="0.2">
      <c r="A276" s="5">
        <v>215</v>
      </c>
      <c r="B276" s="1832">
        <f>'Assets-Liab 5-6'!M19</f>
        <v>5006790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19363317</v>
      </c>
      <c r="C279" s="2" t="s">
        <v>569</v>
      </c>
      <c r="D279" s="2" t="str">
        <f t="shared" si="3"/>
        <v>Error?</v>
      </c>
    </row>
    <row r="280" spans="1:4" x14ac:dyDescent="0.2">
      <c r="A280" s="5">
        <v>219</v>
      </c>
      <c r="B280" s="1832">
        <f>'Assets-Liab 5-6'!M40</f>
        <v>19363317</v>
      </c>
      <c r="D280" s="2" t="str">
        <f t="shared" si="3"/>
        <v>Error?</v>
      </c>
    </row>
    <row r="281" spans="1:4" x14ac:dyDescent="0.2">
      <c r="A281" s="5">
        <v>220</v>
      </c>
      <c r="B281" s="1832">
        <f>'Assets-Liab 5-6'!M41</f>
        <v>19363317</v>
      </c>
      <c r="C281" s="2" t="s">
        <v>569</v>
      </c>
      <c r="D281" s="2" t="str">
        <f t="shared" si="3"/>
        <v>Error?</v>
      </c>
    </row>
    <row r="282" spans="1:4" x14ac:dyDescent="0.2">
      <c r="A282" s="5">
        <v>221</v>
      </c>
      <c r="B282" s="1832">
        <f>'Assets-Liab 5-6'!N21</f>
        <v>128355</v>
      </c>
      <c r="D282" s="2" t="str">
        <f t="shared" si="3"/>
        <v>Error?</v>
      </c>
    </row>
    <row r="283" spans="1:4" x14ac:dyDescent="0.2">
      <c r="A283" s="5">
        <v>222</v>
      </c>
      <c r="B283" s="1832">
        <f>'Assets-Liab 5-6'!N22</f>
        <v>18187132</v>
      </c>
      <c r="D283" s="2" t="str">
        <f t="shared" si="3"/>
        <v>Error?</v>
      </c>
    </row>
    <row r="284" spans="1:4" x14ac:dyDescent="0.2">
      <c r="A284" s="5">
        <v>223</v>
      </c>
      <c r="B284" s="1832">
        <f>'Assets-Liab 5-6'!N23</f>
        <v>18315487</v>
      </c>
      <c r="C284" s="2" t="s">
        <v>569</v>
      </c>
      <c r="D284" s="2" t="str">
        <f t="shared" si="3"/>
        <v>Error?</v>
      </c>
    </row>
    <row r="285" spans="1:4" x14ac:dyDescent="0.2">
      <c r="A285" s="5">
        <v>224</v>
      </c>
      <c r="B285" s="1832">
        <f>'Assets-Liab 5-6'!N36</f>
        <v>18315487</v>
      </c>
      <c r="D285" s="2" t="str">
        <f t="shared" si="3"/>
        <v>Error?</v>
      </c>
    </row>
    <row r="286" spans="1:4" x14ac:dyDescent="0.2">
      <c r="A286" s="10">
        <v>225</v>
      </c>
      <c r="B286" s="1832"/>
      <c r="D286" s="2" t="str">
        <f t="shared" si="3"/>
        <v>OK</v>
      </c>
    </row>
    <row r="287" spans="1:4" x14ac:dyDescent="0.2">
      <c r="A287" s="5">
        <v>226</v>
      </c>
      <c r="B287" s="1832">
        <f>'Assets-Liab 5-6'!N37</f>
        <v>18315487</v>
      </c>
      <c r="C287" s="2" t="s">
        <v>569</v>
      </c>
      <c r="D287" s="2" t="str">
        <f t="shared" si="3"/>
        <v>Error?</v>
      </c>
    </row>
    <row r="288" spans="1:4" x14ac:dyDescent="0.2">
      <c r="A288" s="5">
        <v>227</v>
      </c>
      <c r="B288" s="1832">
        <f>'Assets-Liab 5-6'!N41</f>
        <v>18315487</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1130000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2486096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139962</v>
      </c>
      <c r="D717" s="2" t="str">
        <f t="shared" si="10"/>
        <v>Error?</v>
      </c>
    </row>
    <row r="718" spans="1:4" x14ac:dyDescent="0.2">
      <c r="A718" s="5">
        <v>657</v>
      </c>
      <c r="B718" s="1832">
        <f>'Expenditures 15-22'!C14</f>
        <v>176389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3384990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92008</v>
      </c>
      <c r="D722" s="2" t="str">
        <f t="shared" si="10"/>
        <v>Error?</v>
      </c>
    </row>
    <row r="723" spans="1:4" x14ac:dyDescent="0.2">
      <c r="A723" s="5">
        <v>662</v>
      </c>
      <c r="B723" s="1832">
        <f>'Expenditures 15-22'!C38</f>
        <v>79950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62006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233964</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128978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128978</v>
      </c>
      <c r="C731" s="2" t="s">
        <v>569</v>
      </c>
      <c r="D731" s="2" t="str">
        <f t="shared" si="10"/>
        <v>Error?</v>
      </c>
    </row>
    <row r="732" spans="1:4" x14ac:dyDescent="0.2">
      <c r="A732" s="5">
        <v>671</v>
      </c>
      <c r="B732" s="1832">
        <f>'Expenditures 15-22'!C49</f>
        <v>51308</v>
      </c>
      <c r="D732" s="2" t="str">
        <f t="shared" si="10"/>
        <v>Error?</v>
      </c>
    </row>
    <row r="733" spans="1:4" x14ac:dyDescent="0.2">
      <c r="A733" s="5">
        <v>672</v>
      </c>
      <c r="B733" s="1832">
        <f>'Expenditures 15-22'!C50</f>
        <v>137700</v>
      </c>
      <c r="D733" s="2" t="str">
        <f t="shared" si="10"/>
        <v>Error?</v>
      </c>
    </row>
    <row r="734" spans="1:4" x14ac:dyDescent="0.2">
      <c r="A734" s="5">
        <v>673</v>
      </c>
      <c r="B734" s="1832">
        <f>'Expenditures 15-22'!C53</f>
        <v>189008</v>
      </c>
      <c r="C734" s="2" t="s">
        <v>569</v>
      </c>
      <c r="D734" s="2" t="str">
        <f t="shared" si="10"/>
        <v>Error?</v>
      </c>
    </row>
    <row r="735" spans="1:4" x14ac:dyDescent="0.2">
      <c r="A735" s="5">
        <v>674</v>
      </c>
      <c r="B735" s="1832">
        <f>'Expenditures 15-22'!C55</f>
        <v>398738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398738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88007</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152551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240558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1191246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4576236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790631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26921</v>
      </c>
      <c r="D775" s="2" t="str">
        <f t="shared" si="11"/>
        <v>Error?</v>
      </c>
    </row>
    <row r="776" spans="1:4" x14ac:dyDescent="0.2">
      <c r="A776" s="5">
        <v>715</v>
      </c>
      <c r="B776" s="1832">
        <f>'Expenditures 15-22'!D14</f>
        <v>15195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991212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23835</v>
      </c>
      <c r="D780" s="2" t="str">
        <f t="shared" si="11"/>
        <v>Error?</v>
      </c>
    </row>
    <row r="781" spans="1:4" x14ac:dyDescent="0.2">
      <c r="A781" s="5">
        <v>720</v>
      </c>
      <c r="B781" s="1832">
        <f>'Expenditures 15-22'!D38</f>
        <v>18319</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10866</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53020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41892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41892</v>
      </c>
      <c r="C789" s="2" t="s">
        <v>569</v>
      </c>
      <c r="D789" s="2" t="str">
        <f t="shared" si="11"/>
        <v>Error?</v>
      </c>
    </row>
    <row r="790" spans="1:4" x14ac:dyDescent="0.2">
      <c r="A790" s="5">
        <v>729</v>
      </c>
      <c r="B790" s="1832">
        <f>'Expenditures 15-22'!D49</f>
        <v>10604</v>
      </c>
      <c r="D790" s="2" t="str">
        <f t="shared" si="11"/>
        <v>Error?</v>
      </c>
    </row>
    <row r="791" spans="1:4" x14ac:dyDescent="0.2">
      <c r="A791" s="5">
        <v>730</v>
      </c>
      <c r="B791" s="1832">
        <f>'Expenditures 15-22'!D50</f>
        <v>57581</v>
      </c>
      <c r="D791" s="2" t="str">
        <f t="shared" si="11"/>
        <v>Error?</v>
      </c>
    </row>
    <row r="792" spans="1:4" x14ac:dyDescent="0.2">
      <c r="A792" s="5">
        <v>731</v>
      </c>
      <c r="B792" s="1832">
        <f>'Expenditures 15-22'!D53</f>
        <v>68185</v>
      </c>
      <c r="C792" s="2" t="s">
        <v>569</v>
      </c>
      <c r="D792" s="2" t="str">
        <f t="shared" si="11"/>
        <v>Error?</v>
      </c>
    </row>
    <row r="793" spans="1:4" x14ac:dyDescent="0.2">
      <c r="A793" s="5">
        <v>732</v>
      </c>
      <c r="B793" s="1832">
        <f>'Expenditures 15-22'!D55</f>
        <v>145634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145634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11430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57061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68491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377222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1368434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43154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11758</v>
      </c>
      <c r="D833" s="2" t="str">
        <f t="shared" si="12"/>
        <v>Error?</v>
      </c>
    </row>
    <row r="834" spans="1:4" x14ac:dyDescent="0.2">
      <c r="A834" s="5">
        <v>773</v>
      </c>
      <c r="B834" s="1832">
        <f>'Expenditures 15-22'!E14</f>
        <v>32399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108036</v>
      </c>
      <c r="C836" s="2" t="s">
        <v>569</v>
      </c>
      <c r="D836" s="2" t="str">
        <f t="shared" si="12"/>
        <v>Error?</v>
      </c>
    </row>
    <row r="837" spans="1:4" x14ac:dyDescent="0.2">
      <c r="A837" s="5">
        <v>776</v>
      </c>
      <c r="B837" s="1832">
        <f>'Expenditures 15-22'!E36</f>
        <v>10635</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10635</v>
      </c>
      <c r="C843" s="2" t="s">
        <v>569</v>
      </c>
      <c r="D843" s="2" t="str">
        <f t="shared" si="12"/>
        <v>Error?</v>
      </c>
    </row>
    <row r="844" spans="1:4" x14ac:dyDescent="0.2">
      <c r="A844" s="5">
        <v>783</v>
      </c>
      <c r="B844" s="1832">
        <f>'Expenditures 15-22'!E44</f>
        <v>26289</v>
      </c>
      <c r="D844" s="2" t="str">
        <f t="shared" si="12"/>
        <v>Error?</v>
      </c>
    </row>
    <row r="845" spans="1:4" x14ac:dyDescent="0.2">
      <c r="A845" s="5">
        <v>784</v>
      </c>
      <c r="B845" s="1832">
        <f>'Expenditures 15-22'!E45</f>
        <v>1149</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27438</v>
      </c>
      <c r="C847" s="2" t="s">
        <v>569</v>
      </c>
      <c r="D847" s="2" t="str">
        <f t="shared" si="12"/>
        <v>Error?</v>
      </c>
    </row>
    <row r="848" spans="1:4" x14ac:dyDescent="0.2">
      <c r="A848" s="5">
        <v>787</v>
      </c>
      <c r="B848" s="1832">
        <f>'Expenditures 15-22'!E49</f>
        <v>205260</v>
      </c>
      <c r="D848" s="2" t="str">
        <f t="shared" si="12"/>
        <v>Error?</v>
      </c>
    </row>
    <row r="849" spans="1:4" x14ac:dyDescent="0.2">
      <c r="A849" s="5">
        <v>788</v>
      </c>
      <c r="B849" s="1832">
        <f>'Expenditures 15-22'!E50</f>
        <v>2014</v>
      </c>
      <c r="D849" s="2" t="str">
        <f t="shared" si="12"/>
        <v>Error?</v>
      </c>
    </row>
    <row r="850" spans="1:4" x14ac:dyDescent="0.2">
      <c r="A850" s="5">
        <v>789</v>
      </c>
      <c r="B850" s="1832">
        <f>'Expenditures 15-22'!E53</f>
        <v>207274</v>
      </c>
      <c r="C850" s="2" t="s">
        <v>569</v>
      </c>
      <c r="D850" s="2" t="str">
        <f t="shared" si="12"/>
        <v>Error?</v>
      </c>
    </row>
    <row r="851" spans="1:4" x14ac:dyDescent="0.2">
      <c r="A851" s="5">
        <v>790</v>
      </c>
      <c r="B851" s="1832">
        <f>'Expenditures 15-22'!E55</f>
        <v>8149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8149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9069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9069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262565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370601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165785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7458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197192</v>
      </c>
      <c r="C894" s="2" t="s">
        <v>569</v>
      </c>
      <c r="D894" s="2" t="str">
        <f t="shared" si="12"/>
        <v>Error?</v>
      </c>
    </row>
    <row r="895" spans="1:4" x14ac:dyDescent="0.2">
      <c r="A895" s="5">
        <v>834</v>
      </c>
      <c r="B895" s="1832">
        <f>'Expenditures 15-22'!F36</f>
        <v>320</v>
      </c>
      <c r="D895" s="2" t="str">
        <f t="shared" ref="D895:D958" si="13">IF(ISBLANK(B895),"OK",IF(A895-B895=0,"OK","Error?"))</f>
        <v>Error?</v>
      </c>
    </row>
    <row r="896" spans="1:4" x14ac:dyDescent="0.2">
      <c r="A896" s="5">
        <v>835</v>
      </c>
      <c r="B896" s="1832">
        <f>'Expenditures 15-22'!F37</f>
        <v>1265</v>
      </c>
      <c r="D896" s="2" t="str">
        <f t="shared" si="13"/>
        <v>Error?</v>
      </c>
    </row>
    <row r="897" spans="1:4" x14ac:dyDescent="0.2">
      <c r="A897" s="5">
        <v>836</v>
      </c>
      <c r="B897" s="1832">
        <f>'Expenditures 15-22'!F38</f>
        <v>6294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402</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8281</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24015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24015</v>
      </c>
      <c r="C905" s="2" t="s">
        <v>569</v>
      </c>
      <c r="D905" s="2" t="str">
        <f t="shared" si="13"/>
        <v>Error?</v>
      </c>
    </row>
    <row r="906" spans="1:4" x14ac:dyDescent="0.2">
      <c r="A906" s="5">
        <v>845</v>
      </c>
      <c r="B906" s="1832">
        <f>'Expenditures 15-22'!F49</f>
        <v>78712</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78712</v>
      </c>
      <c r="C908" s="2" t="s">
        <v>569</v>
      </c>
      <c r="D908" s="2" t="str">
        <f t="shared" si="13"/>
        <v>Error?</v>
      </c>
    </row>
    <row r="909" spans="1:4" x14ac:dyDescent="0.2">
      <c r="A909" s="5">
        <v>848</v>
      </c>
      <c r="B909" s="1832">
        <f>'Expenditures 15-22'!F55</f>
        <v>13347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13347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3101</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103126</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106227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230582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427774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4006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8115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12121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3414</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3414</v>
      </c>
      <c r="C963" s="2" t="s">
        <v>569</v>
      </c>
      <c r="D963" s="2" t="str">
        <f t="shared" si="14"/>
        <v>Error?</v>
      </c>
    </row>
    <row r="964" spans="1:4" x14ac:dyDescent="0.2">
      <c r="A964" s="5">
        <v>903</v>
      </c>
      <c r="B964" s="1832">
        <f>'Expenditures 15-22'!G49</f>
        <v>104011</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104011</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26750</v>
      </c>
      <c r="D970" s="2" t="str">
        <f t="shared" si="14"/>
        <v>Error?</v>
      </c>
    </row>
    <row r="971" spans="1:4" x14ac:dyDescent="0.2">
      <c r="A971" s="5">
        <v>910</v>
      </c>
      <c r="B971" s="1832">
        <f>'Expenditures 15-22'!G60</f>
        <v>1915</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18678</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47343</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154768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166889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19631</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7074</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26705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3894</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3894</v>
      </c>
      <c r="C1021" s="2" t="s">
        <v>569</v>
      </c>
      <c r="D1021" s="2" t="str">
        <f t="shared" si="14"/>
        <v>Error?</v>
      </c>
    </row>
    <row r="1022" spans="1:4" x14ac:dyDescent="0.2">
      <c r="A1022" s="5">
        <v>961</v>
      </c>
      <c r="B1022" s="1832">
        <f>'Expenditures 15-22'!H49</f>
        <v>14526</v>
      </c>
      <c r="D1022" s="2" t="str">
        <f t="shared" si="14"/>
        <v>Error?</v>
      </c>
    </row>
    <row r="1023" spans="1:4" x14ac:dyDescent="0.2">
      <c r="A1023" s="5">
        <v>962</v>
      </c>
      <c r="B1023" s="1832">
        <f>'Expenditures 15-22'!H50</f>
        <v>7218</v>
      </c>
      <c r="D1023" s="2" t="str">
        <f t="shared" ref="D1023:D1086" si="15">IF(ISBLANK(B1023),"OK",IF(A1023-B1023=0,"OK","Error?"))</f>
        <v>Error?</v>
      </c>
    </row>
    <row r="1024" spans="1:4" x14ac:dyDescent="0.2">
      <c r="A1024" s="5">
        <v>963</v>
      </c>
      <c r="B1024" s="1832">
        <f>'Expenditures 15-22'!H53</f>
        <v>21744</v>
      </c>
      <c r="C1024" s="2" t="s">
        <v>569</v>
      </c>
      <c r="D1024" s="2" t="str">
        <f t="shared" si="15"/>
        <v>Error?</v>
      </c>
    </row>
    <row r="1025" spans="1:4" x14ac:dyDescent="0.2">
      <c r="A1025" s="5">
        <v>964</v>
      </c>
      <c r="B1025" s="1832">
        <f>'Expenditures 15-22'!H55</f>
        <v>5414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5414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31052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395028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452785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3509303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178641</v>
      </c>
      <c r="C1105" s="2" t="s">
        <v>569</v>
      </c>
      <c r="D1105" s="2" t="str">
        <f t="shared" si="16"/>
        <v>Error?</v>
      </c>
    </row>
    <row r="1106" spans="1:4" x14ac:dyDescent="0.2">
      <c r="A1106" s="5">
        <v>1045</v>
      </c>
      <c r="B1106" s="1832">
        <f>'Expenditures 15-22'!K14</f>
        <v>246630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4720256</v>
      </c>
      <c r="C1108" s="2" t="s">
        <v>569</v>
      </c>
      <c r="D1108" s="2" t="str">
        <f t="shared" si="16"/>
        <v>Error?</v>
      </c>
    </row>
    <row r="1109" spans="1:4" x14ac:dyDescent="0.2">
      <c r="A1109" s="5">
        <v>1048</v>
      </c>
      <c r="B1109" s="1832">
        <f>'Expenditures 15-22'!K36</f>
        <v>10955</v>
      </c>
      <c r="C1109" s="2" t="s">
        <v>569</v>
      </c>
      <c r="D1109" s="2" t="str">
        <f t="shared" si="16"/>
        <v>Error?</v>
      </c>
    </row>
    <row r="1110" spans="1:4" x14ac:dyDescent="0.2">
      <c r="A1110" s="5">
        <v>1049</v>
      </c>
      <c r="B1110" s="1832">
        <f>'Expenditures 15-22'!K37</f>
        <v>117108</v>
      </c>
      <c r="C1110" s="2" t="s">
        <v>569</v>
      </c>
      <c r="D1110" s="2" t="str">
        <f t="shared" si="16"/>
        <v>Error?</v>
      </c>
    </row>
    <row r="1111" spans="1:4" x14ac:dyDescent="0.2">
      <c r="A1111" s="5">
        <v>1050</v>
      </c>
      <c r="B1111" s="1832">
        <f>'Expenditures 15-22'!K38</f>
        <v>104563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73274</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305900</v>
      </c>
      <c r="C1115" s="2" t="s">
        <v>569</v>
      </c>
      <c r="D1115" s="2" t="str">
        <f t="shared" si="16"/>
        <v>Error?</v>
      </c>
    </row>
    <row r="1116" spans="1:4" x14ac:dyDescent="0.2">
      <c r="A1116" s="5">
        <v>1055</v>
      </c>
      <c r="B1116" s="1832">
        <f>'Expenditures 15-22'!K44</f>
        <v>30183</v>
      </c>
      <c r="C1116" s="2" t="s">
        <v>569</v>
      </c>
      <c r="D1116" s="2" t="str">
        <f t="shared" si="16"/>
        <v>Error?</v>
      </c>
    </row>
    <row r="1117" spans="1:4" x14ac:dyDescent="0.2">
      <c r="A1117" s="5">
        <v>1056</v>
      </c>
      <c r="B1117" s="1832">
        <f>'Expenditures 15-22'!K45</f>
        <v>199448</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229631</v>
      </c>
      <c r="C1119" s="2" t="s">
        <v>569</v>
      </c>
      <c r="D1119" s="2" t="str">
        <f t="shared" si="16"/>
        <v>Error?</v>
      </c>
    </row>
    <row r="1120" spans="1:4" x14ac:dyDescent="0.2">
      <c r="A1120" s="5">
        <v>1059</v>
      </c>
      <c r="B1120" s="1832">
        <f>'Expenditures 15-22'!K49</f>
        <v>464421</v>
      </c>
      <c r="C1120" s="2" t="s">
        <v>569</v>
      </c>
      <c r="D1120" s="2" t="str">
        <f t="shared" si="16"/>
        <v>Error?</v>
      </c>
    </row>
    <row r="1121" spans="1:4" x14ac:dyDescent="0.2">
      <c r="A1121" s="5">
        <v>1060</v>
      </c>
      <c r="B1121" s="1832">
        <f>'Expenditures 15-22'!K50</f>
        <v>204513</v>
      </c>
      <c r="C1121" s="2" t="s">
        <v>569</v>
      </c>
      <c r="D1121" s="2" t="str">
        <f t="shared" si="16"/>
        <v>Error?</v>
      </c>
    </row>
    <row r="1122" spans="1:4" x14ac:dyDescent="0.2">
      <c r="A1122" s="5">
        <v>1061</v>
      </c>
      <c r="B1122" s="1832">
        <f>'Expenditures 15-22'!K53</f>
        <v>668934</v>
      </c>
      <c r="C1122" s="2" t="s">
        <v>569</v>
      </c>
      <c r="D1122" s="2" t="str">
        <f t="shared" si="16"/>
        <v>Error?</v>
      </c>
    </row>
    <row r="1123" spans="1:4" x14ac:dyDescent="0.2">
      <c r="A1123" s="5">
        <v>1062</v>
      </c>
      <c r="B1123" s="1832">
        <f>'Expenditures 15-22'!K55</f>
        <v>571282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571282</v>
      </c>
      <c r="C1125" s="2" t="s">
        <v>569</v>
      </c>
      <c r="D1125" s="2" t="str">
        <f t="shared" si="16"/>
        <v>Error?</v>
      </c>
    </row>
    <row r="1126" spans="1:4" x14ac:dyDescent="0.2">
      <c r="A1126" s="5">
        <v>1065</v>
      </c>
      <c r="B1126" s="1832">
        <f>'Expenditures 15-22'!K59</f>
        <v>26750</v>
      </c>
      <c r="C1126" s="2" t="s">
        <v>569</v>
      </c>
      <c r="D1126" s="2" t="str">
        <f t="shared" si="16"/>
        <v>Error?</v>
      </c>
    </row>
    <row r="1127" spans="1:4" x14ac:dyDescent="0.2">
      <c r="A1127" s="5">
        <v>1066</v>
      </c>
      <c r="B1127" s="1832">
        <f>'Expenditures 15-22'!K60</f>
        <v>104453</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340485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471688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2247435</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395028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7362719</v>
      </c>
      <c r="C1152" s="2" t="s">
        <v>569</v>
      </c>
      <c r="D1152" s="2" t="str">
        <f t="shared" si="17"/>
        <v>Error?</v>
      </c>
    </row>
    <row r="1153" spans="1:4" x14ac:dyDescent="0.2">
      <c r="A1153" s="5">
        <v>1092</v>
      </c>
      <c r="B1153" s="1832">
        <f>'Expenditures 15-22'!K115</f>
        <v>-132488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355435</v>
      </c>
      <c r="D1221" s="2" t="str">
        <f t="shared" si="18"/>
        <v>Error?</v>
      </c>
    </row>
    <row r="1222" spans="1:4" x14ac:dyDescent="0.2">
      <c r="A1222" s="10">
        <v>1161</v>
      </c>
      <c r="B1222" s="1832"/>
      <c r="D1222" s="2" t="str">
        <f t="shared" si="18"/>
        <v>OK</v>
      </c>
    </row>
    <row r="1223" spans="1:4" x14ac:dyDescent="0.2">
      <c r="A1223" s="5">
        <v>1162</v>
      </c>
      <c r="B1223" s="1832">
        <f>'Expenditures 15-22'!C127</f>
        <v>355435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355435</v>
      </c>
      <c r="C1225" s="2" t="s">
        <v>569</v>
      </c>
      <c r="D1225" s="2" t="str">
        <f t="shared" si="18"/>
        <v>Error?</v>
      </c>
    </row>
    <row r="1226" spans="1:4" x14ac:dyDescent="0.2">
      <c r="A1226" s="5">
        <v>1165</v>
      </c>
      <c r="B1226" s="1832">
        <f>'Expenditures 15-22'!C151</f>
        <v>355435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70342</v>
      </c>
      <c r="D1229" s="2" t="str">
        <f t="shared" si="18"/>
        <v>Error?</v>
      </c>
    </row>
    <row r="1230" spans="1:4" x14ac:dyDescent="0.2">
      <c r="A1230" s="10">
        <v>1169</v>
      </c>
      <c r="B1230" s="1832"/>
      <c r="D1230" s="2" t="str">
        <f t="shared" si="18"/>
        <v>OK</v>
      </c>
    </row>
    <row r="1231" spans="1:4" x14ac:dyDescent="0.2">
      <c r="A1231" s="5">
        <v>1170</v>
      </c>
      <c r="B1231" s="1832">
        <f>'Expenditures 15-22'!D127</f>
        <v>70342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70342</v>
      </c>
      <c r="C1233" s="2" t="s">
        <v>569</v>
      </c>
      <c r="D1233" s="2" t="str">
        <f t="shared" si="18"/>
        <v>Error?</v>
      </c>
    </row>
    <row r="1234" spans="1:4" x14ac:dyDescent="0.2">
      <c r="A1234" s="5">
        <v>1173</v>
      </c>
      <c r="B1234" s="1832">
        <f>'Expenditures 15-22'!D151</f>
        <v>70342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118665</v>
      </c>
      <c r="D1237" s="2" t="str">
        <f t="shared" si="18"/>
        <v>Error?</v>
      </c>
    </row>
    <row r="1238" spans="1:4" x14ac:dyDescent="0.2">
      <c r="A1238" s="10">
        <v>1177</v>
      </c>
      <c r="B1238" s="1832"/>
      <c r="D1238" s="2" t="str">
        <f t="shared" si="18"/>
        <v>OK</v>
      </c>
    </row>
    <row r="1239" spans="1:4" x14ac:dyDescent="0.2">
      <c r="A1239" s="5">
        <v>1178</v>
      </c>
      <c r="B1239" s="1832">
        <f>'Expenditures 15-22'!E127</f>
        <v>118665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118665</v>
      </c>
      <c r="C1241" s="2" t="s">
        <v>569</v>
      </c>
      <c r="D1241" s="2" t="str">
        <f t="shared" si="18"/>
        <v>Error?</v>
      </c>
    </row>
    <row r="1242" spans="1:4" x14ac:dyDescent="0.2">
      <c r="A1242" s="5">
        <v>1181</v>
      </c>
      <c r="B1242" s="1832">
        <f>'Expenditures 15-22'!E151</f>
        <v>118665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214858</v>
      </c>
      <c r="D1245" s="2" t="str">
        <f t="shared" si="18"/>
        <v>Error?</v>
      </c>
    </row>
    <row r="1246" spans="1:4" x14ac:dyDescent="0.2">
      <c r="A1246" s="10">
        <v>1185</v>
      </c>
      <c r="B1246" s="1832"/>
      <c r="D1246" s="2" t="str">
        <f t="shared" si="18"/>
        <v>OK</v>
      </c>
    </row>
    <row r="1247" spans="1:4" x14ac:dyDescent="0.2">
      <c r="A1247" s="5">
        <v>1186</v>
      </c>
      <c r="B1247" s="1832">
        <f>'Expenditures 15-22'!F127</f>
        <v>214858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214858</v>
      </c>
      <c r="C1249" s="2" t="s">
        <v>569</v>
      </c>
      <c r="D1249" s="2" t="str">
        <f t="shared" si="18"/>
        <v>Error?</v>
      </c>
    </row>
    <row r="1250" spans="1:4" x14ac:dyDescent="0.2">
      <c r="A1250" s="5">
        <v>1189</v>
      </c>
      <c r="B1250" s="1832">
        <f>'Expenditures 15-22'!F151</f>
        <v>214858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38405</v>
      </c>
      <c r="D1262" s="2" t="str">
        <f t="shared" si="18"/>
        <v>Error?</v>
      </c>
    </row>
    <row r="1263" spans="1:4" x14ac:dyDescent="0.2">
      <c r="A1263" s="10">
        <v>1202</v>
      </c>
      <c r="B1263" s="1832"/>
      <c r="D1263" s="2" t="str">
        <f t="shared" si="18"/>
        <v>OK</v>
      </c>
    </row>
    <row r="1264" spans="1:4" x14ac:dyDescent="0.2">
      <c r="A1264" s="5">
        <v>1203</v>
      </c>
      <c r="B1264" s="1832">
        <f>'Expenditures 15-22'!H127</f>
        <v>38405</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38405</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38405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797705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797705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797705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797705</v>
      </c>
      <c r="C1288" s="2" t="s">
        <v>569</v>
      </c>
      <c r="D1288" s="2" t="str">
        <f t="shared" si="19"/>
        <v>Error?</v>
      </c>
    </row>
    <row r="1289" spans="1:4" x14ac:dyDescent="0.2">
      <c r="A1289" s="5">
        <v>1228</v>
      </c>
      <c r="B1289" s="1832">
        <f>'Expenditures 15-22'!K152</f>
        <v>238664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607574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824000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1431574</v>
      </c>
      <c r="C1317" s="2" t="s">
        <v>569</v>
      </c>
      <c r="D1317" s="2" t="str">
        <f t="shared" si="19"/>
        <v>Error?</v>
      </c>
    </row>
    <row r="1318" spans="1:4" x14ac:dyDescent="0.2">
      <c r="A1318" s="5">
        <v>1257</v>
      </c>
      <c r="B1318" s="1832">
        <f>'Expenditures 15-22'!H174</f>
        <v>1431574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607574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824000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1431574</v>
      </c>
      <c r="C1331" s="2" t="s">
        <v>569</v>
      </c>
      <c r="D1331" s="2" t="str">
        <f t="shared" si="19"/>
        <v>Error?</v>
      </c>
    </row>
    <row r="1332" spans="1:4" x14ac:dyDescent="0.2">
      <c r="A1332" s="5">
        <v>1271</v>
      </c>
      <c r="B1332" s="1832">
        <f>'Expenditures 15-22'!K174</f>
        <v>1431574</v>
      </c>
      <c r="C1332" s="2" t="s">
        <v>569</v>
      </c>
      <c r="D1332" s="2" t="str">
        <f t="shared" si="19"/>
        <v>Error?</v>
      </c>
    </row>
    <row r="1333" spans="1:4" x14ac:dyDescent="0.2">
      <c r="A1333" s="5">
        <v>1272</v>
      </c>
      <c r="B1333" s="1832">
        <f>'Expenditures 15-22'!K175</f>
        <v>-114419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286449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286449</v>
      </c>
      <c r="C1339" s="2" t="s">
        <v>569</v>
      </c>
      <c r="D1339" s="2" t="str">
        <f t="shared" si="19"/>
        <v>Error?</v>
      </c>
    </row>
    <row r="1340" spans="1:4" x14ac:dyDescent="0.2">
      <c r="A1340" s="5">
        <v>1279</v>
      </c>
      <c r="B1340" s="1832">
        <f>'Expenditures 15-22'!C210</f>
        <v>286449</v>
      </c>
      <c r="C1340" s="2" t="s">
        <v>569</v>
      </c>
      <c r="D1340" s="2" t="str">
        <f t="shared" si="19"/>
        <v>Error?</v>
      </c>
    </row>
    <row r="1341" spans="1:4" x14ac:dyDescent="0.2">
      <c r="A1341" s="5">
        <v>1280</v>
      </c>
      <c r="B1341" s="1832">
        <f>'Expenditures 15-22'!D182</f>
        <v>32182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32182</v>
      </c>
      <c r="C1345" s="2" t="s">
        <v>569</v>
      </c>
      <c r="D1345" s="2" t="str">
        <f t="shared" si="20"/>
        <v>Error?</v>
      </c>
    </row>
    <row r="1346" spans="1:4" x14ac:dyDescent="0.2">
      <c r="A1346" s="5">
        <v>1285</v>
      </c>
      <c r="B1346" s="1832">
        <f>'Expenditures 15-22'!D210</f>
        <v>32182</v>
      </c>
      <c r="C1346" s="2" t="s">
        <v>569</v>
      </c>
      <c r="D1346" s="2" t="str">
        <f t="shared" si="20"/>
        <v>Error?</v>
      </c>
    </row>
    <row r="1347" spans="1:4" x14ac:dyDescent="0.2">
      <c r="A1347" s="5">
        <v>1286</v>
      </c>
      <c r="B1347" s="1832">
        <f>'Expenditures 15-22'!E182</f>
        <v>123765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123765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123765</v>
      </c>
      <c r="C1353" s="2" t="s">
        <v>569</v>
      </c>
      <c r="D1353" s="2" t="str">
        <f t="shared" si="20"/>
        <v>Error?</v>
      </c>
    </row>
    <row r="1354" spans="1:4" x14ac:dyDescent="0.2">
      <c r="A1354" s="5">
        <v>1293</v>
      </c>
      <c r="B1354" s="1832">
        <f>'Expenditures 15-22'!F182</f>
        <v>58142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58142</v>
      </c>
      <c r="C1358" s="2" t="s">
        <v>569</v>
      </c>
      <c r="D1358" s="2" t="str">
        <f t="shared" si="20"/>
        <v>Error?</v>
      </c>
    </row>
    <row r="1359" spans="1:4" x14ac:dyDescent="0.2">
      <c r="A1359" s="5">
        <v>1298</v>
      </c>
      <c r="B1359" s="1832">
        <f>'Expenditures 15-22'!F210</f>
        <v>58142</v>
      </c>
      <c r="C1359" s="2" t="s">
        <v>569</v>
      </c>
      <c r="D1359" s="2" t="str">
        <f t="shared" si="20"/>
        <v>Error?</v>
      </c>
    </row>
    <row r="1360" spans="1:4" x14ac:dyDescent="0.2">
      <c r="A1360" s="5">
        <v>1299</v>
      </c>
      <c r="B1360" s="1832">
        <f>'Expenditures 15-22'!G182</f>
        <v>68409</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68409</v>
      </c>
      <c r="C1364" s="2" t="s">
        <v>569</v>
      </c>
      <c r="D1364" s="2" t="str">
        <f t="shared" si="20"/>
        <v>Error?</v>
      </c>
    </row>
    <row r="1365" spans="1:4" x14ac:dyDescent="0.2">
      <c r="A1365" s="5">
        <v>1304</v>
      </c>
      <c r="B1365" s="1832">
        <f>'Expenditures 15-22'!G210</f>
        <v>68409</v>
      </c>
      <c r="C1365" s="2" t="s">
        <v>569</v>
      </c>
      <c r="D1365" s="2" t="str">
        <f t="shared" si="20"/>
        <v>Error?</v>
      </c>
    </row>
    <row r="1366" spans="1:4" x14ac:dyDescent="0.2">
      <c r="A1366" s="5">
        <v>1305</v>
      </c>
      <c r="B1366" s="1832">
        <f>'Expenditures 15-22'!H182</f>
        <v>2779</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2779</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2779</v>
      </c>
      <c r="C1376" s="2" t="s">
        <v>569</v>
      </c>
      <c r="D1376" s="2" t="str">
        <f t="shared" si="20"/>
        <v>Error?</v>
      </c>
    </row>
    <row r="1377" spans="1:4" x14ac:dyDescent="0.2">
      <c r="A1377" s="5">
        <v>1316</v>
      </c>
      <c r="B1377" s="1832">
        <f>'Expenditures 15-22'!K182</f>
        <v>571726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571726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571726</v>
      </c>
      <c r="C1388" s="2" t="s">
        <v>569</v>
      </c>
      <c r="D1388" s="2" t="str">
        <f t="shared" si="20"/>
        <v>Error?</v>
      </c>
    </row>
    <row r="1389" spans="1:4" x14ac:dyDescent="0.2">
      <c r="A1389" s="5">
        <v>1328</v>
      </c>
      <c r="B1389" s="1832">
        <f>'Expenditures 15-22'!K211</f>
        <v>322210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2049</v>
      </c>
      <c r="D1407" s="2" t="str">
        <f t="shared" ref="D1407:D1470" si="21">IF(ISBLANK(B1407),"OK",IF(A1407-B1407=0,"OK","Error?"))</f>
        <v>Error?</v>
      </c>
    </row>
    <row r="1408" spans="1:4" x14ac:dyDescent="0.2">
      <c r="A1408" s="5">
        <v>1347</v>
      </c>
      <c r="B1408" s="1832">
        <f>'Expenditures 15-22'!D223</f>
        <v>6131</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89254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1357</v>
      </c>
      <c r="D1412" s="2" t="str">
        <f t="shared" si="21"/>
        <v>Error?</v>
      </c>
    </row>
    <row r="1413" spans="1:4" x14ac:dyDescent="0.2">
      <c r="A1413" s="5">
        <v>1352</v>
      </c>
      <c r="B1413" s="1832">
        <f>'Expenditures 15-22'!D234</f>
        <v>8008</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928</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10293</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10614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10614</v>
      </c>
      <c r="C1421" s="2" t="s">
        <v>569</v>
      </c>
      <c r="D1421" s="2" t="str">
        <f t="shared" si="21"/>
        <v>Error?</v>
      </c>
    </row>
    <row r="1422" spans="1:4" x14ac:dyDescent="0.2">
      <c r="A1422" s="5">
        <v>1361</v>
      </c>
      <c r="B1422" s="1832">
        <f>'Expenditures 15-22'!D245</f>
        <v>9388</v>
      </c>
      <c r="D1422" s="2" t="str">
        <f t="shared" si="21"/>
        <v>Error?</v>
      </c>
    </row>
    <row r="1423" spans="1:4" x14ac:dyDescent="0.2">
      <c r="A1423" s="5">
        <v>1362</v>
      </c>
      <c r="B1423" s="1832">
        <f>'Expenditures 15-22'!D246</f>
        <v>2043</v>
      </c>
      <c r="D1423" s="2" t="str">
        <f t="shared" si="21"/>
        <v>Error?</v>
      </c>
    </row>
    <row r="1424" spans="1:4" x14ac:dyDescent="0.2">
      <c r="A1424" s="5">
        <v>1363</v>
      </c>
      <c r="B1424" s="1832">
        <f>'Expenditures 15-22'!D257</f>
        <v>11431</v>
      </c>
      <c r="C1424" s="2" t="s">
        <v>569</v>
      </c>
      <c r="D1424" s="2" t="str">
        <f t="shared" si="21"/>
        <v>Error?</v>
      </c>
    </row>
    <row r="1425" spans="1:4" x14ac:dyDescent="0.2">
      <c r="A1425" s="5">
        <v>1364</v>
      </c>
      <c r="B1425" s="1832">
        <f>'Expenditures 15-22'!D259</f>
        <v>21003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21003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16950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72348</v>
      </c>
      <c r="D1431" s="2" t="str">
        <f t="shared" si="21"/>
        <v>Error?</v>
      </c>
    </row>
    <row r="1432" spans="1:4" x14ac:dyDescent="0.2">
      <c r="A1432" s="5">
        <v>1371</v>
      </c>
      <c r="B1432" s="1832">
        <f>'Expenditures 15-22'!D267</f>
        <v>42716</v>
      </c>
      <c r="D1432" s="2" t="str">
        <f t="shared" si="21"/>
        <v>Error?</v>
      </c>
    </row>
    <row r="1433" spans="1:4" x14ac:dyDescent="0.2">
      <c r="A1433" s="5">
        <v>1372</v>
      </c>
      <c r="B1433" s="1832">
        <f>'Expenditures 15-22'!D268</f>
        <v>28221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160235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213576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302830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2049</v>
      </c>
      <c r="C1471" s="2" t="s">
        <v>569</v>
      </c>
      <c r="D1471" s="2" t="str">
        <f t="shared" ref="D1471:D1534" si="22">IF(ISBLANK(B1471),"OK",IF(A1471-B1471=0,"OK","Error?"))</f>
        <v>Error?</v>
      </c>
    </row>
    <row r="1472" spans="1:4" x14ac:dyDescent="0.2">
      <c r="A1472" s="5">
        <v>1411</v>
      </c>
      <c r="B1472" s="1832">
        <f>'Expenditures 15-22'!K223</f>
        <v>6131</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89254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1357</v>
      </c>
      <c r="C1476" s="2" t="s">
        <v>569</v>
      </c>
      <c r="D1476" s="2" t="str">
        <f t="shared" si="22"/>
        <v>Error?</v>
      </c>
    </row>
    <row r="1477" spans="1:4" x14ac:dyDescent="0.2">
      <c r="A1477" s="5">
        <v>1416</v>
      </c>
      <c r="B1477" s="1832">
        <f>'Expenditures 15-22'!K234</f>
        <v>8008</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928</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10293</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10614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10614</v>
      </c>
      <c r="C1485" s="2" t="s">
        <v>569</v>
      </c>
      <c r="D1485" s="2" t="str">
        <f t="shared" si="22"/>
        <v>Error?</v>
      </c>
    </row>
    <row r="1486" spans="1:4" x14ac:dyDescent="0.2">
      <c r="A1486" s="5">
        <v>1425</v>
      </c>
      <c r="B1486" s="1832">
        <f>'Expenditures 15-22'!K245</f>
        <v>9388</v>
      </c>
      <c r="C1486" s="2" t="s">
        <v>569</v>
      </c>
      <c r="D1486" s="2" t="str">
        <f t="shared" si="22"/>
        <v>Error?</v>
      </c>
    </row>
    <row r="1487" spans="1:4" x14ac:dyDescent="0.2">
      <c r="A1487" s="5">
        <v>1426</v>
      </c>
      <c r="B1487" s="1832">
        <f>'Expenditures 15-22'!K246</f>
        <v>2043</v>
      </c>
      <c r="C1487" s="2" t="s">
        <v>569</v>
      </c>
      <c r="D1487" s="2" t="str">
        <f t="shared" si="22"/>
        <v>Error?</v>
      </c>
    </row>
    <row r="1488" spans="1:4" x14ac:dyDescent="0.2">
      <c r="A1488" s="5">
        <v>1427</v>
      </c>
      <c r="B1488" s="1832">
        <f>'Expenditures 15-22'!K257</f>
        <v>11431</v>
      </c>
      <c r="C1488" s="2" t="s">
        <v>569</v>
      </c>
      <c r="D1488" s="2" t="str">
        <f t="shared" si="22"/>
        <v>Error?</v>
      </c>
    </row>
    <row r="1489" spans="1:4" x14ac:dyDescent="0.2">
      <c r="A1489" s="5">
        <v>1428</v>
      </c>
      <c r="B1489" s="1832">
        <f>'Expenditures 15-22'!K259</f>
        <v>21003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21003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16950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72348</v>
      </c>
      <c r="C1495" s="2" t="s">
        <v>569</v>
      </c>
      <c r="D1495" s="2" t="str">
        <f t="shared" si="22"/>
        <v>Error?</v>
      </c>
    </row>
    <row r="1496" spans="1:4" x14ac:dyDescent="0.2">
      <c r="A1496" s="5">
        <v>1435</v>
      </c>
      <c r="B1496" s="1832">
        <f>'Expenditures 15-22'!K267</f>
        <v>42716</v>
      </c>
      <c r="C1496" s="2" t="s">
        <v>569</v>
      </c>
      <c r="D1496" s="2" t="str">
        <f t="shared" si="22"/>
        <v>Error?</v>
      </c>
    </row>
    <row r="1497" spans="1:4" x14ac:dyDescent="0.2">
      <c r="A1497" s="5">
        <v>1436</v>
      </c>
      <c r="B1497" s="1832">
        <f>'Expenditures 15-22'!K268</f>
        <v>28221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160235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213576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302830</v>
      </c>
      <c r="C1517" s="2" t="s">
        <v>569</v>
      </c>
      <c r="D1517" s="2" t="str">
        <f t="shared" si="22"/>
        <v>Error?</v>
      </c>
    </row>
    <row r="1518" spans="1:4" x14ac:dyDescent="0.2">
      <c r="A1518" s="5">
        <v>1457</v>
      </c>
      <c r="B1518" s="1832">
        <f>'Expenditures 15-22'!K296</f>
        <v>-16642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5585439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5585439</v>
      </c>
      <c r="C1547" s="2" t="s">
        <v>569</v>
      </c>
      <c r="D1547" s="2" t="str">
        <f t="shared" si="23"/>
        <v>Error?</v>
      </c>
    </row>
    <row r="1548" spans="1:4" x14ac:dyDescent="0.2">
      <c r="A1548" s="5">
        <v>1487</v>
      </c>
      <c r="B1548" s="1832">
        <f>'Expenditures 15-22'!G312</f>
        <v>5585439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5585439</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5585439</v>
      </c>
      <c r="C1559" s="2" t="s">
        <v>569</v>
      </c>
      <c r="D1559" s="2" t="str">
        <f t="shared" si="23"/>
        <v>Error?</v>
      </c>
    </row>
    <row r="1560" spans="1:4" x14ac:dyDescent="0.2">
      <c r="A1560" s="5">
        <v>1499</v>
      </c>
      <c r="B1560" s="1832">
        <f>'Expenditures 15-22'!K312</f>
        <v>5585439</v>
      </c>
      <c r="C1560" s="2" t="s">
        <v>569</v>
      </c>
      <c r="D1560" s="2" t="str">
        <f t="shared" si="23"/>
        <v>Error?</v>
      </c>
    </row>
    <row r="1561" spans="1:4" x14ac:dyDescent="0.2">
      <c r="A1561" s="5">
        <v>1500</v>
      </c>
      <c r="B1561" s="1832">
        <f>'Expenditures 15-22'!K313</f>
        <v>-4931938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3904625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3772137</v>
      </c>
      <c r="C1630" s="2" t="s">
        <v>569</v>
      </c>
      <c r="D1630" s="2" t="str">
        <f t="shared" si="24"/>
        <v>Error?</v>
      </c>
    </row>
    <row r="1631" spans="1:4" x14ac:dyDescent="0.2">
      <c r="A1631" s="5">
        <v>1570</v>
      </c>
      <c r="B1631" s="1832">
        <f>'Acct Summary 7-8'!D79</f>
        <v>1695034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2433698</v>
      </c>
      <c r="C1644" s="2" t="s">
        <v>569</v>
      </c>
      <c r="D1644" s="2" t="str">
        <f t="shared" si="24"/>
        <v>Error?</v>
      </c>
    </row>
    <row r="1645" spans="1:4" x14ac:dyDescent="0.2">
      <c r="A1645" s="5">
        <v>1584</v>
      </c>
      <c r="B1645" s="1832">
        <f>'Acct Summary 7-8'!E79</f>
        <v>34286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128355</v>
      </c>
      <c r="C1658" s="2" t="s">
        <v>569</v>
      </c>
      <c r="D1658" s="2" t="str">
        <f t="shared" si="24"/>
        <v>Error?</v>
      </c>
    </row>
    <row r="1659" spans="1:4" x14ac:dyDescent="0.2">
      <c r="A1659" s="5">
        <v>1598</v>
      </c>
      <c r="B1659" s="1832">
        <f>'Acct Summary 7-8'!F79</f>
        <v>1146442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968652</v>
      </c>
      <c r="C1672" s="2" t="s">
        <v>569</v>
      </c>
      <c r="D1672" s="2" t="str">
        <f t="shared" si="25"/>
        <v>Error?</v>
      </c>
    </row>
    <row r="1673" spans="1:4" x14ac:dyDescent="0.2">
      <c r="A1673" s="5">
        <v>1612</v>
      </c>
      <c r="B1673" s="1832">
        <f>'Acct Summary 7-8'!G79</f>
        <v>310995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294353</v>
      </c>
      <c r="C1686" s="2" t="s">
        <v>569</v>
      </c>
      <c r="D1686" s="2" t="str">
        <f t="shared" si="25"/>
        <v>Error?</v>
      </c>
    </row>
    <row r="1687" spans="1:4" x14ac:dyDescent="0.2">
      <c r="A1687" s="5">
        <v>1626</v>
      </c>
      <c r="B1687" s="1832">
        <f>'Acct Summary 7-8'!H79</f>
        <v>16016187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12005761</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5034445</v>
      </c>
      <c r="C1744" s="2" t="s">
        <v>569</v>
      </c>
      <c r="D1744" s="2" t="str">
        <f t="shared" si="26"/>
        <v>Error?</v>
      </c>
    </row>
    <row r="1745" spans="1:5" x14ac:dyDescent="0.2">
      <c r="A1745" s="5">
        <v>1684</v>
      </c>
      <c r="B1745" s="1832">
        <f>'Tax Sched 23'!B5</f>
        <v>944703</v>
      </c>
      <c r="C1745" s="2" t="s">
        <v>569</v>
      </c>
      <c r="D1745" s="2" t="str">
        <f t="shared" si="26"/>
        <v>Error?</v>
      </c>
    </row>
    <row r="1746" spans="1:5" x14ac:dyDescent="0.2">
      <c r="A1746" s="5">
        <v>1685</v>
      </c>
      <c r="B1746" s="1832">
        <f>'Tax Sched 23'!B6</f>
        <v>1307791</v>
      </c>
      <c r="C1746" s="2" t="s">
        <v>569</v>
      </c>
      <c r="D1746" s="2" t="str">
        <f t="shared" si="26"/>
        <v>Error?</v>
      </c>
    </row>
    <row r="1747" spans="1:5" x14ac:dyDescent="0.2">
      <c r="A1747" s="5">
        <v>1686</v>
      </c>
      <c r="B1747" s="1832">
        <f>'Tax Sched 23'!B7</f>
        <v>571936</v>
      </c>
      <c r="C1747" s="2" t="s">
        <v>569</v>
      </c>
      <c r="D1747" s="2" t="str">
        <f t="shared" si="26"/>
        <v>Error?</v>
      </c>
    </row>
    <row r="1748" spans="1:5" x14ac:dyDescent="0.2">
      <c r="A1748" s="5">
        <v>1687</v>
      </c>
      <c r="B1748" s="1832">
        <f>'Tax Sched 23'!B8</f>
        <v>157714</v>
      </c>
      <c r="C1748" s="2" t="s">
        <v>569</v>
      </c>
      <c r="D1748" s="2" t="str">
        <f t="shared" si="26"/>
        <v>Error?</v>
      </c>
    </row>
    <row r="1749" spans="1:5" x14ac:dyDescent="0.2">
      <c r="A1749" s="5">
        <v>1688</v>
      </c>
      <c r="B1749" s="1832">
        <f>'Tax Sched 23'!B10</f>
        <v>56181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98786</v>
      </c>
      <c r="C1752" s="2" t="s">
        <v>569</v>
      </c>
      <c r="D1752" s="2" t="str">
        <f t="shared" si="26"/>
        <v>Error?</v>
      </c>
    </row>
    <row r="1753" spans="1:5" x14ac:dyDescent="0.2">
      <c r="A1753" s="5">
        <v>1692</v>
      </c>
      <c r="B1753" s="1832">
        <f>'Tax Sched 23'!B12</f>
        <v>56908</v>
      </c>
      <c r="C1753" s="2" t="s">
        <v>569</v>
      </c>
      <c r="D1753" s="2" t="str">
        <f t="shared" si="26"/>
        <v>Error?</v>
      </c>
    </row>
    <row r="1754" spans="1:5" x14ac:dyDescent="0.2">
      <c r="A1754" s="5">
        <v>1693</v>
      </c>
      <c r="B1754" s="1832">
        <f>'Tax Sched 23'!B14</f>
        <v>48674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8453339</v>
      </c>
      <c r="C1759" s="2" t="s">
        <v>569</v>
      </c>
      <c r="D1759" s="2" t="str">
        <f t="shared" si="26"/>
        <v>Error?</v>
      </c>
    </row>
    <row r="1760" spans="1:5" x14ac:dyDescent="0.2">
      <c r="A1760" s="5">
        <v>1699</v>
      </c>
      <c r="B1760" s="1832">
        <f>'Tax Sched 23'!D4</f>
        <v>5034445</v>
      </c>
      <c r="C1760" s="2" t="s">
        <v>569</v>
      </c>
      <c r="D1760" s="2" t="str">
        <f t="shared" si="26"/>
        <v>Error?</v>
      </c>
    </row>
    <row r="1761" spans="1:7" x14ac:dyDescent="0.2">
      <c r="A1761" s="5">
        <v>1700</v>
      </c>
      <c r="B1761" s="1832">
        <f>'Tax Sched 23'!D5</f>
        <v>944703</v>
      </c>
      <c r="C1761" s="2" t="s">
        <v>569</v>
      </c>
      <c r="D1761" s="2" t="str">
        <f t="shared" si="26"/>
        <v>Error?</v>
      </c>
    </row>
    <row r="1762" spans="1:7" s="8" customFormat="1" x14ac:dyDescent="0.2">
      <c r="A1762" s="5">
        <v>1701</v>
      </c>
      <c r="B1762" s="1832">
        <f>'Tax Sched 23'!D6</f>
        <v>1307791</v>
      </c>
      <c r="C1762" s="2" t="s">
        <v>569</v>
      </c>
      <c r="D1762" s="2" t="str">
        <f t="shared" si="26"/>
        <v>Error?</v>
      </c>
      <c r="E1762" s="9"/>
      <c r="G1762"/>
    </row>
    <row r="1763" spans="1:7" x14ac:dyDescent="0.2">
      <c r="A1763" s="5">
        <v>1702</v>
      </c>
      <c r="B1763" s="1832">
        <f>'Tax Sched 23'!D7</f>
        <v>571936</v>
      </c>
      <c r="C1763" s="2" t="s">
        <v>569</v>
      </c>
      <c r="D1763" s="2" t="str">
        <f t="shared" si="26"/>
        <v>Error?</v>
      </c>
    </row>
    <row r="1764" spans="1:7" x14ac:dyDescent="0.2">
      <c r="A1764" s="5">
        <v>1703</v>
      </c>
      <c r="B1764" s="1832">
        <f>'Tax Sched 23'!D8</f>
        <v>157714</v>
      </c>
      <c r="C1764" s="2" t="s">
        <v>569</v>
      </c>
      <c r="D1764" s="2" t="str">
        <f t="shared" si="26"/>
        <v>Error?</v>
      </c>
    </row>
    <row r="1765" spans="1:7" x14ac:dyDescent="0.2">
      <c r="A1765" s="5">
        <v>1704</v>
      </c>
      <c r="B1765" s="1832">
        <f>'Tax Sched 23'!D10</f>
        <v>56181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98786</v>
      </c>
      <c r="C1768" s="2" t="s">
        <v>569</v>
      </c>
      <c r="D1768" s="2" t="str">
        <f t="shared" si="26"/>
        <v>Error?</v>
      </c>
    </row>
    <row r="1769" spans="1:7" x14ac:dyDescent="0.2">
      <c r="A1769" s="5">
        <v>1708</v>
      </c>
      <c r="B1769" s="1832">
        <f>'Tax Sched 23'!D12</f>
        <v>56908</v>
      </c>
      <c r="C1769" s="2" t="s">
        <v>569</v>
      </c>
      <c r="D1769" s="2" t="str">
        <f t="shared" si="26"/>
        <v>Error?</v>
      </c>
    </row>
    <row r="1770" spans="1:7" x14ac:dyDescent="0.2">
      <c r="A1770" s="5">
        <v>1709</v>
      </c>
      <c r="B1770" s="1832">
        <f>'Tax Sched 23'!D14</f>
        <v>48674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8453339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5247475</v>
      </c>
      <c r="C1792" s="2" t="s">
        <v>569</v>
      </c>
      <c r="D1792" s="2" t="str">
        <f t="shared" si="27"/>
        <v>Error?</v>
      </c>
    </row>
    <row r="1793" spans="1:4" x14ac:dyDescent="0.2">
      <c r="A1793" s="5">
        <v>1732</v>
      </c>
      <c r="B1793" s="1832">
        <f>'Tax Sched 23'!F5</f>
        <v>984771</v>
      </c>
      <c r="C1793" s="2" t="s">
        <v>569</v>
      </c>
      <c r="D1793" s="2" t="str">
        <f t="shared" si="27"/>
        <v>Error?</v>
      </c>
    </row>
    <row r="1794" spans="1:4" x14ac:dyDescent="0.2">
      <c r="A1794" s="5">
        <v>1733</v>
      </c>
      <c r="B1794" s="1832">
        <f>'Tax Sched 23'!F6</f>
        <v>1324748</v>
      </c>
      <c r="C1794" s="2" t="s">
        <v>569</v>
      </c>
      <c r="D1794" s="2" t="str">
        <f t="shared" si="27"/>
        <v>Error?</v>
      </c>
    </row>
    <row r="1795" spans="1:4" x14ac:dyDescent="0.2">
      <c r="A1795" s="5">
        <v>1734</v>
      </c>
      <c r="B1795" s="1832">
        <f>'Tax Sched 23'!F7</f>
        <v>596182</v>
      </c>
      <c r="C1795" s="2" t="s">
        <v>569</v>
      </c>
      <c r="D1795" s="2" t="str">
        <f t="shared" si="27"/>
        <v>Error?</v>
      </c>
    </row>
    <row r="1796" spans="1:4" x14ac:dyDescent="0.2">
      <c r="A1796" s="5">
        <v>1735</v>
      </c>
      <c r="B1796" s="1832">
        <f>'Tax Sched 23'!F8</f>
        <v>164332</v>
      </c>
      <c r="C1796" s="2" t="s">
        <v>569</v>
      </c>
      <c r="D1796" s="2" t="str">
        <f t="shared" si="27"/>
        <v>Error?</v>
      </c>
    </row>
    <row r="1797" spans="1:4" x14ac:dyDescent="0.2">
      <c r="A1797" s="5">
        <v>1736</v>
      </c>
      <c r="B1797" s="1832">
        <f>'Tax Sched 23'!F10</f>
        <v>58701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103033</v>
      </c>
      <c r="C1800" s="2" t="s">
        <v>569</v>
      </c>
      <c r="D1800" s="2" t="str">
        <f t="shared" si="27"/>
        <v>Error?</v>
      </c>
    </row>
    <row r="1801" spans="1:4" x14ac:dyDescent="0.2">
      <c r="A1801" s="5">
        <v>1740</v>
      </c>
      <c r="B1801" s="1832">
        <f>'Tax Sched 23'!F12</f>
        <v>59312</v>
      </c>
      <c r="C1801" s="2" t="s">
        <v>569</v>
      </c>
      <c r="D1801" s="2" t="str">
        <f t="shared" si="27"/>
        <v>Error?</v>
      </c>
    </row>
    <row r="1802" spans="1:4" x14ac:dyDescent="0.2">
      <c r="A1802" s="5">
        <v>1741</v>
      </c>
      <c r="B1802" s="1832">
        <f>'Tax Sched 23'!F14</f>
        <v>50752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8773052</v>
      </c>
      <c r="C1807" s="2" t="s">
        <v>569</v>
      </c>
      <c r="D1807" s="2" t="str">
        <f t="shared" si="27"/>
        <v>Error?</v>
      </c>
    </row>
    <row r="1808" spans="1:4" x14ac:dyDescent="0.2">
      <c r="A1808" s="5">
        <v>1747</v>
      </c>
      <c r="B1808" s="1832">
        <f>'Tax Sched 23'!E4</f>
        <v>5247475</v>
      </c>
      <c r="D1808" s="2" t="str">
        <f t="shared" si="27"/>
        <v>Error?</v>
      </c>
    </row>
    <row r="1809" spans="1:4" x14ac:dyDescent="0.2">
      <c r="A1809" s="5">
        <v>1748</v>
      </c>
      <c r="B1809" s="1832">
        <f>'Tax Sched 23'!E5</f>
        <v>984771</v>
      </c>
      <c r="D1809" s="2" t="str">
        <f t="shared" si="27"/>
        <v>Error?</v>
      </c>
    </row>
    <row r="1810" spans="1:4" x14ac:dyDescent="0.2">
      <c r="A1810" s="5">
        <v>1749</v>
      </c>
      <c r="B1810" s="1832">
        <f>'Tax Sched 23'!E6</f>
        <v>1324748</v>
      </c>
      <c r="D1810" s="2" t="str">
        <f t="shared" si="27"/>
        <v>Error?</v>
      </c>
    </row>
    <row r="1811" spans="1:4" x14ac:dyDescent="0.2">
      <c r="A1811" s="5">
        <v>1750</v>
      </c>
      <c r="B1811" s="1832">
        <f>'Tax Sched 23'!E7</f>
        <v>596182</v>
      </c>
      <c r="D1811" s="2" t="str">
        <f t="shared" si="27"/>
        <v>Error?</v>
      </c>
    </row>
    <row r="1812" spans="1:4" x14ac:dyDescent="0.2">
      <c r="A1812" s="5">
        <v>1751</v>
      </c>
      <c r="B1812" s="1832">
        <f>'Tax Sched 23'!E8</f>
        <v>164332</v>
      </c>
      <c r="D1812" s="2" t="str">
        <f t="shared" si="27"/>
        <v>Error?</v>
      </c>
    </row>
    <row r="1813" spans="1:4" x14ac:dyDescent="0.2">
      <c r="A1813" s="5">
        <v>1752</v>
      </c>
      <c r="B1813" s="1832">
        <f>'Tax Sched 23'!E10</f>
        <v>58701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103033</v>
      </c>
      <c r="D1816" s="2" t="str">
        <f t="shared" si="27"/>
        <v>Error?</v>
      </c>
    </row>
    <row r="1817" spans="1:4" x14ac:dyDescent="0.2">
      <c r="A1817" s="5">
        <v>1756</v>
      </c>
      <c r="B1817" s="1832">
        <f>'Tax Sched 23'!E12</f>
        <v>59312</v>
      </c>
      <c r="D1817" s="2" t="str">
        <f t="shared" si="27"/>
        <v>Error?</v>
      </c>
    </row>
    <row r="1818" spans="1:4" x14ac:dyDescent="0.2">
      <c r="A1818" s="5">
        <v>1757</v>
      </c>
      <c r="B1818" s="1832">
        <f>'Tax Sched 23'!E14</f>
        <v>50752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8773052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18029088</v>
      </c>
      <c r="C1939" s="2" t="s">
        <v>569</v>
      </c>
      <c r="D1939" s="2" t="str">
        <f t="shared" si="29"/>
        <v>Error?</v>
      </c>
    </row>
    <row r="1940" spans="1:5" x14ac:dyDescent="0.2">
      <c r="A1940" s="5">
        <v>1879</v>
      </c>
      <c r="B1940" s="1832">
        <f>'Short-Term Long-Term Debt 24'!F49</f>
        <v>1432412</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48674</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48674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48674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61600</v>
      </c>
      <c r="D2008" s="2" t="str">
        <f t="shared" si="30"/>
        <v>Error?</v>
      </c>
    </row>
    <row r="2009" spans="1:4" x14ac:dyDescent="0.2">
      <c r="A2009" s="5">
        <v>1948</v>
      </c>
      <c r="B2009" s="1832">
        <f>'Cap Outlay Deprec 26'!C8</f>
        <v>7157840</v>
      </c>
      <c r="D2009" s="2" t="str">
        <f t="shared" si="30"/>
        <v>Error?</v>
      </c>
    </row>
    <row r="2010" spans="1:4" x14ac:dyDescent="0.2">
      <c r="A2010" s="5">
        <v>1949</v>
      </c>
      <c r="B2010" s="1832">
        <f>'Cap Outlay Deprec 26'!C10</f>
        <v>1949478</v>
      </c>
      <c r="D2010" s="2" t="str">
        <f t="shared" si="30"/>
        <v>Error?</v>
      </c>
    </row>
    <row r="2011" spans="1:4" x14ac:dyDescent="0.2">
      <c r="A2011" s="5">
        <v>1950</v>
      </c>
      <c r="B2011" s="1832">
        <f>'Cap Outlay Deprec 26'!C12</f>
        <v>1498529</v>
      </c>
      <c r="D2011" s="2" t="str">
        <f t="shared" si="30"/>
        <v>Error?</v>
      </c>
    </row>
    <row r="2012" spans="1:4" x14ac:dyDescent="0.2">
      <c r="A2012" s="5">
        <v>1951</v>
      </c>
      <c r="B2012" s="1832">
        <f>'Cap Outlay Deprec 26'!C13</f>
        <v>3196178</v>
      </c>
      <c r="D2012" s="2" t="str">
        <f t="shared" si="30"/>
        <v>Error?</v>
      </c>
    </row>
    <row r="2013" spans="1:4" x14ac:dyDescent="0.2">
      <c r="A2013" s="5">
        <v>1952</v>
      </c>
      <c r="B2013" s="1832">
        <f>'Cap Outlay Deprec 26'!C16</f>
        <v>13863625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5485804</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13888</v>
      </c>
      <c r="D2018" s="2" t="str">
        <f t="shared" si="30"/>
        <v>Error?</v>
      </c>
    </row>
    <row r="2019" spans="1:4" x14ac:dyDescent="0.2">
      <c r="A2019" s="5">
        <v>1958</v>
      </c>
      <c r="B2019" s="1832">
        <f>'Cap Outlay Deprec 26'!D16</f>
        <v>5499692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61600</v>
      </c>
      <c r="C2026" s="2" t="s">
        <v>569</v>
      </c>
      <c r="D2026" s="2" t="str">
        <f t="shared" si="30"/>
        <v>Error?</v>
      </c>
    </row>
    <row r="2027" spans="1:4" x14ac:dyDescent="0.2">
      <c r="A2027" s="5">
        <v>1966</v>
      </c>
      <c r="B2027" s="1832">
        <f>'Cap Outlay Deprec 26'!F8</f>
        <v>12643644</v>
      </c>
      <c r="C2027" s="2" t="s">
        <v>569</v>
      </c>
      <c r="D2027" s="2" t="str">
        <f t="shared" si="30"/>
        <v>Error?</v>
      </c>
    </row>
    <row r="2028" spans="1:4" x14ac:dyDescent="0.2">
      <c r="A2028" s="5">
        <v>1967</v>
      </c>
      <c r="B2028" s="1832">
        <f>'Cap Outlay Deprec 26'!F10</f>
        <v>1949478</v>
      </c>
      <c r="C2028" s="2" t="s">
        <v>569</v>
      </c>
      <c r="D2028" s="2" t="str">
        <f t="shared" si="30"/>
        <v>Error?</v>
      </c>
    </row>
    <row r="2029" spans="1:4" x14ac:dyDescent="0.2">
      <c r="A2029" s="5">
        <v>1968</v>
      </c>
      <c r="B2029" s="1832">
        <f>'Cap Outlay Deprec 26'!F12</f>
        <v>1498529</v>
      </c>
      <c r="C2029" s="2" t="s">
        <v>569</v>
      </c>
      <c r="D2029" s="2" t="str">
        <f t="shared" si="30"/>
        <v>Error?</v>
      </c>
    </row>
    <row r="2030" spans="1:4" x14ac:dyDescent="0.2">
      <c r="A2030" s="5">
        <v>1969</v>
      </c>
      <c r="B2030" s="1832">
        <f>'Cap Outlay Deprec 26'!F13</f>
        <v>3210066</v>
      </c>
      <c r="C2030" s="2" t="s">
        <v>569</v>
      </c>
      <c r="D2030" s="2" t="str">
        <f t="shared" si="30"/>
        <v>Error?</v>
      </c>
    </row>
    <row r="2031" spans="1:4" x14ac:dyDescent="0.2">
      <c r="A2031" s="5">
        <v>1970</v>
      </c>
      <c r="B2031" s="1832">
        <f>'Cap Outlay Deprec 26'!F16</f>
        <v>19363317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4151343</v>
      </c>
      <c r="D2033" s="2" t="str">
        <f t="shared" si="30"/>
        <v>Error?</v>
      </c>
    </row>
    <row r="2034" spans="1:4" x14ac:dyDescent="0.2">
      <c r="A2034" s="5">
        <v>1973</v>
      </c>
      <c r="B2034" s="1832">
        <f>'Cap Outlay Deprec 26'!H10</f>
        <v>1322893</v>
      </c>
      <c r="D2034" s="2" t="str">
        <f t="shared" si="30"/>
        <v>Error?</v>
      </c>
    </row>
    <row r="2035" spans="1:4" x14ac:dyDescent="0.2">
      <c r="A2035" s="5">
        <v>1974</v>
      </c>
      <c r="B2035" s="1832">
        <f>'Cap Outlay Deprec 26'!H12</f>
        <v>1419427</v>
      </c>
      <c r="D2035" s="2" t="str">
        <f t="shared" si="30"/>
        <v>Error?</v>
      </c>
    </row>
    <row r="2036" spans="1:4" x14ac:dyDescent="0.2">
      <c r="A2036" s="5">
        <v>1975</v>
      </c>
      <c r="B2036" s="1832">
        <f>'Cap Outlay Deprec 26'!H13</f>
        <v>3136695</v>
      </c>
      <c r="D2036" s="2" t="str">
        <f t="shared" si="30"/>
        <v>Error?</v>
      </c>
    </row>
    <row r="2037" spans="1:4" x14ac:dyDescent="0.2">
      <c r="A2037" s="5">
        <v>1976</v>
      </c>
      <c r="B2037" s="1832">
        <f>'Cap Outlay Deprec 26'!H16</f>
        <v>10030358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106907</v>
      </c>
      <c r="D2039" s="2" t="str">
        <f t="shared" si="30"/>
        <v>Error?</v>
      </c>
    </row>
    <row r="2040" spans="1:4" x14ac:dyDescent="0.2">
      <c r="A2040" s="5">
        <v>1979</v>
      </c>
      <c r="B2040" s="1832">
        <f>'Cap Outlay Deprec 26'!I10</f>
        <v>56749</v>
      </c>
      <c r="D2040" s="2" t="str">
        <f t="shared" si="30"/>
        <v>Error?</v>
      </c>
    </row>
    <row r="2041" spans="1:4" x14ac:dyDescent="0.2">
      <c r="A2041" s="5">
        <v>1980</v>
      </c>
      <c r="B2041" s="1832">
        <f>'Cap Outlay Deprec 26'!I12</f>
        <v>3680</v>
      </c>
      <c r="D2041" s="2" t="str">
        <f t="shared" si="30"/>
        <v>Error?</v>
      </c>
    </row>
    <row r="2042" spans="1:4" x14ac:dyDescent="0.2">
      <c r="A2042" s="5">
        <v>1981</v>
      </c>
      <c r="B2042" s="1832">
        <f>'Cap Outlay Deprec 26'!I13</f>
        <v>21397</v>
      </c>
      <c r="D2042" s="2" t="str">
        <f t="shared" si="30"/>
        <v>Error?</v>
      </c>
    </row>
    <row r="2043" spans="1:4" x14ac:dyDescent="0.2">
      <c r="A2043" s="5">
        <v>1982</v>
      </c>
      <c r="B2043" s="1832">
        <f>'Cap Outlay Deprec 26'!I16</f>
        <v>188733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4258250</v>
      </c>
      <c r="C2051" s="2" t="s">
        <v>569</v>
      </c>
      <c r="D2051" s="2" t="str">
        <f t="shared" si="31"/>
        <v>Error?</v>
      </c>
    </row>
    <row r="2052" spans="1:4" x14ac:dyDescent="0.2">
      <c r="A2052" s="5">
        <v>1991</v>
      </c>
      <c r="B2052" s="1832">
        <f>'Cap Outlay Deprec 26'!K10</f>
        <v>1379642</v>
      </c>
      <c r="C2052" s="2" t="s">
        <v>569</v>
      </c>
      <c r="D2052" s="2" t="str">
        <f t="shared" si="31"/>
        <v>Error?</v>
      </c>
    </row>
    <row r="2053" spans="1:4" x14ac:dyDescent="0.2">
      <c r="A2053" s="5">
        <v>1992</v>
      </c>
      <c r="B2053" s="1832">
        <f>'Cap Outlay Deprec 26'!K12</f>
        <v>1423107</v>
      </c>
      <c r="C2053" s="2" t="s">
        <v>569</v>
      </c>
      <c r="D2053" s="2" t="str">
        <f t="shared" si="31"/>
        <v>Error?</v>
      </c>
    </row>
    <row r="2054" spans="1:4" x14ac:dyDescent="0.2">
      <c r="A2054" s="5">
        <v>1993</v>
      </c>
      <c r="B2054" s="1832">
        <f>'Cap Outlay Deprec 26'!K13</f>
        <v>3158092</v>
      </c>
      <c r="C2054" s="2" t="s">
        <v>569</v>
      </c>
      <c r="D2054" s="2" t="str">
        <f t="shared" si="31"/>
        <v>Error?</v>
      </c>
    </row>
    <row r="2055" spans="1:4" x14ac:dyDescent="0.2">
      <c r="A2055" s="5">
        <v>1994</v>
      </c>
      <c r="B2055" s="1832">
        <f>'Cap Outlay Deprec 26'!K16</f>
        <v>10219091</v>
      </c>
      <c r="C2055" s="2" t="s">
        <v>569</v>
      </c>
      <c r="D2055" s="2" t="str">
        <f t="shared" si="31"/>
        <v>Error?</v>
      </c>
    </row>
    <row r="2056" spans="1:4" x14ac:dyDescent="0.2">
      <c r="A2056" s="5">
        <v>1995</v>
      </c>
      <c r="B2056" s="1832">
        <f>'Cap Outlay Deprec 26'!L5</f>
        <v>61600</v>
      </c>
      <c r="C2056" s="2" t="s">
        <v>569</v>
      </c>
      <c r="D2056" s="2" t="str">
        <f t="shared" si="31"/>
        <v>Error?</v>
      </c>
    </row>
    <row r="2057" spans="1:4" x14ac:dyDescent="0.2">
      <c r="A2057" s="5">
        <v>1996</v>
      </c>
      <c r="B2057" s="1832">
        <f>'Cap Outlay Deprec 26'!L8</f>
        <v>8385394</v>
      </c>
      <c r="C2057" s="2" t="s">
        <v>569</v>
      </c>
      <c r="D2057" s="2" t="str">
        <f t="shared" si="31"/>
        <v>Error?</v>
      </c>
    </row>
    <row r="2058" spans="1:4" x14ac:dyDescent="0.2">
      <c r="A2058" s="5">
        <v>1997</v>
      </c>
      <c r="B2058" s="1832">
        <f>'Cap Outlay Deprec 26'!L10</f>
        <v>569836</v>
      </c>
      <c r="C2058" s="2" t="s">
        <v>569</v>
      </c>
      <c r="D2058" s="2" t="str">
        <f t="shared" si="31"/>
        <v>Error?</v>
      </c>
    </row>
    <row r="2059" spans="1:4" x14ac:dyDescent="0.2">
      <c r="A2059" s="5">
        <v>1998</v>
      </c>
      <c r="B2059" s="1832">
        <f>'Cap Outlay Deprec 26'!L12</f>
        <v>75422</v>
      </c>
      <c r="C2059" s="2" t="s">
        <v>569</v>
      </c>
      <c r="D2059" s="2" t="str">
        <f t="shared" si="31"/>
        <v>Error?</v>
      </c>
    </row>
    <row r="2060" spans="1:4" x14ac:dyDescent="0.2">
      <c r="A2060" s="5">
        <v>1999</v>
      </c>
      <c r="B2060" s="1832">
        <f>'Cap Outlay Deprec 26'!L13</f>
        <v>51974</v>
      </c>
      <c r="C2060" s="2" t="s">
        <v>569</v>
      </c>
      <c r="D2060" s="2" t="str">
        <f t="shared" si="31"/>
        <v>Error?</v>
      </c>
    </row>
    <row r="2061" spans="1:4" x14ac:dyDescent="0.2">
      <c r="A2061" s="5">
        <v>2000</v>
      </c>
      <c r="B2061" s="1832">
        <f>'Cap Outlay Deprec 26'!L16</f>
        <v>9144226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395028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395028</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5705092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1035513</v>
      </c>
      <c r="C2553" s="2" t="s">
        <v>569</v>
      </c>
      <c r="D2553" s="2" t="str">
        <f t="shared" si="38"/>
        <v>Error?</v>
      </c>
    </row>
    <row r="2554" spans="1:4" x14ac:dyDescent="0.2">
      <c r="A2554" s="5">
        <v>2493</v>
      </c>
      <c r="B2554" s="1832">
        <f>'Acct Summary 7-8'!C7</f>
        <v>489626</v>
      </c>
      <c r="C2554" s="2" t="s">
        <v>569</v>
      </c>
      <c r="D2554" s="2" t="str">
        <f t="shared" si="38"/>
        <v>Error?</v>
      </c>
    </row>
    <row r="2555" spans="1:4" x14ac:dyDescent="0.2">
      <c r="A2555" s="5">
        <v>2494</v>
      </c>
      <c r="B2555" s="1832">
        <f>'Acct Summary 7-8'!C8</f>
        <v>7230231</v>
      </c>
      <c r="C2555" s="2" t="s">
        <v>569</v>
      </c>
      <c r="D2555" s="2" t="str">
        <f t="shared" si="38"/>
        <v>Error?</v>
      </c>
    </row>
    <row r="2556" spans="1:4" x14ac:dyDescent="0.2">
      <c r="A2556" s="5">
        <v>2495</v>
      </c>
      <c r="B2556" s="1832">
        <f>'Acct Summary 7-8'!C12</f>
        <v>4720256</v>
      </c>
      <c r="C2556" s="2" t="s">
        <v>569</v>
      </c>
      <c r="D2556" s="2" t="str">
        <f t="shared" si="38"/>
        <v>Error?</v>
      </c>
    </row>
    <row r="2557" spans="1:4" x14ac:dyDescent="0.2">
      <c r="A2557" s="5">
        <v>2496</v>
      </c>
      <c r="B2557" s="1832">
        <f>'Acct Summary 7-8'!C13</f>
        <v>2247435</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395028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7362719</v>
      </c>
      <c r="C2561" s="2" t="s">
        <v>569</v>
      </c>
      <c r="D2561" s="2" t="str">
        <f t="shared" si="39"/>
        <v>Error?</v>
      </c>
    </row>
    <row r="2562" spans="1:4" x14ac:dyDescent="0.2">
      <c r="A2562" s="5">
        <v>2501</v>
      </c>
      <c r="B2562" s="1832">
        <f>'Acct Summary 7-8'!C20</f>
        <v>-132488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986369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1036369</v>
      </c>
      <c r="C2568" s="2" t="s">
        <v>569</v>
      </c>
      <c r="D2568" s="2" t="str">
        <f t="shared" si="39"/>
        <v>Error?</v>
      </c>
    </row>
    <row r="2569" spans="1:4" x14ac:dyDescent="0.2">
      <c r="A2569" s="5">
        <v>2508</v>
      </c>
      <c r="B2569" s="1832">
        <f>'Acct Summary 7-8'!D13</f>
        <v>797705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797705</v>
      </c>
      <c r="C2573" s="2" t="s">
        <v>569</v>
      </c>
      <c r="D2573" s="2" t="str">
        <f t="shared" si="39"/>
        <v>Error?</v>
      </c>
    </row>
    <row r="2574" spans="1:4" x14ac:dyDescent="0.2">
      <c r="A2574" s="5">
        <v>2513</v>
      </c>
      <c r="B2574" s="1832">
        <f>'Acct Summary 7-8'!D20</f>
        <v>238664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588875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305061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893936</v>
      </c>
      <c r="C2595" s="2" t="s">
        <v>569</v>
      </c>
      <c r="D2595" s="2" t="str">
        <f t="shared" si="39"/>
        <v>Error?</v>
      </c>
    </row>
    <row r="2596" spans="1:4" x14ac:dyDescent="0.2">
      <c r="A2596" s="5">
        <v>2535</v>
      </c>
      <c r="B2596" s="1832">
        <f>'Acct Summary 7-8'!F13</f>
        <v>571726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571726</v>
      </c>
      <c r="C2600" s="2" t="s">
        <v>569</v>
      </c>
      <c r="D2600" s="2" t="str">
        <f t="shared" si="39"/>
        <v>Error?</v>
      </c>
    </row>
    <row r="2601" spans="1:4" x14ac:dyDescent="0.2">
      <c r="A2601" s="5">
        <v>2540</v>
      </c>
      <c r="B2601" s="1832">
        <f>'Acct Summary 7-8'!F20</f>
        <v>322210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286188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286188</v>
      </c>
      <c r="C2606" s="2" t="s">
        <v>569</v>
      </c>
      <c r="D2606" s="2" t="str">
        <f t="shared" si="39"/>
        <v>Error?</v>
      </c>
    </row>
    <row r="2607" spans="1:4" x14ac:dyDescent="0.2">
      <c r="A2607" s="5">
        <v>2546</v>
      </c>
      <c r="B2607" s="1832">
        <f>'Acct Summary 7-8'!G12</f>
        <v>89254</v>
      </c>
      <c r="C2607" s="2" t="s">
        <v>569</v>
      </c>
      <c r="D2607" s="2" t="str">
        <f t="shared" si="39"/>
        <v>Error?</v>
      </c>
    </row>
    <row r="2608" spans="1:4" x14ac:dyDescent="0.2">
      <c r="A2608" s="5">
        <v>2547</v>
      </c>
      <c r="B2608" s="1832">
        <f>'Acct Summary 7-8'!G13</f>
        <v>213576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302830</v>
      </c>
      <c r="C2612" s="2" t="s">
        <v>569</v>
      </c>
      <c r="D2612" s="2" t="str">
        <f t="shared" si="39"/>
        <v>Error?</v>
      </c>
    </row>
    <row r="2613" spans="1:4" x14ac:dyDescent="0.2">
      <c r="A2613" s="5">
        <v>2552</v>
      </c>
      <c r="B2613" s="1832">
        <f>'Acct Summary 7-8'!G20</f>
        <v>-16642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1317155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1317155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1431574</v>
      </c>
      <c r="C2634" s="2" t="s">
        <v>569</v>
      </c>
      <c r="D2634" s="2" t="str">
        <f t="shared" si="40"/>
        <v>Error?</v>
      </c>
    </row>
    <row r="2635" spans="1:4" x14ac:dyDescent="0.2">
      <c r="A2635" s="5">
        <v>2574</v>
      </c>
      <c r="B2635" s="1832">
        <f>'Acct Summary 7-8'!E17</f>
        <v>1431574</v>
      </c>
      <c r="C2635" s="2" t="s">
        <v>569</v>
      </c>
      <c r="D2635" s="2" t="str">
        <f t="shared" si="40"/>
        <v>Error?</v>
      </c>
    </row>
    <row r="2636" spans="1:4" x14ac:dyDescent="0.2">
      <c r="A2636" s="5">
        <v>2575</v>
      </c>
      <c r="B2636" s="1832">
        <f>'Acct Summary 7-8'!E20</f>
        <v>-114419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653501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653501</v>
      </c>
      <c r="C2658" s="2" t="s">
        <v>569</v>
      </c>
      <c r="D2658" s="2" t="str">
        <f t="shared" si="40"/>
        <v>Error?</v>
      </c>
    </row>
    <row r="2659" spans="1:4" x14ac:dyDescent="0.2">
      <c r="A2659" s="5">
        <v>2598</v>
      </c>
      <c r="B2659" s="1832">
        <f>'Acct Summary 7-8'!H13</f>
        <v>5585439</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5585439</v>
      </c>
      <c r="C2661" s="2" t="s">
        <v>569</v>
      </c>
      <c r="D2661" s="2" t="str">
        <f t="shared" si="40"/>
        <v>Error?</v>
      </c>
    </row>
    <row r="2662" spans="1:4" x14ac:dyDescent="0.2">
      <c r="A2662" s="5">
        <v>2601</v>
      </c>
      <c r="B2662" s="1832">
        <f>'Acct Summary 7-8'!H20</f>
        <v>-4931938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250000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1118870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202491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1118870</v>
      </c>
      <c r="D2912" s="2" t="str">
        <f t="shared" si="44"/>
        <v>Error?</v>
      </c>
    </row>
    <row r="2913" spans="1:4" x14ac:dyDescent="0.2">
      <c r="A2913" s="5">
        <v>2852</v>
      </c>
      <c r="B2913" s="1832">
        <f>'Assets-Liab 5-6'!I41</f>
        <v>1118870</v>
      </c>
      <c r="C2913" s="2" t="s">
        <v>569</v>
      </c>
      <c r="D2913" s="2" t="str">
        <f t="shared" si="44"/>
        <v>Error?</v>
      </c>
    </row>
    <row r="2914" spans="1:4" x14ac:dyDescent="0.2">
      <c r="A2914" s="5">
        <v>2853</v>
      </c>
      <c r="B2914" s="1832">
        <f>'Assets-Liab 5-6'!L33</f>
        <v>202491</v>
      </c>
      <c r="D2914" s="2" t="str">
        <f t="shared" si="44"/>
        <v>Error?</v>
      </c>
    </row>
    <row r="2915" spans="1:4" x14ac:dyDescent="0.2">
      <c r="A2915" s="10">
        <v>2854</v>
      </c>
      <c r="B2915" s="1832"/>
      <c r="D2915" s="2" t="str">
        <f t="shared" si="44"/>
        <v>OK</v>
      </c>
    </row>
    <row r="2916" spans="1:4" x14ac:dyDescent="0.2">
      <c r="A2916" s="5">
        <v>2855</v>
      </c>
      <c r="B2916" s="1832">
        <f>'Assets-Liab 5-6'!L34</f>
        <v>202491</v>
      </c>
      <c r="C2916" s="2" t="s">
        <v>569</v>
      </c>
      <c r="D2916" s="2" t="str">
        <f t="shared" si="44"/>
        <v>Error?</v>
      </c>
    </row>
    <row r="2917" spans="1:4" x14ac:dyDescent="0.2">
      <c r="A2917" s="5">
        <v>2856</v>
      </c>
      <c r="B2917" s="1832">
        <f>'Assets-Liab 5-6'!L41</f>
        <v>202491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347858</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47170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347858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47170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55363</v>
      </c>
      <c r="D3055" s="2" t="str">
        <f t="shared" si="46"/>
        <v>Error?</v>
      </c>
    </row>
    <row r="3056" spans="1:4" x14ac:dyDescent="0.2">
      <c r="A3056" s="5">
        <v>2995</v>
      </c>
      <c r="B3056" s="1832">
        <f>'Expenditures 15-22'!D10</f>
        <v>10424</v>
      </c>
      <c r="D3056" s="2" t="str">
        <f t="shared" si="46"/>
        <v>Error?</v>
      </c>
    </row>
    <row r="3057" spans="1:4" x14ac:dyDescent="0.2">
      <c r="A3057" s="5">
        <v>2996</v>
      </c>
      <c r="B3057" s="1832">
        <f>'Expenditures 15-22'!E10</f>
        <v>20588</v>
      </c>
      <c r="D3057" s="2" t="str">
        <f t="shared" si="46"/>
        <v>Error?</v>
      </c>
    </row>
    <row r="3058" spans="1:4" x14ac:dyDescent="0.2">
      <c r="A3058" s="5">
        <v>2997</v>
      </c>
      <c r="B3058" s="1832">
        <f>'Expenditures 15-22'!F10</f>
        <v>19978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106353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72425</v>
      </c>
      <c r="C3225" s="2" t="s">
        <v>569</v>
      </c>
      <c r="D3225" s="2" t="str">
        <f t="shared" si="49"/>
        <v>Error?</v>
      </c>
    </row>
    <row r="3226" spans="1:4" x14ac:dyDescent="0.2">
      <c r="A3226" s="5">
        <v>3165</v>
      </c>
      <c r="B3226" s="1832">
        <f>'Acct Summary 7-8'!I8</f>
        <v>72425</v>
      </c>
      <c r="C3226" s="2" t="s">
        <v>569</v>
      </c>
      <c r="D3226" s="2" t="str">
        <f t="shared" si="49"/>
        <v>Error?</v>
      </c>
    </row>
    <row r="3227" spans="1:4" x14ac:dyDescent="0.2">
      <c r="A3227" s="5">
        <v>3166</v>
      </c>
      <c r="B3227" s="1832">
        <f>'Acct Summary 7-8'!I20</f>
        <v>72425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-132488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500000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500000</v>
      </c>
      <c r="C3238" s="2" t="s">
        <v>569</v>
      </c>
      <c r="D3238" s="2" t="str">
        <f t="shared" si="49"/>
        <v>Error?</v>
      </c>
    </row>
    <row r="3239" spans="1:4" x14ac:dyDescent="0.2">
      <c r="A3239" s="5">
        <v>3178</v>
      </c>
      <c r="B3239" s="1832">
        <f>'Acct Summary 7-8'!D78</f>
        <v>738664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500000</v>
      </c>
      <c r="C3254" s="2" t="s">
        <v>569</v>
      </c>
      <c r="D3254" s="2" t="str">
        <f t="shared" si="49"/>
        <v>Error?</v>
      </c>
    </row>
    <row r="3255" spans="1:4" x14ac:dyDescent="0.2">
      <c r="A3255" s="5">
        <v>3194</v>
      </c>
      <c r="B3255" s="1832">
        <f>'Acct Summary 7-8'!F77</f>
        <v>-500000</v>
      </c>
      <c r="C3255" s="2" t="s">
        <v>569</v>
      </c>
      <c r="D3255" s="2" t="str">
        <f t="shared" si="49"/>
        <v>Error?</v>
      </c>
    </row>
    <row r="3256" spans="1:4" x14ac:dyDescent="0.2">
      <c r="A3256" s="5">
        <v>3195</v>
      </c>
      <c r="B3256" s="1832">
        <f>'Acct Summary 7-8'!F78</f>
        <v>-177790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-16642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208488</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208488</v>
      </c>
      <c r="C3277" s="2" t="s">
        <v>569</v>
      </c>
      <c r="D3277" s="2" t="str">
        <f t="shared" si="50"/>
        <v>Error?</v>
      </c>
    </row>
    <row r="3278" spans="1:4" x14ac:dyDescent="0.2">
      <c r="A3278" s="5">
        <v>3217</v>
      </c>
      <c r="B3278" s="1832">
        <f>'Acct Summary 7-8'!E78</f>
        <v>94069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1130000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208488</v>
      </c>
      <c r="C3298" s="2" t="s">
        <v>569</v>
      </c>
      <c r="D3298" s="2" t="str">
        <f t="shared" si="50"/>
        <v>Error?</v>
      </c>
    </row>
    <row r="3299" spans="1:4" x14ac:dyDescent="0.2">
      <c r="A3299" s="5">
        <v>3238</v>
      </c>
      <c r="B3299" s="1832">
        <f>'Acct Summary 7-8'!H77</f>
        <v>921512</v>
      </c>
      <c r="C3299" s="2" t="s">
        <v>569</v>
      </c>
      <c r="D3299" s="2" t="str">
        <f t="shared" si="50"/>
        <v>Error?</v>
      </c>
    </row>
    <row r="3300" spans="1:4" x14ac:dyDescent="0.2">
      <c r="A3300" s="5">
        <v>3239</v>
      </c>
      <c r="B3300" s="1832">
        <f>'Acct Summary 7-8'!H78</f>
        <v>-4010426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72425</v>
      </c>
      <c r="C3320" s="2" t="s">
        <v>569</v>
      </c>
      <c r="D3320" s="2" t="str">
        <f t="shared" si="50"/>
        <v>Error?</v>
      </c>
    </row>
    <row r="3321" spans="1:4" x14ac:dyDescent="0.2">
      <c r="A3321" s="5">
        <v>3260</v>
      </c>
      <c r="B3321" s="1832">
        <f>'Acct Summary 7-8'!I79</f>
        <v>1046445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1118870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527180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148041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137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3971</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679329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38987</v>
      </c>
      <c r="D3387" s="2" t="str">
        <f t="shared" si="51"/>
        <v>Error?</v>
      </c>
    </row>
    <row r="3388" spans="1:4" x14ac:dyDescent="0.2">
      <c r="A3388" s="5">
        <v>3327</v>
      </c>
      <c r="B3388" s="1832">
        <f>'Expenditures 15-22'!D217</f>
        <v>42087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38987</v>
      </c>
      <c r="C3390" s="2" t="s">
        <v>569</v>
      </c>
      <c r="D3390" s="2" t="str">
        <f t="shared" si="51"/>
        <v>Error?</v>
      </c>
    </row>
    <row r="3391" spans="1:4" x14ac:dyDescent="0.2">
      <c r="A3391" s="5">
        <v>3330</v>
      </c>
      <c r="B3391" s="1832">
        <f>'Expenditures 15-22'!K217</f>
        <v>42087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3707490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2430069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128355</v>
      </c>
      <c r="D3417" s="2" t="str">
        <f t="shared" si="52"/>
        <v>Error?</v>
      </c>
    </row>
    <row r="3418" spans="1:4" x14ac:dyDescent="0.2">
      <c r="A3418" s="10">
        <v>3357</v>
      </c>
      <c r="B3418" s="1832"/>
      <c r="D3418" s="2" t="str">
        <f t="shared" si="52"/>
        <v>OK</v>
      </c>
    </row>
    <row r="3419" spans="1:4" x14ac:dyDescent="0.2">
      <c r="A3419" s="5">
        <v>3358</v>
      </c>
      <c r="B3419" s="1832">
        <f>'Assets-Liab 5-6'!F4</f>
        <v>959544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289986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12005761</v>
      </c>
      <c r="D3425" s="2" t="str">
        <f t="shared" si="52"/>
        <v>Error?</v>
      </c>
    </row>
    <row r="3426" spans="1:4" x14ac:dyDescent="0.2">
      <c r="A3426" s="10">
        <v>3365</v>
      </c>
      <c r="B3426" s="1832"/>
      <c r="D3426" s="2" t="str">
        <f t="shared" si="52"/>
        <v>OK</v>
      </c>
    </row>
    <row r="3427" spans="1:4" x14ac:dyDescent="0.2">
      <c r="A3427" s="5">
        <v>3366</v>
      </c>
      <c r="B3427" s="1832">
        <f>'Assets-Liab 5-6'!I4</f>
        <v>868870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202491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119293</v>
      </c>
      <c r="C3446" s="2" t="s">
        <v>569</v>
      </c>
      <c r="D3446" s="2" t="str">
        <f t="shared" si="52"/>
        <v>Error?</v>
      </c>
    </row>
    <row r="3447" spans="1:4" x14ac:dyDescent="0.2">
      <c r="A3447" s="5">
        <v>3386</v>
      </c>
      <c r="B3447" s="1832">
        <f>'Tax Sched 23'!D16</f>
        <v>119293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124434</v>
      </c>
      <c r="C3449" s="2" t="s">
        <v>569</v>
      </c>
      <c r="D3449" s="2" t="str">
        <f t="shared" si="52"/>
        <v>Error?</v>
      </c>
    </row>
    <row r="3450" spans="1:4" x14ac:dyDescent="0.2">
      <c r="A3450" s="5">
        <v>3389</v>
      </c>
      <c r="B3450" s="1832">
        <f>'Tax Sched 23'!E16</f>
        <v>124434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251529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251529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251529</v>
      </c>
      <c r="D3567" s="2" t="str">
        <f t="shared" si="54"/>
        <v>Error?</v>
      </c>
    </row>
    <row r="3568" spans="1:4" x14ac:dyDescent="0.2">
      <c r="A3568" s="5">
        <v>3507</v>
      </c>
      <c r="B3568" s="1832">
        <f>'Assets-Liab 5-6'!K41</f>
        <v>251529</v>
      </c>
      <c r="C3568" s="2" t="s">
        <v>569</v>
      </c>
      <c r="D3568" s="2" t="str">
        <f t="shared" si="54"/>
        <v>Error?</v>
      </c>
    </row>
    <row r="3569" spans="1:4" x14ac:dyDescent="0.2">
      <c r="A3569" s="5">
        <v>3508</v>
      </c>
      <c r="B3569" s="1832">
        <f>'Acct Summary 7-8'!K4</f>
        <v>60977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60977</v>
      </c>
      <c r="C3571" s="2" t="s">
        <v>569</v>
      </c>
      <c r="D3571" s="2" t="str">
        <f t="shared" si="54"/>
        <v>Error?</v>
      </c>
    </row>
    <row r="3572" spans="1:4" x14ac:dyDescent="0.2">
      <c r="A3572" s="5">
        <v>3511</v>
      </c>
      <c r="B3572" s="1832">
        <f>'Acct Summary 7-8'!K13</f>
        <v>2315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2315</v>
      </c>
      <c r="C3575" s="2" t="s">
        <v>569</v>
      </c>
      <c r="D3575" s="2" t="str">
        <f t="shared" si="54"/>
        <v>Error?</v>
      </c>
    </row>
    <row r="3576" spans="1:4" x14ac:dyDescent="0.2">
      <c r="A3576" s="5">
        <v>3515</v>
      </c>
      <c r="B3576" s="1832">
        <f>'Acct Summary 7-8'!K20</f>
        <v>58662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58662</v>
      </c>
      <c r="C3588" s="2" t="s">
        <v>569</v>
      </c>
      <c r="D3588" s="2" t="str">
        <f t="shared" si="55"/>
        <v>Error?</v>
      </c>
    </row>
    <row r="3589" spans="1:4" x14ac:dyDescent="0.2">
      <c r="A3589" s="5">
        <v>3528</v>
      </c>
      <c r="B3589" s="1832">
        <f>'Acct Summary 7-8'!K79</f>
        <v>192867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251529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425</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425</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425</v>
      </c>
      <c r="C3635" s="2" t="s">
        <v>569</v>
      </c>
      <c r="D3635" s="2" t="str">
        <f t="shared" si="55"/>
        <v>Error?</v>
      </c>
    </row>
    <row r="3636" spans="1:4" x14ac:dyDescent="0.2">
      <c r="A3636" s="5">
        <v>3575</v>
      </c>
      <c r="B3636" s="1832">
        <f>'Expenditures 15-22'!E367</f>
        <v>425</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1890</v>
      </c>
      <c r="D3646" s="2" t="str">
        <f t="shared" si="55"/>
        <v>Error?</v>
      </c>
    </row>
    <row r="3647" spans="1:4" x14ac:dyDescent="0.2">
      <c r="A3647" s="5">
        <v>3586</v>
      </c>
      <c r="B3647" s="1832">
        <f>'Expenditures 15-22'!G350</f>
        <v>1890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1890</v>
      </c>
      <c r="C3649" s="2" t="s">
        <v>569</v>
      </c>
      <c r="D3649" s="2" t="str">
        <f t="shared" si="56"/>
        <v>Error?</v>
      </c>
    </row>
    <row r="3650" spans="1:4" x14ac:dyDescent="0.2">
      <c r="A3650" s="5">
        <v>3589</v>
      </c>
      <c r="B3650" s="1832">
        <f>'Expenditures 15-22'!G367</f>
        <v>1890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425</v>
      </c>
      <c r="C3668" s="2" t="s">
        <v>569</v>
      </c>
      <c r="D3668" s="2" t="str">
        <f t="shared" si="56"/>
        <v>Error?</v>
      </c>
    </row>
    <row r="3669" spans="1:4" x14ac:dyDescent="0.2">
      <c r="A3669" s="5">
        <v>3608</v>
      </c>
      <c r="B3669" s="1832">
        <f>'Expenditures 15-22'!K349</f>
        <v>1890</v>
      </c>
      <c r="C3669" s="2" t="s">
        <v>569</v>
      </c>
      <c r="D3669" s="2" t="str">
        <f t="shared" si="56"/>
        <v>Error?</v>
      </c>
    </row>
    <row r="3670" spans="1:4" x14ac:dyDescent="0.2">
      <c r="A3670" s="5">
        <v>3609</v>
      </c>
      <c r="B3670" s="1832">
        <f>'Expenditures 15-22'!K350</f>
        <v>2315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2315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2315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58662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56908</v>
      </c>
      <c r="C3725" s="2" t="s">
        <v>569</v>
      </c>
      <c r="D3725" s="2" t="str">
        <f t="shared" si="57"/>
        <v>Error?</v>
      </c>
    </row>
    <row r="3726" spans="1:4" x14ac:dyDescent="0.2">
      <c r="A3726" s="5">
        <v>3665</v>
      </c>
      <c r="B3726" s="1832">
        <f>'Tax Sched 23'!D13</f>
        <v>56908</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59312</v>
      </c>
      <c r="C3728" s="2" t="s">
        <v>569</v>
      </c>
      <c r="D3728" s="2" t="str">
        <f t="shared" si="57"/>
        <v>Error?</v>
      </c>
    </row>
    <row r="3729" spans="1:4" x14ac:dyDescent="0.2">
      <c r="A3729" s="5">
        <v>3668</v>
      </c>
      <c r="B3729" s="1832">
        <f>'Tax Sched 23'!E13</f>
        <v>59312</v>
      </c>
      <c r="D3729" s="2" t="str">
        <f t="shared" si="57"/>
        <v>Error?</v>
      </c>
    </row>
    <row r="3730" spans="1:4" x14ac:dyDescent="0.2">
      <c r="A3730" s="5">
        <v>3669</v>
      </c>
      <c r="B3730" s="1832">
        <f>'ICR Computation 30'!E10</f>
        <v>112195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3090913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10321144</v>
      </c>
      <c r="C4122" s="2" t="s">
        <v>569</v>
      </c>
      <c r="D4122" s="2" t="str">
        <f t="shared" si="63"/>
        <v>Error?</v>
      </c>
    </row>
    <row r="4123" spans="1:4" x14ac:dyDescent="0.2">
      <c r="A4123" s="5">
        <v>4062</v>
      </c>
      <c r="B4123" s="1832">
        <f>'Acct Summary 7-8'!D10</f>
        <v>1036369</v>
      </c>
      <c r="C4123" s="2" t="s">
        <v>569</v>
      </c>
      <c r="D4123" s="2" t="str">
        <f t="shared" si="63"/>
        <v>Error?</v>
      </c>
    </row>
    <row r="4124" spans="1:4" x14ac:dyDescent="0.2">
      <c r="A4124" s="5">
        <v>4063</v>
      </c>
      <c r="B4124" s="1832">
        <f>'Acct Summary 7-8'!E10</f>
        <v>1317155</v>
      </c>
      <c r="C4124" s="2" t="s">
        <v>569</v>
      </c>
      <c r="D4124" s="2" t="str">
        <f t="shared" si="63"/>
        <v>Error?</v>
      </c>
    </row>
    <row r="4125" spans="1:4" x14ac:dyDescent="0.2">
      <c r="A4125" s="5">
        <v>4064</v>
      </c>
      <c r="B4125" s="1832">
        <f>'Acct Summary 7-8'!F10</f>
        <v>893936</v>
      </c>
      <c r="C4125" s="2" t="s">
        <v>569</v>
      </c>
      <c r="D4125" s="2" t="str">
        <f t="shared" si="63"/>
        <v>Error?</v>
      </c>
    </row>
    <row r="4126" spans="1:4" x14ac:dyDescent="0.2">
      <c r="A4126" s="5">
        <v>4065</v>
      </c>
      <c r="B4126" s="1832">
        <f>'Acct Summary 7-8'!G10</f>
        <v>286188</v>
      </c>
      <c r="C4126" s="2" t="s">
        <v>569</v>
      </c>
      <c r="D4126" s="2" t="str">
        <f t="shared" si="63"/>
        <v>Error?</v>
      </c>
    </row>
    <row r="4127" spans="1:4" x14ac:dyDescent="0.2">
      <c r="A4127" s="5">
        <v>4066</v>
      </c>
      <c r="B4127" s="1832">
        <f>'Acct Summary 7-8'!H10</f>
        <v>653501</v>
      </c>
      <c r="C4127" s="2" t="s">
        <v>569</v>
      </c>
      <c r="D4127" s="2" t="str">
        <f t="shared" si="63"/>
        <v>Error?</v>
      </c>
    </row>
    <row r="4128" spans="1:4" x14ac:dyDescent="0.2">
      <c r="A4128" s="5">
        <v>4067</v>
      </c>
      <c r="B4128" s="1832">
        <f>'Acct Summary 7-8'!I10</f>
        <v>72425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60977</v>
      </c>
      <c r="C4130" s="2" t="s">
        <v>569</v>
      </c>
      <c r="D4130" s="2" t="str">
        <f t="shared" si="63"/>
        <v>Error?</v>
      </c>
    </row>
    <row r="4131" spans="1:4" x14ac:dyDescent="0.2">
      <c r="A4131" s="5">
        <v>4070</v>
      </c>
      <c r="B4131" s="1832">
        <f>'Acct Summary 7-8'!C18</f>
        <v>3090913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10453632</v>
      </c>
      <c r="C4136" s="2" t="s">
        <v>569</v>
      </c>
      <c r="D4136" s="2" t="str">
        <f t="shared" si="63"/>
        <v>Error?</v>
      </c>
    </row>
    <row r="4137" spans="1:4" x14ac:dyDescent="0.2">
      <c r="A4137" s="5">
        <v>4076</v>
      </c>
      <c r="B4137" s="1832">
        <f>'Acct Summary 7-8'!D19</f>
        <v>797705</v>
      </c>
      <c r="C4137" s="2" t="s">
        <v>569</v>
      </c>
      <c r="D4137" s="2" t="str">
        <f t="shared" si="63"/>
        <v>Error?</v>
      </c>
    </row>
    <row r="4138" spans="1:4" x14ac:dyDescent="0.2">
      <c r="A4138" s="5">
        <v>4077</v>
      </c>
      <c r="B4138" s="1832">
        <f>'Acct Summary 7-8'!E19</f>
        <v>1431574</v>
      </c>
      <c r="C4138" s="2" t="s">
        <v>569</v>
      </c>
      <c r="D4138" s="2" t="str">
        <f t="shared" si="63"/>
        <v>Error?</v>
      </c>
    </row>
    <row r="4139" spans="1:4" x14ac:dyDescent="0.2">
      <c r="A4139" s="5">
        <v>4078</v>
      </c>
      <c r="B4139" s="1832">
        <f>'Acct Summary 7-8'!F19</f>
        <v>571726</v>
      </c>
      <c r="C4139" s="2" t="s">
        <v>569</v>
      </c>
      <c r="D4139" s="2" t="str">
        <f t="shared" si="63"/>
        <v>Error?</v>
      </c>
    </row>
    <row r="4140" spans="1:4" x14ac:dyDescent="0.2">
      <c r="A4140" s="5">
        <v>4079</v>
      </c>
      <c r="B4140" s="1832">
        <f>'Acct Summary 7-8'!G19</f>
        <v>302830</v>
      </c>
      <c r="C4140" s="2" t="s">
        <v>569</v>
      </c>
      <c r="D4140" s="2" t="str">
        <f t="shared" si="63"/>
        <v>Error?</v>
      </c>
    </row>
    <row r="4141" spans="1:4" x14ac:dyDescent="0.2">
      <c r="A4141" s="5">
        <v>4080</v>
      </c>
      <c r="B4141" s="1832">
        <f>'Acct Summary 7-8'!H19</f>
        <v>5585439</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2315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18315487</v>
      </c>
      <c r="C4171" s="2" t="s">
        <v>569</v>
      </c>
      <c r="D4171" s="2" t="str">
        <f t="shared" si="64"/>
        <v>Error?</v>
      </c>
    </row>
    <row r="4172" spans="1:4" x14ac:dyDescent="0.2">
      <c r="A4172" s="5">
        <v>4111</v>
      </c>
      <c r="B4172" s="1832">
        <f>'Short-Term Long-Term Debt 24'!J49</f>
        <v>18187132</v>
      </c>
      <c r="C4172" s="2" t="s">
        <v>569</v>
      </c>
      <c r="D4172" s="2" t="str">
        <f t="shared" si="64"/>
        <v>Error?</v>
      </c>
    </row>
    <row r="4173" spans="1:4" x14ac:dyDescent="0.2">
      <c r="A4173" s="5">
        <v>4112</v>
      </c>
      <c r="B4173" s="1832">
        <f>'Short-Term Long-Term Debt 24'!H49</f>
        <v>1146013</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24821</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3432.7000000000003</v>
      </c>
      <c r="C4265" s="2" t="s">
        <v>569</v>
      </c>
      <c r="D4265" s="2" t="str">
        <f t="shared" si="65"/>
        <v>Error?</v>
      </c>
      <c r="E4265" s="125"/>
    </row>
    <row r="4266" spans="1:5" x14ac:dyDescent="0.2">
      <c r="A4266" s="12">
        <v>4205</v>
      </c>
      <c r="B4266" s="1832">
        <f>('FP Info 3'!F10)*100000</f>
        <v>644.19999999999993</v>
      </c>
      <c r="C4266" s="2" t="s">
        <v>569</v>
      </c>
      <c r="D4266" s="2" t="str">
        <f t="shared" si="65"/>
        <v>Error?</v>
      </c>
      <c r="E4266" s="125"/>
    </row>
    <row r="4267" spans="1:5" x14ac:dyDescent="0.2">
      <c r="A4267" s="12">
        <v>4206</v>
      </c>
      <c r="B4267" s="1832">
        <f>('FP Info 3'!H10)*100000</f>
        <v>390</v>
      </c>
      <c r="C4267" s="2" t="s">
        <v>569</v>
      </c>
      <c r="D4267" s="2" t="str">
        <f t="shared" si="65"/>
        <v>Error?</v>
      </c>
      <c r="E4267" s="125"/>
    </row>
    <row r="4268" spans="1:5" x14ac:dyDescent="0.2">
      <c r="A4268" s="12">
        <v>4207</v>
      </c>
      <c r="B4268" s="1832">
        <f>('FP Info 3'!J10)*100000</f>
        <v>4467</v>
      </c>
      <c r="C4268" s="2" t="s">
        <v>569</v>
      </c>
      <c r="D4268" s="2" t="str">
        <f t="shared" si="65"/>
        <v>Error?</v>
      </c>
    </row>
    <row r="4269" spans="1:5" x14ac:dyDescent="0.2">
      <c r="A4269" s="12">
        <v>4208</v>
      </c>
      <c r="B4269" s="1832">
        <f>'FP Info 3'!J16</f>
        <v>8293357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35245</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54677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35872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4722</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38.4</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151992654</v>
      </c>
      <c r="D4995" s="2" t="str">
        <f t="shared" si="77"/>
        <v>Error?</v>
      </c>
    </row>
    <row r="4996" spans="1:4" x14ac:dyDescent="0.2">
      <c r="A4996" s="12">
        <v>4935</v>
      </c>
      <c r="B4996" s="1832">
        <f>'FP Info 3'!H31</f>
        <v>20974986.252</v>
      </c>
      <c r="D4996" s="2" t="str">
        <f t="shared" si="77"/>
        <v>Error?</v>
      </c>
    </row>
    <row r="4997" spans="1:4" x14ac:dyDescent="0.2">
      <c r="A4997" s="12">
        <v>4936</v>
      </c>
      <c r="B4997" s="1832">
        <f>'FP Info 3'!H37</f>
        <v>18315487</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500000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500000</v>
      </c>
      <c r="D5024" s="2" t="str">
        <f t="shared" si="77"/>
        <v>Error?</v>
      </c>
    </row>
    <row r="5025" spans="1:4" x14ac:dyDescent="0.2">
      <c r="A5025" s="10">
        <v>4964</v>
      </c>
      <c r="B5025" s="1832"/>
      <c r="C5025" s="2" t="s">
        <v>569</v>
      </c>
      <c r="D5025" s="2" t="str">
        <f t="shared" si="77"/>
        <v>OK</v>
      </c>
    </row>
    <row r="5026" spans="1:4" x14ac:dyDescent="0.2">
      <c r="A5026" s="5">
        <v>4965</v>
      </c>
      <c r="B5026" s="1832">
        <f>'Revenues 9-14'!C6</f>
        <v>56908</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5034445</v>
      </c>
      <c r="D5061" s="2" t="str">
        <f t="shared" si="78"/>
        <v>Error?</v>
      </c>
    </row>
    <row r="5062" spans="1:4" x14ac:dyDescent="0.2">
      <c r="A5062" s="10">
        <v>5001</v>
      </c>
      <c r="B5062" s="1832"/>
      <c r="D5062" s="2" t="str">
        <f t="shared" si="78"/>
        <v>OK</v>
      </c>
    </row>
    <row r="5063" spans="1:4" x14ac:dyDescent="0.2">
      <c r="A5063" s="5">
        <v>5002</v>
      </c>
      <c r="B5063" s="1832">
        <f>'Revenues 9-14'!C7</f>
        <v>48674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5140027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238641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238641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93557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93557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3286</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233</v>
      </c>
      <c r="D5094" s="2" t="str">
        <f t="shared" si="78"/>
        <v>Error?</v>
      </c>
    </row>
    <row r="5095" spans="1:4" x14ac:dyDescent="0.2">
      <c r="A5095" s="5">
        <v>5034</v>
      </c>
      <c r="B5095" s="1832">
        <f>'Revenues 9-14'!C74</f>
        <v>3089</v>
      </c>
      <c r="D5095" s="2" t="str">
        <f t="shared" si="78"/>
        <v>Error?</v>
      </c>
    </row>
    <row r="5096" spans="1:4" x14ac:dyDescent="0.2">
      <c r="A5096" s="5">
        <v>5035</v>
      </c>
      <c r="B5096" s="1832">
        <f>'Revenues 9-14'!C75</f>
        <v>83700</v>
      </c>
      <c r="C5096" s="2" t="s">
        <v>569</v>
      </c>
      <c r="D5096" s="2" t="str">
        <f t="shared" si="78"/>
        <v>Error?</v>
      </c>
    </row>
    <row r="5097" spans="1:4" x14ac:dyDescent="0.2">
      <c r="A5097" s="5">
        <v>5036</v>
      </c>
      <c r="B5097" s="1832">
        <f>'Revenues 9-14'!C77</f>
        <v>23430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20884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44314</v>
      </c>
      <c r="C5102" s="2" t="s">
        <v>569</v>
      </c>
      <c r="D5102" s="2" t="str">
        <f t="shared" si="78"/>
        <v>Error?</v>
      </c>
    </row>
    <row r="5103" spans="1:4" x14ac:dyDescent="0.2">
      <c r="A5103" s="5">
        <v>5042</v>
      </c>
      <c r="B5103" s="1832">
        <f>'Revenues 9-14'!C84</f>
        <v>29020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20382</v>
      </c>
      <c r="D5111" s="2" t="str">
        <f t="shared" si="78"/>
        <v>Error?</v>
      </c>
    </row>
    <row r="5112" spans="1:4" x14ac:dyDescent="0.2">
      <c r="A5112" s="5">
        <v>5051</v>
      </c>
      <c r="B5112" s="1832">
        <f>'Revenues 9-14'!C93</f>
        <v>49402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30067</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1491</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23893</v>
      </c>
      <c r="D5119" s="2" t="str">
        <f t="shared" ref="D5119:D5182" si="79">IF(ISBLANK(B5119),"OK",IF(A5119-B5119=0,"OK","Error?"))</f>
        <v>Error?</v>
      </c>
    </row>
    <row r="5120" spans="1:4" x14ac:dyDescent="0.2">
      <c r="A5120" s="5">
        <v>5059</v>
      </c>
      <c r="B5120" s="1832">
        <f>'Revenues 9-14'!C108</f>
        <v>55451</v>
      </c>
      <c r="C5120" s="2" t="s">
        <v>569</v>
      </c>
      <c r="D5120" s="2" t="str">
        <f t="shared" si="79"/>
        <v>Error?</v>
      </c>
    </row>
    <row r="5121" spans="1:4" x14ac:dyDescent="0.2">
      <c r="A5121" s="5">
        <v>5060</v>
      </c>
      <c r="B5121" s="1832">
        <f>'Revenues 9-14'!C109</f>
        <v>5705092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848836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848836</v>
      </c>
      <c r="C5132" s="2" t="s">
        <v>569</v>
      </c>
      <c r="D5132" s="2" t="str">
        <f t="shared" si="79"/>
        <v>Error?</v>
      </c>
    </row>
    <row r="5133" spans="1:4" x14ac:dyDescent="0.2">
      <c r="A5133" s="5">
        <v>5072</v>
      </c>
      <c r="B5133" s="1832">
        <f>'Revenues 9-14'!C125</f>
        <v>3095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6143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9238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24821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1656</v>
      </c>
      <c r="D5167" s="2" t="str">
        <f t="shared" si="79"/>
        <v>Error?</v>
      </c>
    </row>
    <row r="5168" spans="1:4" x14ac:dyDescent="0.2">
      <c r="A5168" s="5">
        <v>5107</v>
      </c>
      <c r="B5168" s="1832">
        <f>'Revenues 9-14'!C148</f>
        <v>5751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780</v>
      </c>
      <c r="D5194" s="2" t="str">
        <f t="shared" si="80"/>
        <v>Error?</v>
      </c>
    </row>
    <row r="5195" spans="1:5" x14ac:dyDescent="0.2">
      <c r="A5195" s="10">
        <v>5134</v>
      </c>
      <c r="B5195" s="1832"/>
      <c r="D5195" s="2" t="str">
        <f t="shared" si="80"/>
        <v>OK</v>
      </c>
    </row>
    <row r="5196" spans="1:5" x14ac:dyDescent="0.2">
      <c r="A5196" s="5">
        <v>5135</v>
      </c>
      <c r="B5196" s="1832">
        <f>'Revenues 9-14'!C159</f>
        <v>143681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186677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1035513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92487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19209</v>
      </c>
      <c r="D5241" s="2" t="str">
        <f t="shared" si="80"/>
        <v>Error?</v>
      </c>
    </row>
    <row r="5242" spans="1:4" x14ac:dyDescent="0.2">
      <c r="A5242" s="5">
        <v>5181</v>
      </c>
      <c r="B5242" s="1832">
        <f>'Revenues 9-14'!C194</f>
        <v>56257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167953</v>
      </c>
      <c r="C5246" s="2" t="s">
        <v>569</v>
      </c>
      <c r="D5246" s="2" t="str">
        <f t="shared" si="80"/>
        <v>Error?</v>
      </c>
    </row>
    <row r="5247" spans="1:4" x14ac:dyDescent="0.2">
      <c r="A5247" s="5">
        <v>5186</v>
      </c>
      <c r="B5247" s="1832">
        <f>'Revenues 9-14'!C200</f>
        <v>149658</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4722</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149658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35245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41499</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489626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489626</v>
      </c>
      <c r="C5326" s="2" t="s">
        <v>569</v>
      </c>
      <c r="D5326" s="2" t="str">
        <f t="shared" si="82"/>
        <v>Error?</v>
      </c>
    </row>
    <row r="5327" spans="1:5" x14ac:dyDescent="0.2">
      <c r="A5327" s="5">
        <v>5266</v>
      </c>
      <c r="B5327" s="1832">
        <f>'Revenues 9-14'!C268</f>
        <v>7230231</v>
      </c>
      <c r="C5327" s="2" t="s">
        <v>569</v>
      </c>
      <c r="D5327" s="2" t="str">
        <f t="shared" si="82"/>
        <v>Error?</v>
      </c>
    </row>
    <row r="5328" spans="1:5" x14ac:dyDescent="0.2">
      <c r="A5328" s="5">
        <v>5267</v>
      </c>
      <c r="B5328" s="1832">
        <f>'Revenues 9-14'!D5</f>
        <v>944703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944703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41666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41666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986369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1036369</v>
      </c>
      <c r="C5508" s="2" t="s">
        <v>569</v>
      </c>
      <c r="D5508" s="2" t="str">
        <f t="shared" si="85"/>
        <v>Error?</v>
      </c>
    </row>
    <row r="5509" spans="1:4" x14ac:dyDescent="0.2">
      <c r="A5509" s="5">
        <v>5448</v>
      </c>
      <c r="B5509" s="1832">
        <f>'Revenues 9-14'!E5</f>
        <v>1307791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1307791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9364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9364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1317155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1317155</v>
      </c>
      <c r="C5552" s="2" t="s">
        <v>569</v>
      </c>
      <c r="D5552" s="2" t="str">
        <f t="shared" si="85"/>
        <v>Error?</v>
      </c>
    </row>
    <row r="5553" spans="1:4" x14ac:dyDescent="0.2">
      <c r="A5553" s="5">
        <v>5492</v>
      </c>
      <c r="B5553" s="1832">
        <f>'Revenues 9-14'!F5</f>
        <v>571936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571936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16939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16939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588875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196615</v>
      </c>
      <c r="D5615" s="2" t="str">
        <f t="shared" si="86"/>
        <v>Error?</v>
      </c>
    </row>
    <row r="5616" spans="1:4" x14ac:dyDescent="0.2">
      <c r="A5616" s="10">
        <v>5555</v>
      </c>
      <c r="B5616" s="1832"/>
      <c r="D5616" s="2" t="str">
        <f t="shared" si="86"/>
        <v>OK</v>
      </c>
    </row>
    <row r="5617" spans="1:5" x14ac:dyDescent="0.2">
      <c r="A5617" s="5">
        <v>5556</v>
      </c>
      <c r="B5617" s="1832">
        <f>'Revenues 9-14'!F153</f>
        <v>108446</v>
      </c>
      <c r="D5617" s="2" t="str">
        <f t="shared" si="86"/>
        <v>Error?</v>
      </c>
    </row>
    <row r="5618" spans="1:5" x14ac:dyDescent="0.2">
      <c r="A5618" s="5">
        <v>5557</v>
      </c>
      <c r="B5618" s="1832">
        <f>'Revenues 9-14'!F155</f>
        <v>305061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305061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305061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893936</v>
      </c>
      <c r="C5720" s="2" t="s">
        <v>569</v>
      </c>
      <c r="D5720" s="2" t="str">
        <f t="shared" si="88"/>
        <v>Error?</v>
      </c>
    </row>
    <row r="5721" spans="1:4" x14ac:dyDescent="0.2">
      <c r="A5721" s="5">
        <v>5660</v>
      </c>
      <c r="B5721" s="1832">
        <f>'Revenues 9-14'!G5</f>
        <v>157714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119293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277007</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3000</v>
      </c>
      <c r="C5730" s="2" t="s">
        <v>569</v>
      </c>
      <c r="D5730" s="2" t="str">
        <f t="shared" si="88"/>
        <v>Error?</v>
      </c>
    </row>
    <row r="5731" spans="1:4" x14ac:dyDescent="0.2">
      <c r="A5731" s="5">
        <v>5670</v>
      </c>
      <c r="B5731" s="1832">
        <f>'Revenues 9-14'!G65</f>
        <v>6181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6181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286188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283704</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283704</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369797</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653501</v>
      </c>
      <c r="C5915" s="2" t="s">
        <v>569</v>
      </c>
      <c r="D5915" s="2" t="str">
        <f t="shared" si="91"/>
        <v>Error?</v>
      </c>
    </row>
    <row r="5916" spans="1:4" x14ac:dyDescent="0.2">
      <c r="A5916" s="5">
        <v>5855</v>
      </c>
      <c r="B5916" s="1832">
        <f>'Revenues 9-14'!I5</f>
        <v>56181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56181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16244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16244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72425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56908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56908</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4069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4069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60977</v>
      </c>
      <c r="C6023" s="2" t="s">
        <v>569</v>
      </c>
      <c r="D6023" s="2" t="str">
        <f t="shared" si="93"/>
        <v>Error?</v>
      </c>
    </row>
    <row r="6024" spans="1:5" x14ac:dyDescent="0.2">
      <c r="A6024" s="5">
        <v>5963</v>
      </c>
      <c r="B6024" s="1832">
        <f>'Revenues 9-14'!G109</f>
        <v>286188</v>
      </c>
      <c r="C6024" s="2" t="s">
        <v>569</v>
      </c>
      <c r="D6024" s="2" t="str">
        <f t="shared" si="93"/>
        <v>Error?</v>
      </c>
    </row>
    <row r="6025" spans="1:5" x14ac:dyDescent="0.2">
      <c r="A6025" s="5">
        <v>5964</v>
      </c>
      <c r="B6025" s="1832">
        <f>'Revenues 9-14'!H109</f>
        <v>653501</v>
      </c>
      <c r="C6025" s="2" t="s">
        <v>569</v>
      </c>
      <c r="D6025" s="2" t="str">
        <f t="shared" si="93"/>
        <v>Error?</v>
      </c>
    </row>
    <row r="6026" spans="1:5" x14ac:dyDescent="0.2">
      <c r="A6026" s="5">
        <v>5965</v>
      </c>
      <c r="B6026" s="1832">
        <f>'Revenues 9-14'!I109</f>
        <v>72425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60977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77092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37276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642.79999999999995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64647</v>
      </c>
      <c r="D6113" s="2" t="str">
        <f t="shared" si="94"/>
        <v>Error?</v>
      </c>
      <c r="E6113" s="2" t="s">
        <v>189</v>
      </c>
    </row>
    <row r="6114" spans="1:5" x14ac:dyDescent="0.2">
      <c r="A6114">
        <v>6053</v>
      </c>
      <c r="B6114" s="1832">
        <f>'Assets-Liab 5-6'!D11</f>
        <v>3629</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9108</v>
      </c>
      <c r="D6116" s="2" t="str">
        <f t="shared" si="94"/>
        <v>Error?</v>
      </c>
      <c r="E6116" s="2" t="s">
        <v>189</v>
      </c>
    </row>
    <row r="6117" spans="1:5" x14ac:dyDescent="0.2">
      <c r="A6117">
        <v>6056</v>
      </c>
      <c r="B6117" s="1832">
        <f>'Assets-Liab 5-6'!G11</f>
        <v>4367</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318167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318167</v>
      </c>
      <c r="D6215" s="2" t="str">
        <f t="shared" si="96"/>
        <v>Error?</v>
      </c>
      <c r="E6215" s="2" t="s">
        <v>189</v>
      </c>
    </row>
    <row r="6216" spans="1:5" x14ac:dyDescent="0.2">
      <c r="A6216">
        <v>6155</v>
      </c>
      <c r="B6216" s="1832">
        <f>'Assets-Liab 5-6'!J41</f>
        <v>318167</v>
      </c>
      <c r="D6216" s="2" t="str">
        <f t="shared" si="96"/>
        <v>Error?</v>
      </c>
      <c r="E6216" s="2" t="s">
        <v>189</v>
      </c>
    </row>
    <row r="6217" spans="1:5" x14ac:dyDescent="0.2">
      <c r="A6217">
        <v>6156</v>
      </c>
      <c r="B6217" s="1832">
        <f>'Assets-Liab 5-6'!J4</f>
        <v>318167</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103479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103479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103479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158958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158958</v>
      </c>
      <c r="D6229" s="2" t="str">
        <f t="shared" si="96"/>
        <v>Error?</v>
      </c>
      <c r="E6229" s="2" t="s">
        <v>189</v>
      </c>
    </row>
    <row r="6230" spans="1:5" x14ac:dyDescent="0.2">
      <c r="A6230">
        <v>6169</v>
      </c>
      <c r="B6230" s="1832">
        <f>'Acct Summary 7-8'!J20</f>
        <v>-55479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208488</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-55479</v>
      </c>
      <c r="D6263" s="2" t="str">
        <f t="shared" si="96"/>
        <v>Error?</v>
      </c>
      <c r="E6263" s="2" t="s">
        <v>189</v>
      </c>
    </row>
    <row r="6264" spans="1:5" x14ac:dyDescent="0.2">
      <c r="A6264">
        <v>6203</v>
      </c>
      <c r="B6264" s="1832">
        <f>'Acct Summary 7-8'!J79</f>
        <v>373646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318167</v>
      </c>
      <c r="D6266" s="2" t="str">
        <f t="shared" si="96"/>
        <v>Error?</v>
      </c>
      <c r="E6266" s="2" t="s">
        <v>189</v>
      </c>
    </row>
    <row r="6267" spans="1:5" x14ac:dyDescent="0.2">
      <c r="A6267">
        <v>6206</v>
      </c>
      <c r="B6267" s="1832">
        <f>'Acct Summary 7-8'!C82</f>
        <v>-132488</v>
      </c>
      <c r="D6267" s="2" t="str">
        <f t="shared" si="96"/>
        <v>Error?</v>
      </c>
      <c r="E6267" s="2" t="s">
        <v>189</v>
      </c>
    </row>
    <row r="6268" spans="1:5" x14ac:dyDescent="0.2">
      <c r="A6268">
        <v>6207</v>
      </c>
      <c r="B6268" s="1832">
        <f>'Acct Summary 7-8'!D82</f>
        <v>738664</v>
      </c>
      <c r="D6268" s="2" t="str">
        <f t="shared" si="96"/>
        <v>Error?</v>
      </c>
      <c r="E6268" s="2" t="s">
        <v>189</v>
      </c>
    </row>
    <row r="6269" spans="1:5" x14ac:dyDescent="0.2">
      <c r="A6269">
        <v>6208</v>
      </c>
      <c r="B6269" s="1832">
        <f>'Acct Summary 7-8'!E82</f>
        <v>94069</v>
      </c>
      <c r="D6269" s="2" t="str">
        <f t="shared" si="96"/>
        <v>Error?</v>
      </c>
      <c r="E6269" s="2" t="s">
        <v>189</v>
      </c>
    </row>
    <row r="6270" spans="1:5" x14ac:dyDescent="0.2">
      <c r="A6270">
        <v>6209</v>
      </c>
      <c r="B6270" s="1832">
        <f>'Acct Summary 7-8'!F82</f>
        <v>-177790</v>
      </c>
      <c r="D6270" s="2" t="str">
        <f t="shared" si="96"/>
        <v>Error?</v>
      </c>
      <c r="E6270" s="2" t="s">
        <v>189</v>
      </c>
    </row>
    <row r="6271" spans="1:5" x14ac:dyDescent="0.2">
      <c r="A6271">
        <v>6210</v>
      </c>
      <c r="B6271" s="1832">
        <f>'Acct Summary 7-8'!G82</f>
        <v>-16642</v>
      </c>
      <c r="D6271" s="2" t="str">
        <f t="shared" ref="D6271:D6334" si="97">IF(ISBLANK(B6271),"OK",IF(A6271-B6271=0,"OK","Error?"))</f>
        <v>Error?</v>
      </c>
      <c r="E6271" s="2" t="s">
        <v>189</v>
      </c>
    </row>
    <row r="6272" spans="1:5" x14ac:dyDescent="0.2">
      <c r="A6272">
        <v>6211</v>
      </c>
      <c r="B6272" s="1832">
        <f>'Acct Summary 7-8'!H82</f>
        <v>-4010426</v>
      </c>
      <c r="D6272" s="2" t="str">
        <f t="shared" si="97"/>
        <v>Error?</v>
      </c>
      <c r="E6272" s="2" t="s">
        <v>189</v>
      </c>
    </row>
    <row r="6273" spans="1:5" x14ac:dyDescent="0.2">
      <c r="A6273">
        <v>6212</v>
      </c>
      <c r="B6273" s="1832">
        <f>'Acct Summary 7-8'!I82</f>
        <v>72425</v>
      </c>
      <c r="D6273" s="2" t="str">
        <f t="shared" si="97"/>
        <v>Error?</v>
      </c>
      <c r="E6273" s="2" t="s">
        <v>189</v>
      </c>
    </row>
    <row r="6274" spans="1:5" x14ac:dyDescent="0.2">
      <c r="A6274">
        <v>6213</v>
      </c>
      <c r="B6274" s="1832">
        <f>'Acct Summary 7-8'!J82</f>
        <v>-55479</v>
      </c>
      <c r="D6274" s="2" t="str">
        <f t="shared" si="97"/>
        <v>Error?</v>
      </c>
      <c r="E6274" s="2" t="s">
        <v>189</v>
      </c>
    </row>
    <row r="6275" spans="1:5" x14ac:dyDescent="0.2">
      <c r="A6275">
        <v>6214</v>
      </c>
      <c r="B6275" s="1832">
        <f>'Acct Summary 7-8'!K82</f>
        <v>58662</v>
      </c>
      <c r="D6275" s="2" t="str">
        <f t="shared" si="97"/>
        <v>Error?</v>
      </c>
      <c r="E6275" s="2" t="s">
        <v>189</v>
      </c>
    </row>
    <row r="6276" spans="1:5" x14ac:dyDescent="0.2">
      <c r="A6276">
        <v>6215</v>
      </c>
      <c r="B6276" s="1832">
        <f>'Acct Summary 7-8'!C83</f>
        <v>-3.5122796441380576E-2</v>
      </c>
      <c r="D6276" s="2" t="str">
        <f t="shared" si="97"/>
        <v>Error?</v>
      </c>
      <c r="E6276" s="2" t="s">
        <v>189</v>
      </c>
    </row>
    <row r="6277" spans="1:5" x14ac:dyDescent="0.2">
      <c r="A6277">
        <v>6216</v>
      </c>
      <c r="B6277" s="1832">
        <f>'Acct Summary 7-8'!D83</f>
        <v>0.3035150622632718</v>
      </c>
      <c r="D6277" s="2" t="str">
        <f t="shared" si="97"/>
        <v>Error?</v>
      </c>
      <c r="E6277" s="2" t="s">
        <v>189</v>
      </c>
    </row>
    <row r="6278" spans="1:5" x14ac:dyDescent="0.2">
      <c r="A6278">
        <v>6217</v>
      </c>
      <c r="B6278" s="1832">
        <f>'Acct Summary 7-8'!E83</f>
        <v>0.73288146157142298</v>
      </c>
      <c r="D6278" s="2" t="str">
        <f t="shared" si="97"/>
        <v>Error?</v>
      </c>
      <c r="E6278" s="2" t="s">
        <v>189</v>
      </c>
    </row>
    <row r="6279" spans="1:5" x14ac:dyDescent="0.2">
      <c r="A6279">
        <v>6218</v>
      </c>
      <c r="B6279" s="1832">
        <f>'Acct Summary 7-8'!F83</f>
        <v>-0.1835437288107597</v>
      </c>
      <c r="D6279" s="2" t="str">
        <f t="shared" si="97"/>
        <v>Error?</v>
      </c>
      <c r="E6279" s="2" t="s">
        <v>189</v>
      </c>
    </row>
    <row r="6280" spans="1:5" x14ac:dyDescent="0.2">
      <c r="A6280">
        <v>6219</v>
      </c>
      <c r="B6280" s="1832">
        <f>'Acct Summary 7-8'!G83</f>
        <v>-5.6537558645571813E-2</v>
      </c>
      <c r="D6280" s="2" t="str">
        <f t="shared" si="97"/>
        <v>Error?</v>
      </c>
      <c r="E6280" s="2" t="s">
        <v>189</v>
      </c>
    </row>
    <row r="6281" spans="1:5" x14ac:dyDescent="0.2">
      <c r="A6281">
        <v>6220</v>
      </c>
      <c r="B6281" s="1832">
        <f>'Acct Summary 7-8'!H83</f>
        <v>-0.33404179876644219</v>
      </c>
      <c r="D6281" s="2" t="str">
        <f t="shared" si="97"/>
        <v>Error?</v>
      </c>
      <c r="E6281" s="2" t="s">
        <v>189</v>
      </c>
    </row>
    <row r="6282" spans="1:5" x14ac:dyDescent="0.2">
      <c r="A6282">
        <v>6221</v>
      </c>
      <c r="B6282" s="1832">
        <f>'Acct Summary 7-8'!I83</f>
        <v>6.473048700921466E-2</v>
      </c>
      <c r="D6282" s="2" t="str">
        <f t="shared" si="97"/>
        <v>Error?</v>
      </c>
      <c r="E6282" s="2" t="s">
        <v>189</v>
      </c>
    </row>
    <row r="6283" spans="1:5" x14ac:dyDescent="0.2">
      <c r="A6283">
        <v>6222</v>
      </c>
      <c r="B6283" s="1832">
        <f>'Acct Summary 7-8'!J83</f>
        <v>-0.17437069212080447</v>
      </c>
      <c r="D6283" s="2" t="str">
        <f t="shared" si="97"/>
        <v>Error?</v>
      </c>
      <c r="E6283" s="2" t="s">
        <v>189</v>
      </c>
    </row>
    <row r="6284" spans="1:5" x14ac:dyDescent="0.2">
      <c r="A6284">
        <v>6223</v>
      </c>
      <c r="B6284" s="1832">
        <f>'Acct Summary 7-8'!K83</f>
        <v>0.23322161659291771</v>
      </c>
      <c r="D6284" s="2" t="str">
        <f t="shared" si="97"/>
        <v>Error?</v>
      </c>
      <c r="E6284" s="2" t="s">
        <v>189</v>
      </c>
    </row>
    <row r="6285" spans="1:5" x14ac:dyDescent="0.2">
      <c r="A6285">
        <v>6224</v>
      </c>
      <c r="B6285" s="1832">
        <f>'Acct Summary 7-8'!E37</f>
        <v>208488</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98786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98786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4693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4693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103479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158958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103479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49878</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49878</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3356</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3356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91267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91267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14457</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14457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158958</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158958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158958</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158958</v>
      </c>
      <c r="D7224" s="2" t="str">
        <f t="shared" si="111"/>
        <v>Error?</v>
      </c>
    </row>
    <row r="7225" spans="1:4" x14ac:dyDescent="0.2">
      <c r="A7225">
        <v>7164</v>
      </c>
      <c r="B7225" s="1832">
        <f>'Expenditures 15-22'!K343</f>
        <v>-55479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188733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5751</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5751</v>
      </c>
      <c r="D7719" s="2" t="str">
        <f t="shared" si="126"/>
        <v>Error?</v>
      </c>
      <c r="E7719" s="2" t="s">
        <v>822</v>
      </c>
    </row>
    <row r="7720" spans="1:6" x14ac:dyDescent="0.2">
      <c r="A7720">
        <v>7659</v>
      </c>
      <c r="B7720" s="1832">
        <f>'Rest Tax Levies-Tort Im 25'!H14</f>
        <v>48674</v>
      </c>
      <c r="D7720" s="2" t="str">
        <f t="shared" si="126"/>
        <v>Error?</v>
      </c>
      <c r="E7720" s="2" t="s">
        <v>822</v>
      </c>
    </row>
    <row r="7721" spans="1:6" x14ac:dyDescent="0.2">
      <c r="A7721">
        <v>7660</v>
      </c>
      <c r="B7721" s="1832">
        <f>'Rest Tax Levies-Tort Im 25'!K14</f>
        <v>5751</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369797</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5751</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20076524</v>
      </c>
      <c r="D7817" s="2" t="str">
        <f t="shared" si="128"/>
        <v>Error?</v>
      </c>
      <c r="E7817" s="4" t="s">
        <v>1966</v>
      </c>
    </row>
    <row r="7818" spans="1:5" x14ac:dyDescent="0.2">
      <c r="A7818">
        <v>7757</v>
      </c>
      <c r="B7818" s="1832">
        <f>'PCTC-OEPP 27-28'!F172</f>
        <v>211958</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10625512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1454326</v>
      </c>
      <c r="D7834" s="2" t="str">
        <f t="shared" si="129"/>
        <v>Error?</v>
      </c>
      <c r="E7834" s="4" t="s">
        <v>1998</v>
      </c>
    </row>
    <row r="7835" spans="1:5" x14ac:dyDescent="0.2">
      <c r="A7835">
        <v>7774</v>
      </c>
      <c r="B7835" s="1832">
        <f>'PCTC-OEPP 27-28'!F78</f>
        <v>9171186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14267.557560672061</v>
      </c>
      <c r="D7837" s="2" t="str">
        <f t="shared" si="129"/>
        <v>Error?</v>
      </c>
      <c r="E7837" s="4" t="s">
        <v>1998</v>
      </c>
    </row>
    <row r="7838" spans="1:5" x14ac:dyDescent="0.2">
      <c r="A7838">
        <v>7777</v>
      </c>
      <c r="B7838" s="1832">
        <f>'PCTC-OEPP 27-28'!F96</f>
        <v>44314</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9238</v>
      </c>
      <c r="D7842" s="2" t="str">
        <f t="shared" si="129"/>
        <v>Error?</v>
      </c>
      <c r="E7842" s="4" t="s">
        <v>1998</v>
      </c>
    </row>
    <row r="7843" spans="1:5" x14ac:dyDescent="0.2">
      <c r="A7843">
        <v>7782</v>
      </c>
      <c r="B7843" s="1832">
        <f>'PCTC-OEPP 27-28'!F107</f>
        <v>24821</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5751</v>
      </c>
      <c r="D7846" s="2" t="str">
        <f t="shared" si="129"/>
        <v>Error?</v>
      </c>
      <c r="E7846" s="4" t="s">
        <v>1998</v>
      </c>
    </row>
    <row r="7847" spans="1:5" x14ac:dyDescent="0.2">
      <c r="A7847">
        <v>7786</v>
      </c>
      <c r="B7847" s="1832">
        <f>'PCTC-OEPP 27-28'!F112</f>
        <v>305061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780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167953</v>
      </c>
      <c r="D7858" s="2" t="str">
        <f t="shared" si="129"/>
        <v>Error?</v>
      </c>
      <c r="E7858" s="4" t="s">
        <v>1998</v>
      </c>
    </row>
    <row r="7859" spans="1:5" x14ac:dyDescent="0.2">
      <c r="A7859">
        <v>7798</v>
      </c>
      <c r="B7859" s="1832">
        <f>'PCTC-OEPP 27-28'!F127</f>
        <v>149658</v>
      </c>
      <c r="D7859" s="2" t="str">
        <f t="shared" si="129"/>
        <v>Error?</v>
      </c>
      <c r="E7859" s="4" t="s">
        <v>1998</v>
      </c>
    </row>
    <row r="7860" spans="1:5" x14ac:dyDescent="0.2">
      <c r="A7860">
        <v>7799</v>
      </c>
      <c r="B7860" s="1832">
        <f>'PCTC-OEPP 27-28'!F128</f>
        <v>4722</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35245</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41499</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54677</v>
      </c>
      <c r="D7874" s="2" t="str">
        <f t="shared" si="129"/>
        <v>Error?</v>
      </c>
      <c r="E7874" s="4" t="s">
        <v>1998</v>
      </c>
    </row>
    <row r="7875" spans="1:5" x14ac:dyDescent="0.2">
      <c r="A7875">
        <v>7814</v>
      </c>
      <c r="B7875" s="1832">
        <f>'PCTC-OEPP 27-28'!F170</f>
        <v>35872</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1277057</v>
      </c>
      <c r="D7877" s="2" t="str">
        <f t="shared" si="129"/>
        <v>Error?</v>
      </c>
      <c r="E7877" s="4" t="s">
        <v>1998</v>
      </c>
    </row>
    <row r="7878" spans="1:5" x14ac:dyDescent="0.2">
      <c r="A7878">
        <v>7817</v>
      </c>
      <c r="B7878" s="1832">
        <f>'PCTC-OEPP 27-28'!F176</f>
        <v>7894129</v>
      </c>
      <c r="D7878" s="2" t="str">
        <f t="shared" si="129"/>
        <v>Error?</v>
      </c>
      <c r="E7878" s="4" t="s">
        <v>1998</v>
      </c>
    </row>
    <row r="7879" spans="1:5" x14ac:dyDescent="0.2">
      <c r="A7879">
        <v>7818</v>
      </c>
      <c r="B7879" s="1832">
        <f>'PCTC-OEPP 27-28'!F178</f>
        <v>8082862</v>
      </c>
      <c r="D7879" s="2" t="str">
        <f t="shared" si="129"/>
        <v>Error?</v>
      </c>
      <c r="E7879" s="4" t="s">
        <v>1998</v>
      </c>
    </row>
    <row r="7880" spans="1:5" x14ac:dyDescent="0.2">
      <c r="A7880">
        <v>7819</v>
      </c>
      <c r="B7880" s="1832">
        <f>'PCTC-OEPP 27-28'!F180</f>
        <v>12574.458618543871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Amboy CUSD 272</v>
      </c>
      <c r="B7" s="2516"/>
      <c r="C7" s="2516"/>
      <c r="D7" s="2554"/>
      <c r="E7" s="2555">
        <f>COVER!A13</f>
        <v>47052272026</v>
      </c>
      <c r="F7" s="2556"/>
      <c r="G7" s="2522" t="str">
        <f>COVER!T23</f>
        <v>065-031649</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Winkel, Parker &amp; Foster, CPA PC</v>
      </c>
      <c r="H9" s="2529"/>
      <c r="I9" s="2529"/>
      <c r="J9" s="2529"/>
      <c r="K9" s="2529"/>
      <c r="L9" s="2530"/>
    </row>
    <row r="10" spans="1:29" ht="13.5" customHeight="1" x14ac:dyDescent="0.2">
      <c r="A10" s="2512" t="str">
        <f>COVER!A38</f>
        <v>Joshua Nichols</v>
      </c>
      <c r="B10" s="2513"/>
      <c r="C10" s="2513"/>
      <c r="D10" s="2513"/>
      <c r="E10" s="2513"/>
      <c r="F10" s="2514"/>
      <c r="G10" s="2528" t="str">
        <f>COVER!T17</f>
        <v>1301 19th Ave NW</v>
      </c>
      <c r="H10" s="2541"/>
      <c r="I10" s="2541"/>
      <c r="J10" s="2541"/>
      <c r="K10" s="2541"/>
      <c r="L10" s="2542"/>
    </row>
    <row r="11" spans="1:29" ht="13.5" customHeight="1" x14ac:dyDescent="0.2">
      <c r="A11" s="963" t="s">
        <v>1502</v>
      </c>
      <c r="B11" s="964"/>
      <c r="C11" s="965"/>
      <c r="D11" s="970"/>
      <c r="E11" s="965"/>
      <c r="F11" s="969"/>
      <c r="G11" s="2528" t="str">
        <f>COVER!T19</f>
        <v>Clinton</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cbuyert@wpf-cpa.com</v>
      </c>
      <c r="J13" s="2550"/>
      <c r="K13" s="2550"/>
      <c r="L13" s="2551"/>
    </row>
    <row r="14" spans="1:29" ht="13.5" customHeight="1" x14ac:dyDescent="0.2">
      <c r="A14" s="2528" t="str">
        <f>COVER!A19</f>
        <v>11 East Hawley</v>
      </c>
      <c r="B14" s="2541"/>
      <c r="C14" s="2541"/>
      <c r="D14" s="2541"/>
      <c r="E14" s="2541"/>
      <c r="F14" s="2542"/>
      <c r="G14" s="974" t="s">
        <v>1175</v>
      </c>
      <c r="H14" s="972"/>
      <c r="I14" s="972"/>
      <c r="J14" s="972"/>
      <c r="K14" s="972"/>
      <c r="L14" s="973"/>
    </row>
    <row r="15" spans="1:29" ht="13.5" customHeight="1" x14ac:dyDescent="0.2">
      <c r="A15" s="2528" t="str">
        <f>COVER!A21</f>
        <v xml:space="preserve">Amboy  </v>
      </c>
      <c r="B15" s="2541"/>
      <c r="C15" s="2541"/>
      <c r="D15" s="2541"/>
      <c r="E15" s="2541"/>
      <c r="F15" s="2542"/>
      <c r="G15" s="2538" t="str">
        <f>COVER!T15</f>
        <v>Claire E. Buyert, CPA</v>
      </c>
      <c r="H15" s="2539"/>
      <c r="I15" s="2539"/>
      <c r="J15" s="2539"/>
      <c r="K15" s="2539"/>
      <c r="L15" s="2540"/>
    </row>
    <row r="16" spans="1:29" ht="12.2" customHeight="1" x14ac:dyDescent="0.2">
      <c r="A16" s="2518">
        <f>COVER!A25</f>
        <v>61310</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563-242-3440</v>
      </c>
      <c r="H18" s="2516"/>
      <c r="I18" s="2516"/>
      <c r="J18" s="2516"/>
      <c r="K18" s="2515" t="str">
        <f>COVER!X21</f>
        <v>563-242-5555</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Amboy CUSD 272</v>
      </c>
      <c r="B1" s="2558"/>
      <c r="C1" s="2558"/>
      <c r="D1" s="2558"/>
    </row>
    <row r="2" spans="1:11" s="991" customFormat="1" ht="12.75" x14ac:dyDescent="0.2">
      <c r="A2" s="2559">
        <f>'Single Audit Cover'!E7</f>
        <v>47052272026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horizontalDpi="300" verticalDpi="300"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Amboy CUSD 272</v>
      </c>
      <c r="B1" s="2562"/>
      <c r="C1" s="2562"/>
      <c r="D1" s="2562"/>
      <c r="E1" s="2562"/>
    </row>
    <row r="2" spans="1:5" x14ac:dyDescent="0.2">
      <c r="A2" s="2563">
        <f>'Single Audit Cover'!E7</f>
        <v>47052272026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489626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37276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-35872</v>
      </c>
    </row>
    <row r="19" spans="1:4" ht="13.5" thickBot="1" x14ac:dyDescent="0.25">
      <c r="A19" s="1041" t="s">
        <v>1224</v>
      </c>
      <c r="D19" s="1042">
        <f>SUM(D10:D17)</f>
        <v>491030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491030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491030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Amboy CUSD 272</v>
      </c>
      <c r="C1" s="2566"/>
      <c r="D1" s="2566"/>
      <c r="E1" s="2566"/>
      <c r="F1" s="2566"/>
      <c r="G1" s="2566"/>
      <c r="H1" s="2566"/>
      <c r="I1" s="2566"/>
      <c r="J1" s="2566"/>
      <c r="K1" s="2566"/>
      <c r="L1" s="2566"/>
      <c r="M1" s="2566"/>
    </row>
    <row r="2" spans="2:14" ht="15" x14ac:dyDescent="0.2">
      <c r="B2" s="2567">
        <f>'Single Audit Cover'!E7</f>
        <v>47052272026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Amboy CUSD 272</v>
      </c>
      <c r="B1" s="2571"/>
      <c r="C1" s="2571"/>
      <c r="D1" s="2571"/>
      <c r="E1" s="2571"/>
      <c r="F1" s="2571"/>
    </row>
    <row r="2" spans="1:7" ht="13.5" customHeight="1" x14ac:dyDescent="0.2">
      <c r="A2" s="2567">
        <f>'Single Audit Cover'!E7</f>
        <v>47052272026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horizontalDpi="300" verticalDpi="300"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colorId="8" zoomScaleNormal="100" workbookViewId="0">
      <selection activeCell="F21" sqref="F2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35431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2059</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69" right="0.16" top="0.39" bottom="0.33" header="0.19" footer="0.17"/>
  <pageSetup scale="76" firstPageNumber="2"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Amboy CUSD 272</v>
      </c>
      <c r="C1" s="2587"/>
      <c r="D1" s="2587"/>
      <c r="E1" s="2587"/>
      <c r="F1" s="2587"/>
      <c r="G1" s="2587"/>
      <c r="H1" s="2587"/>
      <c r="I1" s="2587"/>
      <c r="J1" s="1178"/>
    </row>
    <row r="2" spans="2:10" s="295" customFormat="1" ht="12.75" customHeight="1" x14ac:dyDescent="0.2">
      <c r="B2" s="2588">
        <f>'Single Audit Cover'!E7</f>
        <v>47052272026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Amboy CUSD 272</v>
      </c>
      <c r="C1" s="2586"/>
      <c r="D1" s="2586"/>
      <c r="E1" s="2586"/>
      <c r="F1" s="2586"/>
      <c r="G1" s="2586"/>
      <c r="H1" s="2586"/>
      <c r="I1" s="2586"/>
      <c r="J1" s="2586"/>
      <c r="K1" s="2586"/>
      <c r="L1" s="1144"/>
      <c r="M1" s="1144"/>
    </row>
    <row r="2" spans="1:13" ht="12" customHeight="1" x14ac:dyDescent="0.2">
      <c r="B2" s="2588">
        <f>'Single Audit Cover'!E7</f>
        <v>47052272026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Amboy CUSD 272</v>
      </c>
      <c r="C1" s="2613"/>
      <c r="D1" s="2613"/>
      <c r="E1" s="2613"/>
      <c r="F1" s="2613"/>
      <c r="G1" s="2613"/>
      <c r="H1" s="2613"/>
      <c r="I1" s="2613"/>
      <c r="J1" s="2613"/>
      <c r="K1" s="2613"/>
      <c r="L1" s="1221"/>
    </row>
    <row r="2" spans="1:12" ht="12.75" customHeight="1" x14ac:dyDescent="0.2">
      <c r="B2" s="2614">
        <f>'Single Audit Cover'!E7</f>
        <v>47052272026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Amboy CUSD 272</v>
      </c>
      <c r="C1" s="2586"/>
      <c r="D1" s="2586"/>
      <c r="E1" s="1240"/>
    </row>
    <row r="2" spans="2:5" s="1058" customFormat="1" ht="12.75" customHeight="1" x14ac:dyDescent="0.2">
      <c r="B2" s="2588">
        <f>'Single Audit Cover'!E7</f>
        <v>47052272026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O28" sqref="O2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151992654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3.4327000000000003E-2</v>
      </c>
      <c r="E10" s="333" t="s">
        <v>998</v>
      </c>
      <c r="F10" s="332">
        <v>6.4419999999999998E-3</v>
      </c>
      <c r="G10" s="333" t="s">
        <v>998</v>
      </c>
      <c r="H10" s="332">
        <v>3.8999999999999998E-3</v>
      </c>
      <c r="I10" s="333" t="s">
        <v>999</v>
      </c>
      <c r="J10" s="1424">
        <f>ROUND(D10+F10+H10,5)</f>
        <v>4.4670000000000001E-2</v>
      </c>
      <c r="K10" s="217"/>
      <c r="L10" s="332">
        <v>3.8400000000000001E-4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9232961</v>
      </c>
      <c r="E16" s="1547"/>
      <c r="F16" s="1546">
        <f>SUM('Acct Summary 7-8'!C17,'Acct Summary 7-8'!D17,'Acct Summary 7-8'!F17)</f>
        <v>8732150</v>
      </c>
      <c r="G16" s="1547"/>
      <c r="H16" s="1546">
        <f>SUM(D16-F16)</f>
        <v>500811</v>
      </c>
      <c r="I16" s="1548"/>
      <c r="J16" s="1546">
        <f>SUM('Acct Summary 7-8'!C81,'Acct Summary 7-8'!D81,'Acct Summary 7-8'!F81,'Acct Summary 7-8'!I81)</f>
        <v>8293357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20974986.252</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18315487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ageMargins left="0.75" right="0.2" top="0.59" bottom="0.52" header="0.28000000000000003" footer="0.17"/>
  <pageSetup scale="90" firstPageNumber="3" orientation="portrait" useFirstPageNumber="1" horizontalDpi="300" verticalDpi="300" r:id="rId1"/>
  <headerFooter scaleWithDoc="0"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Amboy CUSD 272</v>
      </c>
      <c r="E7" s="368"/>
      <c r="G7" s="247"/>
      <c r="H7" s="364"/>
      <c r="I7" s="364"/>
      <c r="J7" s="364"/>
      <c r="K7" s="364"/>
      <c r="L7" s="307"/>
      <c r="M7" s="307"/>
      <c r="N7" s="307"/>
      <c r="O7" s="307"/>
      <c r="P7" s="307"/>
    </row>
    <row r="8" spans="1:18" ht="12.75" x14ac:dyDescent="0.2">
      <c r="A8" s="307"/>
      <c r="B8" s="307"/>
      <c r="C8" s="366" t="s">
        <v>1115</v>
      </c>
      <c r="D8" s="369">
        <f>COVER!A13</f>
        <v>47052272026</v>
      </c>
      <c r="E8" s="370"/>
      <c r="G8" s="307"/>
      <c r="H8" s="307"/>
      <c r="I8" s="307"/>
      <c r="J8" s="307"/>
      <c r="K8" s="307"/>
      <c r="L8" s="307"/>
      <c r="M8" s="307"/>
      <c r="N8" s="307"/>
      <c r="O8" s="307"/>
      <c r="P8" s="307"/>
    </row>
    <row r="9" spans="1:18" ht="12.75" x14ac:dyDescent="0.2">
      <c r="A9" s="307"/>
      <c r="B9" s="307"/>
      <c r="C9" s="366" t="s">
        <v>708</v>
      </c>
      <c r="D9" s="371" t="str">
        <f>COVER!A15</f>
        <v>Lee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8293357</v>
      </c>
      <c r="I12" s="380"/>
      <c r="J12" s="380"/>
      <c r="K12" s="1559">
        <f>TRUNC((H12/H13*100000),5)/100000</f>
        <v>0.89823373019999997</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9232961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8732150</v>
      </c>
      <c r="I17" s="380"/>
      <c r="J17" s="389"/>
      <c r="K17" s="1559">
        <f>TRUNC((H17/H18*100000),5)/100000</f>
        <v>0.94575835419999998</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9232961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8215973</v>
      </c>
      <c r="I24" s="394"/>
      <c r="J24" s="394"/>
      <c r="K24" s="1555">
        <f>TRUNC(((H24/H25*100000)/100000),2)</f>
        <v>338.71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24255.97222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5771085.0760500003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18315487</v>
      </c>
      <c r="I32" s="392"/>
      <c r="J32" s="392"/>
      <c r="K32" s="1555">
        <f>TRUNC(100-((((H32/H33*100))*100)/100),2)</f>
        <v>12.67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20974986.252</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6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3707490</v>
      </c>
      <c r="D4" s="1573">
        <v>2430069</v>
      </c>
      <c r="E4" s="1573">
        <v>128355</v>
      </c>
      <c r="F4" s="1573">
        <v>959544</v>
      </c>
      <c r="G4" s="1573">
        <v>289986</v>
      </c>
      <c r="H4" s="1573">
        <v>12005761</v>
      </c>
      <c r="I4" s="1573">
        <v>868870</v>
      </c>
      <c r="J4" s="1574">
        <v>318167</v>
      </c>
      <c r="K4" s="1573">
        <v>251529</v>
      </c>
      <c r="L4" s="1573">
        <v>202491</v>
      </c>
      <c r="M4" s="1575"/>
      <c r="N4" s="1576"/>
    </row>
    <row r="5" spans="1:14" x14ac:dyDescent="0.2">
      <c r="A5" s="427" t="s">
        <v>985</v>
      </c>
      <c r="B5" s="429">
        <v>120</v>
      </c>
      <c r="C5" s="1572"/>
      <c r="D5" s="1573"/>
      <c r="E5" s="1573"/>
      <c r="F5" s="1573"/>
      <c r="G5" s="1573"/>
      <c r="H5" s="1573"/>
      <c r="I5" s="1573">
        <v>250000</v>
      </c>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64647</v>
      </c>
      <c r="D11" s="1574">
        <v>3629</v>
      </c>
      <c r="E11" s="1574"/>
      <c r="F11" s="1574">
        <v>9108</v>
      </c>
      <c r="G11" s="1574">
        <v>4367</v>
      </c>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3772137</v>
      </c>
      <c r="D13" s="1587">
        <f t="shared" ref="D13:L13" si="0">SUM(D4:D12)</f>
        <v>2433698</v>
      </c>
      <c r="E13" s="1587">
        <f t="shared" si="0"/>
        <v>128355</v>
      </c>
      <c r="F13" s="1587">
        <f t="shared" si="0"/>
        <v>968652</v>
      </c>
      <c r="G13" s="1587">
        <f t="shared" si="0"/>
        <v>294353</v>
      </c>
      <c r="H13" s="1587">
        <f t="shared" si="0"/>
        <v>12005761</v>
      </c>
      <c r="I13" s="1587">
        <f t="shared" si="0"/>
        <v>1118870</v>
      </c>
      <c r="J13" s="1587">
        <f t="shared" si="0"/>
        <v>318167</v>
      </c>
      <c r="K13" s="1587">
        <f t="shared" si="0"/>
        <v>251529</v>
      </c>
      <c r="L13" s="1587">
        <f t="shared" si="0"/>
        <v>202491</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61600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13877549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417378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5006790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128355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18187132</v>
      </c>
    </row>
    <row r="23" spans="1:14" ht="13.5" customHeight="1" thickBot="1" x14ac:dyDescent="0.25">
      <c r="A23" s="1426" t="s">
        <v>638</v>
      </c>
      <c r="B23" s="1429"/>
      <c r="C23" s="1575"/>
      <c r="D23" s="1575"/>
      <c r="E23" s="1575"/>
      <c r="F23" s="1575"/>
      <c r="G23" s="1575"/>
      <c r="H23" s="1575"/>
      <c r="I23" s="1575"/>
      <c r="J23" s="1575"/>
      <c r="K23" s="1575"/>
      <c r="L23" s="1575"/>
      <c r="M23" s="1594">
        <f>SUM(M15:M22)</f>
        <v>19363317</v>
      </c>
      <c r="N23" s="1594">
        <f>SUM(N21:N22)</f>
        <v>18315487</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202491</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202491</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18315487</v>
      </c>
    </row>
    <row r="37" spans="1:14" ht="13.5" thickBot="1" x14ac:dyDescent="0.25">
      <c r="A37" s="1426" t="s">
        <v>648</v>
      </c>
      <c r="B37" s="1429"/>
      <c r="C37" s="1582"/>
      <c r="D37" s="1582"/>
      <c r="E37" s="1582"/>
      <c r="F37" s="1582"/>
      <c r="G37" s="1582"/>
      <c r="H37" s="1582"/>
      <c r="I37" s="1582"/>
      <c r="J37" s="1582"/>
      <c r="K37" s="1582"/>
      <c r="L37" s="1585"/>
      <c r="M37" s="1575"/>
      <c r="N37" s="1594">
        <f>SUM(N36:N36)</f>
        <v>18315487</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3772137</v>
      </c>
      <c r="D39" s="1573">
        <v>2433698</v>
      </c>
      <c r="E39" s="1573">
        <v>128355</v>
      </c>
      <c r="F39" s="1573">
        <v>968652</v>
      </c>
      <c r="G39" s="1573">
        <v>294353</v>
      </c>
      <c r="H39" s="1573">
        <v>12005761</v>
      </c>
      <c r="I39" s="1573">
        <v>1118870</v>
      </c>
      <c r="J39" s="1574">
        <v>318167</v>
      </c>
      <c r="K39" s="1573">
        <v>251529</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19363317</v>
      </c>
      <c r="N40" s="1604"/>
    </row>
    <row r="41" spans="1:14" ht="13.5" customHeight="1" thickBot="1" x14ac:dyDescent="0.25">
      <c r="A41" s="1426" t="s">
        <v>650</v>
      </c>
      <c r="B41" s="1405"/>
      <c r="C41" s="1594">
        <f>(SUM(C34,C37,C38,C39))</f>
        <v>3772137</v>
      </c>
      <c r="D41" s="1594">
        <f t="shared" ref="D41:L41" si="2">SUM(D34,D37,D38:D39)</f>
        <v>2433698</v>
      </c>
      <c r="E41" s="1594">
        <f t="shared" si="2"/>
        <v>128355</v>
      </c>
      <c r="F41" s="1594">
        <f t="shared" si="2"/>
        <v>968652</v>
      </c>
      <c r="G41" s="1594">
        <f t="shared" si="2"/>
        <v>294353</v>
      </c>
      <c r="H41" s="1594">
        <f t="shared" si="2"/>
        <v>12005761</v>
      </c>
      <c r="I41" s="1594">
        <f t="shared" si="2"/>
        <v>1118870</v>
      </c>
      <c r="J41" s="1594">
        <f t="shared" si="2"/>
        <v>318167</v>
      </c>
      <c r="K41" s="1594">
        <f t="shared" si="2"/>
        <v>251529</v>
      </c>
      <c r="L41" s="1594">
        <f t="shared" si="2"/>
        <v>202491</v>
      </c>
      <c r="M41" s="1594">
        <f>SUM(M40)</f>
        <v>19363317</v>
      </c>
      <c r="N41" s="1594">
        <f>SUM(N37)</f>
        <v>18315487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gridLinesSet="0"/>
  <pageMargins left="0.3" right="0.15" top="1.1100000000000001" bottom="0" header="0.7"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E16" sqref="E1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5705092</v>
      </c>
      <c r="D4" s="1606">
        <f>'Revenues 9-14'!D109</f>
        <v>986369</v>
      </c>
      <c r="E4" s="1606">
        <f>'Revenues 9-14'!E109</f>
        <v>1317155</v>
      </c>
      <c r="F4" s="1606">
        <f>'Revenues 9-14'!F109</f>
        <v>588875</v>
      </c>
      <c r="G4" s="1606">
        <f>'Revenues 9-14'!G109</f>
        <v>286188</v>
      </c>
      <c r="H4" s="1606">
        <f>'Revenues 9-14'!H109</f>
        <v>653501</v>
      </c>
      <c r="I4" s="1606">
        <f>'Revenues 9-14'!I109</f>
        <v>72425</v>
      </c>
      <c r="J4" s="1606">
        <f>'Revenues 9-14'!J109</f>
        <v>103479</v>
      </c>
      <c r="K4" s="1606">
        <f>'Revenues 9-14'!K109</f>
        <v>60977</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1035513</v>
      </c>
      <c r="D6" s="1607">
        <f>'Revenues 9-14'!D170</f>
        <v>50000</v>
      </c>
      <c r="E6" s="1607">
        <f>'Revenues 9-14'!E170</f>
        <v>0</v>
      </c>
      <c r="F6" s="1607">
        <f>'Revenues 9-14'!F170</f>
        <v>305061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489626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7230231</v>
      </c>
      <c r="D8" s="1594">
        <f t="shared" ref="D8:K8" si="0">SUM(D4:D7)</f>
        <v>1036369</v>
      </c>
      <c r="E8" s="1594">
        <f t="shared" si="0"/>
        <v>1317155</v>
      </c>
      <c r="F8" s="1594">
        <f t="shared" si="0"/>
        <v>893936</v>
      </c>
      <c r="G8" s="1594">
        <f t="shared" si="0"/>
        <v>286188</v>
      </c>
      <c r="H8" s="1594">
        <f t="shared" si="0"/>
        <v>653501</v>
      </c>
      <c r="I8" s="1594">
        <f t="shared" si="0"/>
        <v>72425</v>
      </c>
      <c r="J8" s="1594">
        <f t="shared" si="0"/>
        <v>103479</v>
      </c>
      <c r="K8" s="1594">
        <f t="shared" si="0"/>
        <v>60977</v>
      </c>
      <c r="L8" s="325"/>
    </row>
    <row r="9" spans="1:13" ht="15.75" thickTop="1" x14ac:dyDescent="0.2">
      <c r="A9" s="449" t="s">
        <v>1634</v>
      </c>
      <c r="B9" s="450">
        <v>3998</v>
      </c>
      <c r="C9" s="1586">
        <v>3090913</v>
      </c>
      <c r="D9" s="1613"/>
      <c r="E9" s="1586"/>
      <c r="F9" s="1586"/>
      <c r="G9" s="1614"/>
      <c r="H9" s="1586"/>
      <c r="I9" s="1609" t="s">
        <v>1159</v>
      </c>
      <c r="J9" s="1583"/>
      <c r="K9" s="1586"/>
      <c r="L9" s="325"/>
    </row>
    <row r="10" spans="1:13" s="452" customFormat="1" ht="13.5" thickBot="1" x14ac:dyDescent="0.25">
      <c r="A10" s="1426" t="s">
        <v>1163</v>
      </c>
      <c r="B10" s="1407"/>
      <c r="C10" s="1594">
        <f>SUM(C8:C9)</f>
        <v>10321144</v>
      </c>
      <c r="D10" s="1594">
        <f t="shared" ref="D10:K10" si="1">SUM(D8:D9)</f>
        <v>1036369</v>
      </c>
      <c r="E10" s="1594">
        <f t="shared" si="1"/>
        <v>1317155</v>
      </c>
      <c r="F10" s="1594">
        <f t="shared" si="1"/>
        <v>893936</v>
      </c>
      <c r="G10" s="1594">
        <f t="shared" si="1"/>
        <v>286188</v>
      </c>
      <c r="H10" s="1594">
        <f t="shared" si="1"/>
        <v>653501</v>
      </c>
      <c r="I10" s="1594">
        <f t="shared" si="1"/>
        <v>72425</v>
      </c>
      <c r="J10" s="1594">
        <f t="shared" si="1"/>
        <v>103479</v>
      </c>
      <c r="K10" s="1594">
        <f t="shared" si="1"/>
        <v>60977</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4720256</v>
      </c>
      <c r="D12" s="1616" t="s">
        <v>1159</v>
      </c>
      <c r="E12" s="1575" t="s">
        <v>1159</v>
      </c>
      <c r="F12" s="1575" t="s">
        <v>1159</v>
      </c>
      <c r="G12" s="1606">
        <f>'Expenditures 15-22'!K229</f>
        <v>89254</v>
      </c>
      <c r="H12" s="1617"/>
      <c r="I12" s="1575" t="s">
        <v>1159</v>
      </c>
      <c r="J12" s="1575" t="s">
        <v>1159</v>
      </c>
      <c r="K12" s="1617" t="s">
        <v>1159</v>
      </c>
      <c r="L12" s="325"/>
    </row>
    <row r="13" spans="1:13" ht="15.75" customHeight="1" x14ac:dyDescent="0.2">
      <c r="A13" s="1314" t="s">
        <v>454</v>
      </c>
      <c r="B13" s="1316">
        <v>2000</v>
      </c>
      <c r="C13" s="1607">
        <f>'Expenditures 15-22'!K74</f>
        <v>2247435</v>
      </c>
      <c r="D13" s="1607">
        <f>'Expenditures 15-22'!K129</f>
        <v>797705</v>
      </c>
      <c r="E13" s="1576" t="s">
        <v>1159</v>
      </c>
      <c r="F13" s="1607">
        <f>'Expenditures 15-22'!K184</f>
        <v>571726</v>
      </c>
      <c r="G13" s="1607">
        <f>'Expenditures 15-22'!K279</f>
        <v>213576</v>
      </c>
      <c r="H13" s="1607">
        <f>'Expenditures 15-22'!K303</f>
        <v>5585439</v>
      </c>
      <c r="I13" s="1575" t="s">
        <v>1159</v>
      </c>
      <c r="J13" s="1607">
        <f>'Expenditures 15-22'!K330</f>
        <v>158958</v>
      </c>
      <c r="K13" s="1618">
        <f>'Expenditures 15-22'!K352</f>
        <v>2315</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395028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1431574</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7362719</v>
      </c>
      <c r="D17" s="1594">
        <f t="shared" si="2"/>
        <v>797705</v>
      </c>
      <c r="E17" s="1594">
        <f t="shared" si="2"/>
        <v>1431574</v>
      </c>
      <c r="F17" s="1594">
        <f t="shared" si="2"/>
        <v>571726</v>
      </c>
      <c r="G17" s="1594">
        <f t="shared" si="2"/>
        <v>302830</v>
      </c>
      <c r="H17" s="1594">
        <f t="shared" si="2"/>
        <v>5585439</v>
      </c>
      <c r="I17" s="1575"/>
      <c r="J17" s="1594">
        <f>SUM(J12:J16)</f>
        <v>158958</v>
      </c>
      <c r="K17" s="1594">
        <f>SUM(K12:K16)</f>
        <v>2315</v>
      </c>
      <c r="L17" s="325"/>
    </row>
    <row r="18" spans="1:12" ht="15" customHeight="1" thickTop="1" x14ac:dyDescent="0.2">
      <c r="A18" s="1430" t="s">
        <v>1635</v>
      </c>
      <c r="B18" s="1431">
        <v>4180</v>
      </c>
      <c r="C18" s="1606">
        <f t="shared" ref="C18:H18" si="3">C9</f>
        <v>3090913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10453632</v>
      </c>
      <c r="D19" s="1594">
        <f t="shared" si="4"/>
        <v>797705</v>
      </c>
      <c r="E19" s="1594">
        <f t="shared" si="4"/>
        <v>1431574</v>
      </c>
      <c r="F19" s="1594">
        <f t="shared" si="4"/>
        <v>571726</v>
      </c>
      <c r="G19" s="1594">
        <f t="shared" si="4"/>
        <v>302830</v>
      </c>
      <c r="H19" s="1594">
        <f t="shared" si="4"/>
        <v>5585439</v>
      </c>
      <c r="I19" s="1575"/>
      <c r="J19" s="1594">
        <f>SUM(J17:J18)</f>
        <v>158958</v>
      </c>
      <c r="K19" s="1594">
        <f>SUM(K17:K18)</f>
        <v>2315</v>
      </c>
      <c r="L19" s="325"/>
    </row>
    <row r="20" spans="1:12" ht="16.5" thickTop="1" thickBot="1" x14ac:dyDescent="0.25">
      <c r="A20" s="2231" t="s">
        <v>1636</v>
      </c>
      <c r="B20" s="2232"/>
      <c r="C20" s="1622">
        <f>C8-C17</f>
        <v>-132488</v>
      </c>
      <c r="D20" s="1622">
        <f t="shared" ref="D20:K20" si="5">D8-D17</f>
        <v>238664</v>
      </c>
      <c r="E20" s="1622">
        <f t="shared" si="5"/>
        <v>-114419</v>
      </c>
      <c r="F20" s="1622">
        <f t="shared" si="5"/>
        <v>322210</v>
      </c>
      <c r="G20" s="1622">
        <f t="shared" si="5"/>
        <v>-16642</v>
      </c>
      <c r="H20" s="1622">
        <f t="shared" si="5"/>
        <v>-4931938</v>
      </c>
      <c r="I20" s="1622">
        <f t="shared" si="5"/>
        <v>72425</v>
      </c>
      <c r="J20" s="1622">
        <f t="shared" si="5"/>
        <v>-55479</v>
      </c>
      <c r="K20" s="1622">
        <f t="shared" si="5"/>
        <v>58662</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v>500000</v>
      </c>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v>1130000</v>
      </c>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208488</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500000</v>
      </c>
      <c r="E44" s="1624">
        <f t="shared" si="6"/>
        <v>208488</v>
      </c>
      <c r="F44" s="1624">
        <f t="shared" si="6"/>
        <v>0</v>
      </c>
      <c r="G44" s="1624">
        <f t="shared" si="6"/>
        <v>0</v>
      </c>
      <c r="H44" s="1624">
        <f t="shared" si="6"/>
        <v>1130000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v>500000</v>
      </c>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v>208488</v>
      </c>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500000</v>
      </c>
      <c r="G76" s="1624">
        <f t="shared" si="7"/>
        <v>0</v>
      </c>
      <c r="H76" s="1624">
        <f t="shared" si="7"/>
        <v>208488</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500000</v>
      </c>
      <c r="E77" s="1624">
        <f t="shared" si="8"/>
        <v>208488</v>
      </c>
      <c r="F77" s="1624">
        <f t="shared" si="8"/>
        <v>-500000</v>
      </c>
      <c r="G77" s="1624">
        <f t="shared" si="8"/>
        <v>0</v>
      </c>
      <c r="H77" s="1624">
        <f t="shared" si="8"/>
        <v>921512</v>
      </c>
      <c r="I77" s="1624">
        <f t="shared" si="8"/>
        <v>0</v>
      </c>
      <c r="J77" s="1624">
        <f t="shared" si="8"/>
        <v>0</v>
      </c>
      <c r="K77" s="1624">
        <f t="shared" si="8"/>
        <v>0</v>
      </c>
      <c r="L77" s="325"/>
    </row>
    <row r="78" spans="1:12" ht="21.75" customHeight="1" thickTop="1" thickBot="1" x14ac:dyDescent="0.25">
      <c r="A78" s="2227" t="s">
        <v>593</v>
      </c>
      <c r="B78" s="2228"/>
      <c r="C78" s="1629">
        <f t="shared" ref="C78:K78" si="9">C20+C77</f>
        <v>-132488</v>
      </c>
      <c r="D78" s="1629">
        <f t="shared" si="9"/>
        <v>738664</v>
      </c>
      <c r="E78" s="1629">
        <f t="shared" si="9"/>
        <v>94069</v>
      </c>
      <c r="F78" s="1629">
        <f t="shared" si="9"/>
        <v>-177790</v>
      </c>
      <c r="G78" s="1629">
        <f t="shared" si="9"/>
        <v>-16642</v>
      </c>
      <c r="H78" s="1629">
        <f t="shared" si="9"/>
        <v>-4010426</v>
      </c>
      <c r="I78" s="1629">
        <f t="shared" si="9"/>
        <v>72425</v>
      </c>
      <c r="J78" s="1629">
        <f t="shared" si="9"/>
        <v>-55479</v>
      </c>
      <c r="K78" s="1629">
        <f t="shared" si="9"/>
        <v>58662</v>
      </c>
      <c r="L78" s="457"/>
    </row>
    <row r="79" spans="1:12" ht="13.5" thickTop="1" x14ac:dyDescent="0.2">
      <c r="A79" s="1844" t="str">
        <f>"Fund Balances - July 1, "&amp;'AFR20'!E2-1</f>
        <v>Fund Balances - July 1, 2019</v>
      </c>
      <c r="B79" s="458"/>
      <c r="C79" s="1583">
        <v>3904625</v>
      </c>
      <c r="D79" s="1630">
        <v>1695034</v>
      </c>
      <c r="E79" s="1630">
        <v>34286</v>
      </c>
      <c r="F79" s="1630">
        <v>1146442</v>
      </c>
      <c r="G79" s="1630">
        <v>310995</v>
      </c>
      <c r="H79" s="1630">
        <v>16016187</v>
      </c>
      <c r="I79" s="1630">
        <v>1046445</v>
      </c>
      <c r="J79" s="1630">
        <v>373646</v>
      </c>
      <c r="K79" s="1630">
        <v>192867</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3772137</v>
      </c>
      <c r="D81" s="1594">
        <f>SUM(D78:D80)</f>
        <v>2433698</v>
      </c>
      <c r="E81" s="1594">
        <f t="shared" ref="E81:K81" si="10">SUM(E78:E80)</f>
        <v>128355</v>
      </c>
      <c r="F81" s="1594">
        <f t="shared" si="10"/>
        <v>968652</v>
      </c>
      <c r="G81" s="1594">
        <f t="shared" si="10"/>
        <v>294353</v>
      </c>
      <c r="H81" s="1594">
        <f t="shared" si="10"/>
        <v>12005761</v>
      </c>
      <c r="I81" s="1594">
        <f t="shared" si="10"/>
        <v>1118870</v>
      </c>
      <c r="J81" s="1594">
        <f t="shared" si="10"/>
        <v>318167</v>
      </c>
      <c r="K81" s="1594">
        <f t="shared" si="10"/>
        <v>251529</v>
      </c>
      <c r="L81" s="325"/>
    </row>
    <row r="82" spans="1:12" ht="0.75" customHeight="1" thickTop="1" thickBot="1" x14ac:dyDescent="0.25">
      <c r="A82" s="459" t="s">
        <v>340</v>
      </c>
      <c r="B82" s="460"/>
      <c r="C82" s="461">
        <f>(C81-C79)</f>
        <v>-132488</v>
      </c>
      <c r="D82" s="461">
        <f t="shared" ref="D82:K82" si="11">(D81-D79)</f>
        <v>738664</v>
      </c>
      <c r="E82" s="461">
        <f t="shared" si="11"/>
        <v>94069</v>
      </c>
      <c r="F82" s="461">
        <f t="shared" si="11"/>
        <v>-177790</v>
      </c>
      <c r="G82" s="461">
        <f t="shared" si="11"/>
        <v>-16642</v>
      </c>
      <c r="H82" s="461">
        <f t="shared" si="11"/>
        <v>-4010426</v>
      </c>
      <c r="I82" s="461">
        <f t="shared" si="11"/>
        <v>72425</v>
      </c>
      <c r="J82" s="461">
        <f t="shared" si="11"/>
        <v>-55479</v>
      </c>
      <c r="K82" s="461">
        <f t="shared" si="11"/>
        <v>58662</v>
      </c>
    </row>
    <row r="83" spans="1:12" ht="14.25" hidden="1" thickTop="1" thickBot="1" x14ac:dyDescent="0.25">
      <c r="A83" s="462" t="s">
        <v>341</v>
      </c>
      <c r="B83" s="428"/>
      <c r="C83" s="463">
        <f>C82/C81</f>
        <v>-3.5122796441380576E-2</v>
      </c>
      <c r="D83" s="463">
        <f t="shared" ref="D83:K83" si="12">D82/D81</f>
        <v>0.3035150622632718</v>
      </c>
      <c r="E83" s="463">
        <f t="shared" si="12"/>
        <v>0.73288146157142298</v>
      </c>
      <c r="F83" s="463">
        <f t="shared" si="12"/>
        <v>-0.1835437288107597</v>
      </c>
      <c r="G83" s="463">
        <f t="shared" si="12"/>
        <v>-5.6537558645571813E-2</v>
      </c>
      <c r="H83" s="463">
        <f t="shared" si="12"/>
        <v>-0.33404179876644219</v>
      </c>
      <c r="I83" s="463">
        <f t="shared" si="12"/>
        <v>6.473048700921466E-2</v>
      </c>
      <c r="J83" s="463">
        <f t="shared" si="12"/>
        <v>-0.17437069212080447</v>
      </c>
      <c r="K83" s="463">
        <f t="shared" si="12"/>
        <v>0.23322161659291771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ageMargins left="0.21" right="0" top="1.05" bottom="0.23" header="0.5"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3" activePane="bottomLeft" state="frozen"/>
      <selection pane="bottomLeft" activeCell="C258" sqref="C25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5034445</v>
      </c>
      <c r="D5" s="1586">
        <v>944703</v>
      </c>
      <c r="E5" s="1573">
        <v>1307791</v>
      </c>
      <c r="F5" s="1631">
        <v>571936</v>
      </c>
      <c r="G5" s="1573">
        <v>157714</v>
      </c>
      <c r="H5" s="1573"/>
      <c r="I5" s="1573">
        <v>56181</v>
      </c>
      <c r="J5" s="1574">
        <v>98786</v>
      </c>
      <c r="K5" s="1573">
        <v>56908</v>
      </c>
    </row>
    <row r="6" spans="1:12" ht="15" x14ac:dyDescent="0.2">
      <c r="A6" s="427" t="s">
        <v>1643</v>
      </c>
      <c r="B6" s="429">
        <v>1130</v>
      </c>
      <c r="C6" s="1573">
        <v>56908</v>
      </c>
      <c r="D6" s="1573"/>
      <c r="E6" s="1580"/>
      <c r="F6" s="1580"/>
      <c r="G6" s="1575"/>
      <c r="H6" s="1575"/>
      <c r="I6" s="1575"/>
      <c r="J6" s="1575"/>
      <c r="K6" s="1575"/>
    </row>
    <row r="7" spans="1:12" x14ac:dyDescent="0.2">
      <c r="A7" s="427" t="s">
        <v>110</v>
      </c>
      <c r="B7" s="471">
        <v>1140</v>
      </c>
      <c r="C7" s="1573">
        <v>48674</v>
      </c>
      <c r="D7" s="1573"/>
      <c r="E7" s="1575"/>
      <c r="F7" s="1574"/>
      <c r="G7" s="1574"/>
      <c r="H7" s="1574"/>
      <c r="I7" s="1575"/>
      <c r="J7" s="1575"/>
      <c r="K7" s="1575"/>
    </row>
    <row r="8" spans="1:12" x14ac:dyDescent="0.2">
      <c r="A8" s="427" t="s">
        <v>410</v>
      </c>
      <c r="B8" s="429">
        <v>1150</v>
      </c>
      <c r="C8" s="1580"/>
      <c r="D8" s="1580"/>
      <c r="E8" s="1582"/>
      <c r="F8" s="1582"/>
      <c r="G8" s="1586">
        <v>119293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5140027</v>
      </c>
      <c r="D12" s="1633">
        <f t="shared" si="0"/>
        <v>944703</v>
      </c>
      <c r="E12" s="1633">
        <f t="shared" si="0"/>
        <v>1307791</v>
      </c>
      <c r="F12" s="1633">
        <f t="shared" si="0"/>
        <v>571936</v>
      </c>
      <c r="G12" s="1633">
        <f t="shared" si="0"/>
        <v>277007</v>
      </c>
      <c r="H12" s="1633">
        <f t="shared" si="0"/>
        <v>0</v>
      </c>
      <c r="I12" s="1633">
        <f t="shared" si="0"/>
        <v>56181</v>
      </c>
      <c r="J12" s="1633">
        <f t="shared" si="0"/>
        <v>98786</v>
      </c>
      <c r="K12" s="1594">
        <f t="shared" si="0"/>
        <v>56908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238641</v>
      </c>
      <c r="D16" s="1573"/>
      <c r="E16" s="1573"/>
      <c r="F16" s="1573"/>
      <c r="G16" s="1573">
        <v>3000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238641</v>
      </c>
      <c r="D18" s="1635">
        <f t="shared" ref="D18:K18" si="1">SUM(D14:D17)</f>
        <v>0</v>
      </c>
      <c r="E18" s="1635">
        <f t="shared" si="1"/>
        <v>0</v>
      </c>
      <c r="F18" s="1635">
        <f t="shared" si="1"/>
        <v>0</v>
      </c>
      <c r="G18" s="1635">
        <f t="shared" si="1"/>
        <v>3000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93557</v>
      </c>
      <c r="D65" s="1573">
        <v>41666</v>
      </c>
      <c r="E65" s="1573">
        <v>9364</v>
      </c>
      <c r="F65" s="1574">
        <v>16939</v>
      </c>
      <c r="G65" s="1573">
        <v>6181</v>
      </c>
      <c r="H65" s="1573">
        <v>283704</v>
      </c>
      <c r="I65" s="1573">
        <v>16244</v>
      </c>
      <c r="J65" s="1574">
        <v>4693</v>
      </c>
      <c r="K65" s="1573">
        <v>4069</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93557</v>
      </c>
      <c r="D67" s="1594">
        <f t="shared" ref="D67:K67" si="2">SUM(D65:D66)</f>
        <v>41666</v>
      </c>
      <c r="E67" s="1594">
        <f t="shared" si="2"/>
        <v>9364</v>
      </c>
      <c r="F67" s="1594">
        <f t="shared" si="2"/>
        <v>16939</v>
      </c>
      <c r="G67" s="1594">
        <f t="shared" si="2"/>
        <v>6181</v>
      </c>
      <c r="H67" s="1594">
        <f t="shared" si="2"/>
        <v>283704</v>
      </c>
      <c r="I67" s="1594">
        <f t="shared" si="2"/>
        <v>16244</v>
      </c>
      <c r="J67" s="1594">
        <f t="shared" si="2"/>
        <v>4693</v>
      </c>
      <c r="K67" s="1594">
        <f t="shared" si="2"/>
        <v>4069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77092</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3286</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233</v>
      </c>
      <c r="D73" s="1575"/>
      <c r="E73" s="1575"/>
      <c r="F73" s="1575"/>
      <c r="G73" s="1575"/>
      <c r="H73" s="1575"/>
      <c r="I73" s="1575"/>
      <c r="J73" s="1575"/>
      <c r="K73" s="1575"/>
    </row>
    <row r="74" spans="1:11" ht="12.75" customHeight="1" x14ac:dyDescent="0.2">
      <c r="A74" s="427" t="s">
        <v>25</v>
      </c>
      <c r="B74" s="429">
        <v>1690</v>
      </c>
      <c r="C74" s="1632">
        <v>3089</v>
      </c>
      <c r="D74" s="1575"/>
      <c r="E74" s="1575"/>
      <c r="F74" s="1575"/>
      <c r="G74" s="1575"/>
      <c r="H74" s="1575"/>
      <c r="I74" s="1575"/>
      <c r="J74" s="1575"/>
      <c r="K74" s="1575"/>
    </row>
    <row r="75" spans="1:11" ht="12.75" customHeight="1" thickBot="1" x14ac:dyDescent="0.25">
      <c r="A75" s="1406" t="s">
        <v>544</v>
      </c>
      <c r="B75" s="1407"/>
      <c r="C75" s="1594">
        <f>SUM(C69:C74)</f>
        <v>83700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23430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20884</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44314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29020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v>20382</v>
      </c>
      <c r="D92" s="1575"/>
      <c r="E92" s="1575"/>
      <c r="F92" s="1575"/>
      <c r="G92" s="1575"/>
      <c r="H92" s="1575"/>
      <c r="I92" s="1575"/>
      <c r="J92" s="1575"/>
      <c r="K92" s="1575"/>
    </row>
    <row r="93" spans="1:11" ht="12.75" customHeight="1" thickBot="1" x14ac:dyDescent="0.25">
      <c r="A93" s="1406" t="s">
        <v>241</v>
      </c>
      <c r="B93" s="1407"/>
      <c r="C93" s="1594">
        <f>SUM(C84:C92)</f>
        <v>49402</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30067</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1491</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369797</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23893</v>
      </c>
      <c r="D107" s="1573"/>
      <c r="E107" s="1573"/>
      <c r="F107" s="1573"/>
      <c r="G107" s="1573"/>
      <c r="H107" s="1573"/>
      <c r="I107" s="1573"/>
      <c r="J107" s="1574"/>
      <c r="K107" s="1573"/>
    </row>
    <row r="108" spans="1:12" ht="12.75" customHeight="1" thickBot="1" x14ac:dyDescent="0.25">
      <c r="A108" s="1406" t="s">
        <v>484</v>
      </c>
      <c r="B108" s="1408"/>
      <c r="C108" s="1633">
        <f>SUM(C95:C107)</f>
        <v>55451</v>
      </c>
      <c r="D108" s="1633">
        <f t="shared" ref="D108:K108" si="3">SUM(D95:D107)</f>
        <v>0</v>
      </c>
      <c r="E108" s="1633">
        <f t="shared" si="3"/>
        <v>0</v>
      </c>
      <c r="F108" s="1633">
        <f t="shared" si="3"/>
        <v>0</v>
      </c>
      <c r="G108" s="1633">
        <f t="shared" si="3"/>
        <v>0</v>
      </c>
      <c r="H108" s="1633">
        <f t="shared" si="3"/>
        <v>369797</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5705092</v>
      </c>
      <c r="D109" s="1641">
        <f t="shared" si="4"/>
        <v>986369</v>
      </c>
      <c r="E109" s="1641">
        <f t="shared" si="4"/>
        <v>1317155</v>
      </c>
      <c r="F109" s="1641">
        <f t="shared" si="4"/>
        <v>588875</v>
      </c>
      <c r="G109" s="1641">
        <f t="shared" si="4"/>
        <v>286188</v>
      </c>
      <c r="H109" s="1641">
        <f t="shared" si="4"/>
        <v>653501</v>
      </c>
      <c r="I109" s="1641">
        <f t="shared" si="4"/>
        <v>72425</v>
      </c>
      <c r="J109" s="1641">
        <f t="shared" si="4"/>
        <v>103479</v>
      </c>
      <c r="K109" s="1629">
        <f t="shared" si="4"/>
        <v>60977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848836</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848836</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3095</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6143</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9238</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v>24821</v>
      </c>
      <c r="D140" s="1573"/>
      <c r="E140" s="1640"/>
      <c r="F140" s="1582"/>
      <c r="G140" s="1574"/>
      <c r="H140" s="1575"/>
      <c r="I140" s="1575"/>
      <c r="J140" s="1575"/>
      <c r="K140" s="1575"/>
    </row>
    <row r="141" spans="1:11" ht="12.75" customHeight="1" thickBot="1" x14ac:dyDescent="0.25">
      <c r="A141" s="1406" t="s">
        <v>599</v>
      </c>
      <c r="B141" s="1414"/>
      <c r="C141" s="1633">
        <f>SUM(C134:C140)</f>
        <v>24821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1656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5751</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196615</v>
      </c>
      <c r="G152" s="1574"/>
      <c r="H152" s="1575"/>
      <c r="I152" s="1575"/>
      <c r="J152" s="1575"/>
      <c r="K152" s="1575"/>
    </row>
    <row r="153" spans="1:11" ht="12.75" customHeight="1" x14ac:dyDescent="0.2">
      <c r="A153" s="427" t="s">
        <v>1048</v>
      </c>
      <c r="B153" s="478">
        <v>3510</v>
      </c>
      <c r="C153" s="1632"/>
      <c r="D153" s="1573"/>
      <c r="E153" s="1640"/>
      <c r="F153" s="1573">
        <v>108446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305061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v>780</v>
      </c>
      <c r="D158" s="1575"/>
      <c r="E158" s="1640"/>
      <c r="F158" s="1651"/>
      <c r="G158" s="1651"/>
      <c r="H158" s="1575"/>
      <c r="I158" s="1575"/>
      <c r="J158" s="1575"/>
      <c r="K158" s="1575"/>
    </row>
    <row r="159" spans="1:11" ht="12.75" customHeight="1" thickTop="1" thickBot="1" x14ac:dyDescent="0.25">
      <c r="A159" s="1270" t="s">
        <v>1042</v>
      </c>
      <c r="B159" s="484">
        <v>3705</v>
      </c>
      <c r="C159" s="1651">
        <v>143681</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186677</v>
      </c>
      <c r="D169" s="1658">
        <f t="shared" si="6"/>
        <v>50000</v>
      </c>
      <c r="E169" s="1658">
        <f t="shared" si="6"/>
        <v>0</v>
      </c>
      <c r="F169" s="1658">
        <f t="shared" si="6"/>
        <v>305061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1035513</v>
      </c>
      <c r="D170" s="1641">
        <f t="shared" si="7"/>
        <v>50000</v>
      </c>
      <c r="E170" s="1641">
        <f t="shared" si="7"/>
        <v>0</v>
      </c>
      <c r="F170" s="1641">
        <f t="shared" si="7"/>
        <v>305061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92487</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19209</v>
      </c>
      <c r="D193" s="1575"/>
      <c r="E193" s="1640"/>
      <c r="F193" s="1575"/>
      <c r="G193" s="1664"/>
      <c r="H193" s="1575"/>
      <c r="I193" s="1575"/>
      <c r="J193" s="1575"/>
      <c r="K193" s="1575"/>
    </row>
    <row r="194" spans="1:11" ht="12.75" customHeight="1" x14ac:dyDescent="0.2">
      <c r="A194" s="427" t="s">
        <v>1434</v>
      </c>
      <c r="B194" s="429">
        <v>4225</v>
      </c>
      <c r="C194" s="1632">
        <v>56257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167953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149658</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149658</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4722</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4722</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v>35245</v>
      </c>
      <c r="D216" s="1573"/>
      <c r="E216" s="1575"/>
      <c r="F216" s="1573"/>
      <c r="G216" s="1573"/>
      <c r="H216" s="1575"/>
      <c r="I216" s="1575"/>
      <c r="J216" s="1575"/>
      <c r="K216" s="1575"/>
    </row>
    <row r="217" spans="1:11" ht="12.75" customHeight="1" thickBot="1" x14ac:dyDescent="0.25">
      <c r="A217" s="1406" t="s">
        <v>444</v>
      </c>
      <c r="B217" s="1407"/>
      <c r="C217" s="1633">
        <f>SUM(C211:C216)</f>
        <v>35245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v>41499</v>
      </c>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54677</v>
      </c>
      <c r="D263" s="1651"/>
      <c r="E263" s="1575"/>
      <c r="F263" s="1651"/>
      <c r="G263" s="1651"/>
      <c r="H263" s="1575"/>
      <c r="I263" s="1575"/>
      <c r="J263" s="1575"/>
      <c r="K263" s="1575"/>
    </row>
    <row r="264" spans="1:11" ht="12.75" customHeight="1" thickTop="1" thickBot="1" x14ac:dyDescent="0.25">
      <c r="A264" s="427" t="s">
        <v>374</v>
      </c>
      <c r="B264" s="429">
        <v>4992</v>
      </c>
      <c r="C264" s="1650">
        <v>35872</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489626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489626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7230231</v>
      </c>
      <c r="D268" s="1641">
        <f t="shared" si="12"/>
        <v>1036369</v>
      </c>
      <c r="E268" s="1641">
        <f t="shared" si="12"/>
        <v>1317155</v>
      </c>
      <c r="F268" s="1641">
        <f t="shared" si="12"/>
        <v>893936</v>
      </c>
      <c r="G268" s="1641">
        <f t="shared" si="12"/>
        <v>286188</v>
      </c>
      <c r="H268" s="1641">
        <f t="shared" si="12"/>
        <v>653501</v>
      </c>
      <c r="I268" s="1641">
        <f t="shared" si="12"/>
        <v>72425</v>
      </c>
      <c r="J268" s="1641">
        <f t="shared" si="12"/>
        <v>103479</v>
      </c>
      <c r="K268" s="1629">
        <f t="shared" si="12"/>
        <v>60977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gridLines="1"/>
  <pageMargins left="0.25" right="0.15" top="0.91" bottom="0.46" header="0.6" footer="0.17"/>
  <pageSetup scale="74" firstPageNumber="9"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2" activePane="bottomLeft" state="frozen"/>
      <selection pane="bottomLeft" activeCell="H171" sqref="H1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2486096</v>
      </c>
      <c r="D5" s="1573">
        <v>790631</v>
      </c>
      <c r="E5" s="1573">
        <v>43154</v>
      </c>
      <c r="F5" s="1573">
        <v>165785</v>
      </c>
      <c r="G5" s="1573">
        <v>4006</v>
      </c>
      <c r="H5" s="1573">
        <v>19631</v>
      </c>
      <c r="I5" s="1574"/>
      <c r="J5" s="1574"/>
      <c r="K5" s="1672">
        <f>SUM(C5:J5)</f>
        <v>3509303</v>
      </c>
      <c r="L5" s="1573">
        <v>3536621</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110164</v>
      </c>
    </row>
    <row r="8" spans="1:14" x14ac:dyDescent="0.2">
      <c r="A8" s="1274" t="s">
        <v>163</v>
      </c>
      <c r="B8" s="503">
        <v>1200</v>
      </c>
      <c r="C8" s="1573">
        <v>527180</v>
      </c>
      <c r="D8" s="1573">
        <v>148041</v>
      </c>
      <c r="E8" s="1573">
        <v>137</v>
      </c>
      <c r="F8" s="1573">
        <v>3971</v>
      </c>
      <c r="G8" s="1573"/>
      <c r="H8" s="1573"/>
      <c r="I8" s="1574"/>
      <c r="J8" s="1574"/>
      <c r="K8" s="1672">
        <f t="shared" si="0"/>
        <v>679329</v>
      </c>
      <c r="L8" s="1573">
        <v>688404</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55363</v>
      </c>
      <c r="D10" s="1573">
        <v>10424</v>
      </c>
      <c r="E10" s="1573">
        <v>20588</v>
      </c>
      <c r="F10" s="1573">
        <v>19978</v>
      </c>
      <c r="G10" s="1573"/>
      <c r="H10" s="1573"/>
      <c r="I10" s="1574"/>
      <c r="J10" s="1574"/>
      <c r="K10" s="1672">
        <f t="shared" si="0"/>
        <v>106353</v>
      </c>
      <c r="L10" s="1573">
        <v>97415</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139962</v>
      </c>
      <c r="D13" s="1573">
        <v>26921</v>
      </c>
      <c r="E13" s="1573">
        <v>11758</v>
      </c>
      <c r="F13" s="1573"/>
      <c r="G13" s="1573"/>
      <c r="H13" s="1573"/>
      <c r="I13" s="1574"/>
      <c r="J13" s="1574"/>
      <c r="K13" s="1672">
        <f t="shared" si="0"/>
        <v>178641</v>
      </c>
      <c r="L13" s="1573">
        <v>211321</v>
      </c>
    </row>
    <row r="14" spans="1:14" x14ac:dyDescent="0.2">
      <c r="A14" s="1274" t="s">
        <v>957</v>
      </c>
      <c r="B14" s="503">
        <v>1500</v>
      </c>
      <c r="C14" s="1573">
        <v>176389</v>
      </c>
      <c r="D14" s="1573">
        <v>15195</v>
      </c>
      <c r="E14" s="1573">
        <v>32399</v>
      </c>
      <c r="F14" s="1573">
        <v>7458</v>
      </c>
      <c r="G14" s="1573">
        <v>8115</v>
      </c>
      <c r="H14" s="1573">
        <v>7074</v>
      </c>
      <c r="I14" s="1574"/>
      <c r="J14" s="1574"/>
      <c r="K14" s="1672">
        <f t="shared" si="0"/>
        <v>246630</v>
      </c>
      <c r="L14" s="1573">
        <v>304777</v>
      </c>
    </row>
    <row r="15" spans="1:14" x14ac:dyDescent="0.2">
      <c r="A15" s="1274" t="s">
        <v>958</v>
      </c>
      <c r="B15" s="503">
        <v>1600</v>
      </c>
      <c r="C15" s="1573"/>
      <c r="D15" s="1573"/>
      <c r="E15" s="1573"/>
      <c r="F15" s="1573"/>
      <c r="G15" s="1573"/>
      <c r="H15" s="1573"/>
      <c r="I15" s="1574"/>
      <c r="J15" s="1574"/>
      <c r="K15" s="1672">
        <f t="shared" si="0"/>
        <v>0</v>
      </c>
      <c r="L15" s="1573">
        <v>1501</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3384990</v>
      </c>
      <c r="D33" s="1674">
        <f t="shared" ref="D33:L33" si="1">SUM(D5:D32)</f>
        <v>991212</v>
      </c>
      <c r="E33" s="1674">
        <f t="shared" si="1"/>
        <v>108036</v>
      </c>
      <c r="F33" s="1674">
        <f t="shared" si="1"/>
        <v>197192</v>
      </c>
      <c r="G33" s="1674">
        <f t="shared" si="1"/>
        <v>12121</v>
      </c>
      <c r="H33" s="1674">
        <f t="shared" si="1"/>
        <v>26705</v>
      </c>
      <c r="I33" s="1674">
        <f t="shared" si="1"/>
        <v>0</v>
      </c>
      <c r="J33" s="1674">
        <f t="shared" si="1"/>
        <v>0</v>
      </c>
      <c r="K33" s="1674">
        <f t="shared" si="1"/>
        <v>4720256</v>
      </c>
      <c r="L33" s="1674">
        <f t="shared" si="1"/>
        <v>4950203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v>10635</v>
      </c>
      <c r="F36" s="1586">
        <v>320</v>
      </c>
      <c r="G36" s="1586"/>
      <c r="H36" s="1586"/>
      <c r="I36" s="1574"/>
      <c r="J36" s="1574"/>
      <c r="K36" s="1672">
        <f t="shared" ref="K36:K41" si="2">SUM(C36:J36)</f>
        <v>10955</v>
      </c>
      <c r="L36" s="1573">
        <v>13000</v>
      </c>
    </row>
    <row r="37" spans="1:14" x14ac:dyDescent="0.2">
      <c r="A37" s="1274" t="s">
        <v>1081</v>
      </c>
      <c r="B37" s="503">
        <v>2120</v>
      </c>
      <c r="C37" s="1573">
        <v>92008</v>
      </c>
      <c r="D37" s="1573">
        <v>23835</v>
      </c>
      <c r="E37" s="1573"/>
      <c r="F37" s="1573">
        <v>1265</v>
      </c>
      <c r="G37" s="1573"/>
      <c r="H37" s="1573"/>
      <c r="I37" s="1574"/>
      <c r="J37" s="1574"/>
      <c r="K37" s="1672">
        <f t="shared" si="2"/>
        <v>117108</v>
      </c>
      <c r="L37" s="1573">
        <v>132589</v>
      </c>
    </row>
    <row r="38" spans="1:14" x14ac:dyDescent="0.2">
      <c r="A38" s="1274" t="s">
        <v>196</v>
      </c>
      <c r="B38" s="503">
        <v>2130</v>
      </c>
      <c r="C38" s="1573">
        <v>79950</v>
      </c>
      <c r="D38" s="1573">
        <v>18319</v>
      </c>
      <c r="E38" s="1573"/>
      <c r="F38" s="1573">
        <v>6294</v>
      </c>
      <c r="G38" s="1573"/>
      <c r="H38" s="1573"/>
      <c r="I38" s="1574"/>
      <c r="J38" s="1574"/>
      <c r="K38" s="1672">
        <f t="shared" si="2"/>
        <v>104563</v>
      </c>
      <c r="L38" s="1573">
        <v>123332</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v>62006</v>
      </c>
      <c r="D40" s="1573">
        <v>10866</v>
      </c>
      <c r="E40" s="1573"/>
      <c r="F40" s="1573">
        <v>402</v>
      </c>
      <c r="G40" s="1573"/>
      <c r="H40" s="1573"/>
      <c r="I40" s="1574"/>
      <c r="J40" s="1574"/>
      <c r="K40" s="1672">
        <f t="shared" si="2"/>
        <v>73274</v>
      </c>
      <c r="L40" s="1573">
        <v>80302</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233964</v>
      </c>
      <c r="D42" s="1674">
        <f t="shared" ref="D42:L42" si="3">SUM(D36:D41)</f>
        <v>53020</v>
      </c>
      <c r="E42" s="1674">
        <f t="shared" si="3"/>
        <v>10635</v>
      </c>
      <c r="F42" s="1674">
        <f t="shared" si="3"/>
        <v>8281</v>
      </c>
      <c r="G42" s="1674">
        <f t="shared" si="3"/>
        <v>0</v>
      </c>
      <c r="H42" s="1674">
        <f t="shared" si="3"/>
        <v>0</v>
      </c>
      <c r="I42" s="1674">
        <f t="shared" si="3"/>
        <v>0</v>
      </c>
      <c r="J42" s="1674">
        <f t="shared" si="3"/>
        <v>0</v>
      </c>
      <c r="K42" s="1674">
        <f t="shared" si="3"/>
        <v>305900</v>
      </c>
      <c r="L42" s="1674">
        <f t="shared" si="3"/>
        <v>349223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26289</v>
      </c>
      <c r="F44" s="1586"/>
      <c r="G44" s="1586"/>
      <c r="H44" s="1586">
        <v>3894</v>
      </c>
      <c r="I44" s="1574"/>
      <c r="J44" s="1574"/>
      <c r="K44" s="1678">
        <f>SUM(C44:J44)</f>
        <v>30183</v>
      </c>
      <c r="L44" s="1586">
        <v>31000</v>
      </c>
    </row>
    <row r="45" spans="1:14" x14ac:dyDescent="0.2">
      <c r="A45" s="1274" t="s">
        <v>810</v>
      </c>
      <c r="B45" s="503">
        <v>2220</v>
      </c>
      <c r="C45" s="1573">
        <v>128978</v>
      </c>
      <c r="D45" s="1573">
        <v>41892</v>
      </c>
      <c r="E45" s="1573">
        <v>1149</v>
      </c>
      <c r="F45" s="1573">
        <v>24015</v>
      </c>
      <c r="G45" s="1573">
        <v>3414</v>
      </c>
      <c r="H45" s="1573"/>
      <c r="I45" s="1574"/>
      <c r="J45" s="1574"/>
      <c r="K45" s="1678">
        <f>SUM(C45:J45)</f>
        <v>199448</v>
      </c>
      <c r="L45" s="1573">
        <v>200373</v>
      </c>
    </row>
    <row r="46" spans="1:14" x14ac:dyDescent="0.2">
      <c r="A46" s="1274" t="s">
        <v>811</v>
      </c>
      <c r="B46" s="503">
        <v>2230</v>
      </c>
      <c r="C46" s="1573"/>
      <c r="D46" s="1573"/>
      <c r="E46" s="1573"/>
      <c r="F46" s="1573"/>
      <c r="G46" s="1573"/>
      <c r="H46" s="1573"/>
      <c r="I46" s="1574"/>
      <c r="J46" s="1574"/>
      <c r="K46" s="1678">
        <f>SUM(C46:J46)</f>
        <v>0</v>
      </c>
      <c r="L46" s="1573">
        <v>750</v>
      </c>
    </row>
    <row r="47" spans="1:14" ht="12.75" customHeight="1" thickBot="1" x14ac:dyDescent="0.25">
      <c r="A47" s="1380" t="s">
        <v>557</v>
      </c>
      <c r="B47" s="1381" t="s">
        <v>32</v>
      </c>
      <c r="C47" s="1674">
        <f>SUM(C44:C46)</f>
        <v>128978</v>
      </c>
      <c r="D47" s="1674">
        <f t="shared" ref="D47:K47" si="4">SUM(D44:D46)</f>
        <v>41892</v>
      </c>
      <c r="E47" s="1674">
        <f t="shared" si="4"/>
        <v>27438</v>
      </c>
      <c r="F47" s="1674">
        <f t="shared" si="4"/>
        <v>24015</v>
      </c>
      <c r="G47" s="1674">
        <f t="shared" si="4"/>
        <v>3414</v>
      </c>
      <c r="H47" s="1674">
        <f t="shared" si="4"/>
        <v>3894</v>
      </c>
      <c r="I47" s="1674">
        <f t="shared" si="4"/>
        <v>0</v>
      </c>
      <c r="J47" s="1674">
        <f t="shared" si="4"/>
        <v>0</v>
      </c>
      <c r="K47" s="1674">
        <f t="shared" si="4"/>
        <v>229631</v>
      </c>
      <c r="L47" s="1674">
        <f>SUM(L44:L46)</f>
        <v>232123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51308</v>
      </c>
      <c r="D49" s="1586">
        <v>10604</v>
      </c>
      <c r="E49" s="1586">
        <v>205260</v>
      </c>
      <c r="F49" s="1586">
        <v>78712</v>
      </c>
      <c r="G49" s="1586">
        <v>104011</v>
      </c>
      <c r="H49" s="1586">
        <v>14526</v>
      </c>
      <c r="I49" s="1574"/>
      <c r="J49" s="1574"/>
      <c r="K49" s="1678">
        <f>SUM(C49:J49)</f>
        <v>464421</v>
      </c>
      <c r="L49" s="1586">
        <v>536000</v>
      </c>
    </row>
    <row r="50" spans="1:14" x14ac:dyDescent="0.2">
      <c r="A50" s="1274" t="s">
        <v>813</v>
      </c>
      <c r="B50" s="503">
        <v>2320</v>
      </c>
      <c r="C50" s="1573">
        <v>137700</v>
      </c>
      <c r="D50" s="1573">
        <v>57581</v>
      </c>
      <c r="E50" s="1573">
        <v>2014</v>
      </c>
      <c r="F50" s="1573"/>
      <c r="G50" s="1573"/>
      <c r="H50" s="1573">
        <v>7218</v>
      </c>
      <c r="I50" s="1574"/>
      <c r="J50" s="1574"/>
      <c r="K50" s="1678">
        <f>SUM(C50:J50)</f>
        <v>204513</v>
      </c>
      <c r="L50" s="1573">
        <v>205803</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189008</v>
      </c>
      <c r="D53" s="1674">
        <f t="shared" ref="D53:L53" si="5">SUM(D49:D52)</f>
        <v>68185</v>
      </c>
      <c r="E53" s="1674">
        <f t="shared" si="5"/>
        <v>207274</v>
      </c>
      <c r="F53" s="1674">
        <f t="shared" si="5"/>
        <v>78712</v>
      </c>
      <c r="G53" s="1674">
        <f t="shared" si="5"/>
        <v>104011</v>
      </c>
      <c r="H53" s="1674">
        <f t="shared" si="5"/>
        <v>21744</v>
      </c>
      <c r="I53" s="1674">
        <f t="shared" si="5"/>
        <v>0</v>
      </c>
      <c r="J53" s="1674">
        <f t="shared" si="5"/>
        <v>0</v>
      </c>
      <c r="K53" s="1674">
        <f t="shared" si="5"/>
        <v>668934</v>
      </c>
      <c r="L53" s="1674">
        <f t="shared" si="5"/>
        <v>741803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398738</v>
      </c>
      <c r="D55" s="1586">
        <v>145634</v>
      </c>
      <c r="E55" s="1586">
        <v>8149</v>
      </c>
      <c r="F55" s="1586">
        <v>13347</v>
      </c>
      <c r="G55" s="1586"/>
      <c r="H55" s="1586">
        <v>5414</v>
      </c>
      <c r="I55" s="1574"/>
      <c r="J55" s="1574"/>
      <c r="K55" s="1678">
        <f>SUM(C55:J55)</f>
        <v>571282</v>
      </c>
      <c r="L55" s="1586">
        <v>644821</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398738</v>
      </c>
      <c r="D57" s="1679">
        <f t="shared" ref="D57:K57" si="6">SUM(D55:D56)</f>
        <v>145634</v>
      </c>
      <c r="E57" s="1679">
        <f t="shared" si="6"/>
        <v>8149</v>
      </c>
      <c r="F57" s="1679">
        <f t="shared" si="6"/>
        <v>13347</v>
      </c>
      <c r="G57" s="1679">
        <f t="shared" si="6"/>
        <v>0</v>
      </c>
      <c r="H57" s="1679">
        <f t="shared" si="6"/>
        <v>5414</v>
      </c>
      <c r="I57" s="1679">
        <f t="shared" si="6"/>
        <v>0</v>
      </c>
      <c r="J57" s="1679">
        <f t="shared" si="6"/>
        <v>0</v>
      </c>
      <c r="K57" s="1679">
        <f t="shared" si="6"/>
        <v>571282</v>
      </c>
      <c r="L57" s="1674">
        <f>SUM(L55:L56)</f>
        <v>644821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v>26750</v>
      </c>
      <c r="H59" s="1586"/>
      <c r="I59" s="1574"/>
      <c r="J59" s="1574"/>
      <c r="K59" s="1678">
        <f t="shared" ref="K59:K64" si="7">SUM(C59:J59)</f>
        <v>26750</v>
      </c>
      <c r="L59" s="1586">
        <v>0</v>
      </c>
      <c r="M59" s="501"/>
      <c r="N59" s="501"/>
    </row>
    <row r="60" spans="1:14" s="321" customFormat="1" x14ac:dyDescent="0.2">
      <c r="A60" s="1274" t="s">
        <v>460</v>
      </c>
      <c r="B60" s="503">
        <v>2520</v>
      </c>
      <c r="C60" s="1573">
        <v>88007</v>
      </c>
      <c r="D60" s="1573">
        <v>11430</v>
      </c>
      <c r="E60" s="1573"/>
      <c r="F60" s="1573">
        <v>3101</v>
      </c>
      <c r="G60" s="1573">
        <v>1915</v>
      </c>
      <c r="H60" s="1573"/>
      <c r="I60" s="1574"/>
      <c r="J60" s="1574"/>
      <c r="K60" s="1678">
        <f t="shared" si="7"/>
        <v>104453</v>
      </c>
      <c r="L60" s="1573">
        <v>115644</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v>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152551</v>
      </c>
      <c r="D63" s="1573">
        <v>57061</v>
      </c>
      <c r="E63" s="1573">
        <v>9069</v>
      </c>
      <c r="F63" s="1573">
        <v>103126</v>
      </c>
      <c r="G63" s="1573">
        <v>18678</v>
      </c>
      <c r="H63" s="1573"/>
      <c r="I63" s="1574"/>
      <c r="J63" s="1574"/>
      <c r="K63" s="1678">
        <f t="shared" si="7"/>
        <v>340485</v>
      </c>
      <c r="L63" s="1573">
        <v>405175</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240558</v>
      </c>
      <c r="D65" s="1674">
        <f t="shared" ref="D65:L65" si="8">SUM(D59:D64)</f>
        <v>68491</v>
      </c>
      <c r="E65" s="1674">
        <f t="shared" si="8"/>
        <v>9069</v>
      </c>
      <c r="F65" s="1674">
        <f t="shared" si="8"/>
        <v>106227</v>
      </c>
      <c r="G65" s="1674">
        <f t="shared" si="8"/>
        <v>47343</v>
      </c>
      <c r="H65" s="1674">
        <f t="shared" si="8"/>
        <v>0</v>
      </c>
      <c r="I65" s="1674">
        <f t="shared" si="8"/>
        <v>0</v>
      </c>
      <c r="J65" s="1674">
        <f t="shared" si="8"/>
        <v>0</v>
      </c>
      <c r="K65" s="1674">
        <f t="shared" si="8"/>
        <v>471688</v>
      </c>
      <c r="L65" s="1674">
        <f t="shared" si="8"/>
        <v>520819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6000</v>
      </c>
      <c r="M73" s="501"/>
      <c r="N73" s="501"/>
    </row>
    <row r="74" spans="1:14" ht="12.75" customHeight="1" thickTop="1" thickBot="1" x14ac:dyDescent="0.25">
      <c r="A74" s="1380" t="s">
        <v>806</v>
      </c>
      <c r="B74" s="1384">
        <v>2000</v>
      </c>
      <c r="C74" s="1681">
        <f>SUM(C42,C47,C53,C57,C65,C72,C73)</f>
        <v>1191246</v>
      </c>
      <c r="D74" s="1681">
        <f t="shared" ref="D74:K74" si="10">SUM(D42,D47,D53,D57,D65,D72,D73)</f>
        <v>377222</v>
      </c>
      <c r="E74" s="1681">
        <f t="shared" si="10"/>
        <v>262565</v>
      </c>
      <c r="F74" s="1681">
        <f t="shared" si="10"/>
        <v>230582</v>
      </c>
      <c r="G74" s="1681">
        <f t="shared" si="10"/>
        <v>154768</v>
      </c>
      <c r="H74" s="1681">
        <f t="shared" si="10"/>
        <v>31052</v>
      </c>
      <c r="I74" s="1681">
        <f t="shared" si="10"/>
        <v>0</v>
      </c>
      <c r="J74" s="1681">
        <f t="shared" si="10"/>
        <v>0</v>
      </c>
      <c r="K74" s="1681">
        <f t="shared" si="10"/>
        <v>2247435</v>
      </c>
      <c r="L74" s="1681">
        <f>SUM(L42,L47,L53,L57,L65,L72,L73)</f>
        <v>2494789</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c r="F79" s="1673"/>
      <c r="G79" s="1673"/>
      <c r="H79" s="1573">
        <v>347858</v>
      </c>
      <c r="I79" s="1582"/>
      <c r="J79" s="1582"/>
      <c r="K79" s="1672">
        <f t="shared" si="11"/>
        <v>347858</v>
      </c>
      <c r="L79" s="1573">
        <v>388474</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v>47170</v>
      </c>
      <c r="I81" s="1582"/>
      <c r="J81" s="1582"/>
      <c r="K81" s="1672">
        <f t="shared" si="11"/>
        <v>47170</v>
      </c>
      <c r="L81" s="1573">
        <v>38000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0</v>
      </c>
      <c r="F84" s="1673"/>
      <c r="G84" s="1673"/>
      <c r="H84" s="1674">
        <f>SUM(H78:H83)</f>
        <v>395028</v>
      </c>
      <c r="I84" s="1582"/>
      <c r="J84" s="1582"/>
      <c r="K84" s="1674">
        <f>SUM(K78:K83)</f>
        <v>395028</v>
      </c>
      <c r="L84" s="1674">
        <f>SUM(L78:L83)</f>
        <v>426474</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0</v>
      </c>
      <c r="F102" s="1673"/>
      <c r="G102" s="1673"/>
      <c r="H102" s="1681">
        <f>SUM(H84,H92,H100,H101)</f>
        <v>395028</v>
      </c>
      <c r="I102" s="1582"/>
      <c r="J102" s="1582"/>
      <c r="K102" s="1681">
        <f>SUM(K84,K92,K100,K101)</f>
        <v>395028</v>
      </c>
      <c r="L102" s="1681">
        <f>SUM(L84,L92,L100,L101)</f>
        <v>426474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4576236</v>
      </c>
      <c r="D114" s="1674">
        <f t="shared" ref="D114:K114" si="13">SUM(D33,D74,D75,D102,D112,D113)</f>
        <v>1368434</v>
      </c>
      <c r="E114" s="1674">
        <f t="shared" si="13"/>
        <v>370601</v>
      </c>
      <c r="F114" s="1674">
        <f t="shared" si="13"/>
        <v>427774</v>
      </c>
      <c r="G114" s="1674">
        <f t="shared" si="13"/>
        <v>166889</v>
      </c>
      <c r="H114" s="1674">
        <f>SUM(H33,H74,H75,H102,H112,H113)</f>
        <v>452785</v>
      </c>
      <c r="I114" s="1674">
        <f t="shared" si="13"/>
        <v>0</v>
      </c>
      <c r="J114" s="1674">
        <f t="shared" si="13"/>
        <v>0</v>
      </c>
      <c r="K114" s="1674">
        <f t="shared" si="13"/>
        <v>7362719</v>
      </c>
      <c r="L114" s="1674">
        <f>SUM(L33,L74,L75,L102,L112,L113)</f>
        <v>7871466</v>
      </c>
    </row>
    <row r="115" spans="1:14" ht="13.5" thickTop="1" x14ac:dyDescent="0.2">
      <c r="A115" s="2261" t="s">
        <v>989</v>
      </c>
      <c r="B115" s="2262"/>
      <c r="C115" s="1675"/>
      <c r="D115" s="1675"/>
      <c r="E115" s="1675"/>
      <c r="F115" s="1675"/>
      <c r="G115" s="1675"/>
      <c r="H115" s="1675"/>
      <c r="I115" s="1675"/>
      <c r="J115" s="1675"/>
      <c r="K115" s="1689">
        <f>'Revenues 9-14'!C268-'Expenditures 15-22'!K114</f>
        <v>-132488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355435</v>
      </c>
      <c r="D124" s="1573">
        <v>70342</v>
      </c>
      <c r="E124" s="1573">
        <v>118665</v>
      </c>
      <c r="F124" s="1573">
        <v>214858</v>
      </c>
      <c r="G124" s="1573"/>
      <c r="H124" s="1573">
        <v>38405</v>
      </c>
      <c r="I124" s="1574"/>
      <c r="J124" s="1574"/>
      <c r="K124" s="1674">
        <f>SUM(C124:J124)</f>
        <v>797705</v>
      </c>
      <c r="L124" s="1573">
        <v>952851</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1000</v>
      </c>
    </row>
    <row r="127" spans="1:14" ht="12.75" customHeight="1" thickTop="1" thickBot="1" x14ac:dyDescent="0.25">
      <c r="A127" s="1380" t="s">
        <v>714</v>
      </c>
      <c r="B127" s="1381" t="s">
        <v>35</v>
      </c>
      <c r="C127" s="1674">
        <f>SUM(C122:C126)</f>
        <v>355435</v>
      </c>
      <c r="D127" s="1674">
        <f t="shared" ref="D127:L127" si="14">SUM(D122:D126)</f>
        <v>70342</v>
      </c>
      <c r="E127" s="1674">
        <f t="shared" si="14"/>
        <v>118665</v>
      </c>
      <c r="F127" s="1674">
        <f t="shared" si="14"/>
        <v>214858</v>
      </c>
      <c r="G127" s="1674">
        <f t="shared" si="14"/>
        <v>0</v>
      </c>
      <c r="H127" s="1674">
        <f t="shared" si="14"/>
        <v>38405</v>
      </c>
      <c r="I127" s="1674">
        <f t="shared" si="14"/>
        <v>0</v>
      </c>
      <c r="J127" s="1674">
        <f t="shared" si="14"/>
        <v>0</v>
      </c>
      <c r="K127" s="1674">
        <f t="shared" si="14"/>
        <v>797705</v>
      </c>
      <c r="L127" s="1674">
        <f t="shared" si="14"/>
        <v>953851</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355435</v>
      </c>
      <c r="D129" s="1681">
        <f t="shared" ref="D129:L129" si="15">SUM(D120,D127,D128)</f>
        <v>70342</v>
      </c>
      <c r="E129" s="1681">
        <f t="shared" si="15"/>
        <v>118665</v>
      </c>
      <c r="F129" s="1681">
        <f t="shared" si="15"/>
        <v>214858</v>
      </c>
      <c r="G129" s="1681">
        <f t="shared" si="15"/>
        <v>0</v>
      </c>
      <c r="H129" s="1681">
        <f t="shared" si="15"/>
        <v>38405</v>
      </c>
      <c r="I129" s="1681">
        <f t="shared" si="15"/>
        <v>0</v>
      </c>
      <c r="J129" s="1681">
        <f t="shared" si="15"/>
        <v>0</v>
      </c>
      <c r="K129" s="1681">
        <f t="shared" si="15"/>
        <v>797705</v>
      </c>
      <c r="L129" s="1681">
        <f t="shared" si="15"/>
        <v>953851</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8" t="s">
        <v>616</v>
      </c>
      <c r="B151" s="2258"/>
      <c r="C151" s="1674">
        <f>SUM(C129,C130,C139,C149,C150)</f>
        <v>355435</v>
      </c>
      <c r="D151" s="1674">
        <f t="shared" ref="D151:K151" si="16">SUM(D129,D130,D139,D149,D150)</f>
        <v>70342</v>
      </c>
      <c r="E151" s="1674">
        <f t="shared" si="16"/>
        <v>118665</v>
      </c>
      <c r="F151" s="1674">
        <f t="shared" si="16"/>
        <v>214858</v>
      </c>
      <c r="G151" s="1674">
        <f t="shared" si="16"/>
        <v>0</v>
      </c>
      <c r="H151" s="1674">
        <f t="shared" si="16"/>
        <v>38405</v>
      </c>
      <c r="I151" s="1674">
        <f t="shared" si="16"/>
        <v>0</v>
      </c>
      <c r="J151" s="1674">
        <f t="shared" si="16"/>
        <v>0</v>
      </c>
      <c r="K151" s="1674">
        <f t="shared" si="16"/>
        <v>797705</v>
      </c>
      <c r="L151" s="1674">
        <f>SUM(L129,L130,L139,L149,L150)</f>
        <v>953851</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238664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607574</v>
      </c>
      <c r="I169" s="1673"/>
      <c r="J169" s="1673"/>
      <c r="K169" s="1672">
        <f>SUM(C169:H169)</f>
        <v>607574</v>
      </c>
      <c r="L169" s="1695">
        <v>691139</v>
      </c>
    </row>
    <row r="170" spans="1:14" ht="33.75" customHeight="1" x14ac:dyDescent="0.2">
      <c r="A170" s="543" t="s">
        <v>1651</v>
      </c>
      <c r="B170" s="545" t="s">
        <v>31</v>
      </c>
      <c r="C170" s="1673"/>
      <c r="D170" s="1673"/>
      <c r="E170" s="1673"/>
      <c r="F170" s="1673"/>
      <c r="G170" s="1673"/>
      <c r="H170" s="1646">
        <v>824000</v>
      </c>
      <c r="I170" s="1673"/>
      <c r="J170" s="1673"/>
      <c r="K170" s="1672">
        <f>SUM(C170:J170)</f>
        <v>824000</v>
      </c>
      <c r="L170" s="1646">
        <v>824000</v>
      </c>
    </row>
    <row r="171" spans="1:14" ht="15.75" customHeight="1" x14ac:dyDescent="0.2">
      <c r="A171" s="507" t="s">
        <v>761</v>
      </c>
      <c r="B171" s="546" t="s">
        <v>84</v>
      </c>
      <c r="C171" s="1673"/>
      <c r="D171" s="1673"/>
      <c r="E171" s="1573"/>
      <c r="F171" s="1673"/>
      <c r="G171" s="1673"/>
      <c r="H171" s="1646"/>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1431574</v>
      </c>
      <c r="I172" s="1684"/>
      <c r="J172" s="1673"/>
      <c r="K172" s="1681">
        <f>SUM(K168,K169,K170,K171)</f>
        <v>1431574</v>
      </c>
      <c r="L172" s="1681">
        <f>SUM(L168,L169,L170,L171)</f>
        <v>1515139</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1431574</v>
      </c>
      <c r="I174" s="1684"/>
      <c r="J174" s="1673"/>
      <c r="K174" s="1681">
        <f>SUM(K160,K172,K173)</f>
        <v>1431574</v>
      </c>
      <c r="L174" s="1681">
        <f>SUM(L160,L172,L173)</f>
        <v>1515139</v>
      </c>
    </row>
    <row r="175" spans="1:14" ht="13.5" thickTop="1" x14ac:dyDescent="0.2">
      <c r="A175" s="2261" t="s">
        <v>989</v>
      </c>
      <c r="B175" s="2262"/>
      <c r="C175" s="1673"/>
      <c r="D175" s="1673"/>
      <c r="E175" s="1673"/>
      <c r="F175" s="1673"/>
      <c r="G175" s="1673"/>
      <c r="H175" s="1675"/>
      <c r="I175" s="1673"/>
      <c r="J175" s="1673"/>
      <c r="K175" s="1689">
        <f>'Revenues 9-14'!E268-'Expenditures 15-22'!K174</f>
        <v>-114419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286449</v>
      </c>
      <c r="D182" s="1573">
        <v>32182</v>
      </c>
      <c r="E182" s="1573">
        <v>123765</v>
      </c>
      <c r="F182" s="1573">
        <v>58142</v>
      </c>
      <c r="G182" s="1573">
        <v>68409</v>
      </c>
      <c r="H182" s="1573">
        <v>2779</v>
      </c>
      <c r="I182" s="1574"/>
      <c r="J182" s="1574"/>
      <c r="K182" s="1672">
        <f>SUM(C182:J182)</f>
        <v>571726</v>
      </c>
      <c r="L182" s="1573">
        <v>616363</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286449</v>
      </c>
      <c r="D184" s="1681">
        <f t="shared" ref="D184:J184" si="17">SUM(D180,D182,D183)</f>
        <v>32182</v>
      </c>
      <c r="E184" s="1681">
        <f t="shared" si="17"/>
        <v>123765</v>
      </c>
      <c r="F184" s="1681">
        <f t="shared" si="17"/>
        <v>58142</v>
      </c>
      <c r="G184" s="1681">
        <f t="shared" si="17"/>
        <v>68409</v>
      </c>
      <c r="H184" s="1681">
        <f t="shared" si="17"/>
        <v>2779</v>
      </c>
      <c r="I184" s="1681">
        <f t="shared" si="17"/>
        <v>0</v>
      </c>
      <c r="J184" s="1681">
        <f t="shared" si="17"/>
        <v>0</v>
      </c>
      <c r="K184" s="1681">
        <f>SUM(K180,K182,K183)</f>
        <v>571726</v>
      </c>
      <c r="L184" s="1681">
        <f>SUM(L180, L182:L183)</f>
        <v>616363</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286449</v>
      </c>
      <c r="D210" s="1674">
        <f>SUM(D184,D185)</f>
        <v>32182</v>
      </c>
      <c r="E210" s="1674">
        <f>SUM(E184,E185,E196)</f>
        <v>123765</v>
      </c>
      <c r="F210" s="1674">
        <f>SUM(F184,F185)</f>
        <v>58142</v>
      </c>
      <c r="G210" s="1674">
        <f>SUM(G184,G185)</f>
        <v>68409</v>
      </c>
      <c r="H210" s="1674">
        <f>SUM(H184,H185,H196,H208,H209)</f>
        <v>2779</v>
      </c>
      <c r="I210" s="1674">
        <f>SUM(I184,I185)</f>
        <v>0</v>
      </c>
      <c r="J210" s="1674">
        <f>SUM(J184,J185)</f>
        <v>0</v>
      </c>
      <c r="K210" s="1672">
        <f>SUM(K184,K185,K196,K208,K209)</f>
        <v>571726</v>
      </c>
      <c r="L210" s="1674">
        <f>SUM(L184,L185,L196,L208,L209)</f>
        <v>616363</v>
      </c>
    </row>
    <row r="211" spans="1:14" ht="13.5" thickTop="1" x14ac:dyDescent="0.2">
      <c r="A211" s="2261" t="s">
        <v>989</v>
      </c>
      <c r="B211" s="2262"/>
      <c r="C211" s="1675"/>
      <c r="D211" s="1675"/>
      <c r="E211" s="1675"/>
      <c r="F211" s="1675"/>
      <c r="G211" s="1675"/>
      <c r="H211" s="1675"/>
      <c r="I211" s="1673"/>
      <c r="J211" s="1673"/>
      <c r="K211" s="1689">
        <f>'Revenues 9-14'!F268-'Expenditures 15-22'!K210</f>
        <v>322210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38987</v>
      </c>
      <c r="E215" s="1673"/>
      <c r="F215" s="1673"/>
      <c r="G215" s="1673"/>
      <c r="H215" s="1673"/>
      <c r="I215" s="1673"/>
      <c r="J215" s="1673"/>
      <c r="K215" s="1672">
        <f>D215</f>
        <v>38987</v>
      </c>
      <c r="L215" s="1573">
        <v>24504</v>
      </c>
    </row>
    <row r="216" spans="1:14" x14ac:dyDescent="0.2">
      <c r="A216" s="1274" t="s">
        <v>162</v>
      </c>
      <c r="B216" s="503" t="s">
        <v>961</v>
      </c>
      <c r="C216" s="1673"/>
      <c r="D216" s="1574"/>
      <c r="E216" s="1673"/>
      <c r="F216" s="1673"/>
      <c r="G216" s="1673"/>
      <c r="H216" s="1673"/>
      <c r="I216" s="1673"/>
      <c r="J216" s="1673"/>
      <c r="K216" s="1672">
        <f t="shared" ref="K216:K228" si="19">D216</f>
        <v>0</v>
      </c>
      <c r="L216" s="1573">
        <v>10329</v>
      </c>
    </row>
    <row r="217" spans="1:14" x14ac:dyDescent="0.2">
      <c r="A217" s="1274" t="s">
        <v>163</v>
      </c>
      <c r="B217" s="503">
        <v>1200</v>
      </c>
      <c r="C217" s="1673"/>
      <c r="D217" s="1573">
        <v>42087</v>
      </c>
      <c r="E217" s="1673"/>
      <c r="F217" s="1673"/>
      <c r="G217" s="1673"/>
      <c r="H217" s="1673"/>
      <c r="I217" s="1673"/>
      <c r="J217" s="1673"/>
      <c r="K217" s="1672">
        <f t="shared" si="19"/>
        <v>42087</v>
      </c>
      <c r="L217" s="1573">
        <v>58249</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c r="E219" s="1673"/>
      <c r="F219" s="1673"/>
      <c r="G219" s="1673"/>
      <c r="H219" s="1673"/>
      <c r="I219" s="1673"/>
      <c r="J219" s="1673"/>
      <c r="K219" s="1672">
        <f t="shared" si="19"/>
        <v>0</v>
      </c>
      <c r="L219" s="1573">
        <v>859</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2049</v>
      </c>
      <c r="E222" s="1673"/>
      <c r="F222" s="1673"/>
      <c r="G222" s="1673"/>
      <c r="H222" s="1673"/>
      <c r="I222" s="1673"/>
      <c r="J222" s="1673"/>
      <c r="K222" s="1672">
        <f t="shared" si="19"/>
        <v>2049</v>
      </c>
      <c r="L222" s="1573">
        <v>2105</v>
      </c>
    </row>
    <row r="223" spans="1:14" x14ac:dyDescent="0.2">
      <c r="A223" s="1274" t="s">
        <v>957</v>
      </c>
      <c r="B223" s="503">
        <v>1500</v>
      </c>
      <c r="C223" s="1673"/>
      <c r="D223" s="1573">
        <v>6131</v>
      </c>
      <c r="E223" s="1673"/>
      <c r="F223" s="1673"/>
      <c r="G223" s="1673"/>
      <c r="H223" s="1673"/>
      <c r="I223" s="1673"/>
      <c r="J223" s="1673"/>
      <c r="K223" s="1672">
        <f t="shared" si="19"/>
        <v>6131</v>
      </c>
      <c r="L223" s="1573">
        <v>7705</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89254</v>
      </c>
      <c r="E229" s="1673"/>
      <c r="F229" s="1673"/>
      <c r="G229" s="1673"/>
      <c r="H229" s="1673"/>
      <c r="I229" s="1673"/>
      <c r="J229" s="1673"/>
      <c r="K229" s="1674">
        <f>SUM(K215:K228)</f>
        <v>89254</v>
      </c>
      <c r="L229" s="1674">
        <f>SUM(L215:L228)</f>
        <v>103751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v>156</v>
      </c>
    </row>
    <row r="233" spans="1:12" x14ac:dyDescent="0.2">
      <c r="A233" s="1274" t="s">
        <v>1081</v>
      </c>
      <c r="B233" s="503">
        <v>2120</v>
      </c>
      <c r="C233" s="1673"/>
      <c r="D233" s="1573">
        <v>1357</v>
      </c>
      <c r="E233" s="1673"/>
      <c r="F233" s="1673"/>
      <c r="G233" s="1673"/>
      <c r="H233" s="1673"/>
      <c r="I233" s="1673"/>
      <c r="J233" s="1673"/>
      <c r="K233" s="1672">
        <f t="shared" si="20"/>
        <v>1357</v>
      </c>
      <c r="L233" s="1573">
        <v>1409</v>
      </c>
    </row>
    <row r="234" spans="1:12" x14ac:dyDescent="0.2">
      <c r="A234" s="1274" t="s">
        <v>196</v>
      </c>
      <c r="B234" s="503">
        <v>2130</v>
      </c>
      <c r="C234" s="1673"/>
      <c r="D234" s="1573">
        <v>8008</v>
      </c>
      <c r="E234" s="1673"/>
      <c r="F234" s="1673"/>
      <c r="G234" s="1673"/>
      <c r="H234" s="1673"/>
      <c r="I234" s="1673"/>
      <c r="J234" s="1673"/>
      <c r="K234" s="1672">
        <f t="shared" si="20"/>
        <v>8008</v>
      </c>
      <c r="L234" s="1573">
        <v>8610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v>928</v>
      </c>
      <c r="E236" s="1673"/>
      <c r="F236" s="1673"/>
      <c r="G236" s="1673"/>
      <c r="H236" s="1673"/>
      <c r="I236" s="1673"/>
      <c r="J236" s="1673"/>
      <c r="K236" s="1672">
        <f t="shared" si="20"/>
        <v>928</v>
      </c>
      <c r="L236" s="1573">
        <v>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10293</v>
      </c>
      <c r="E238" s="1673"/>
      <c r="F238" s="1673"/>
      <c r="G238" s="1673"/>
      <c r="H238" s="1673"/>
      <c r="I238" s="1673"/>
      <c r="J238" s="1673"/>
      <c r="K238" s="1674">
        <f>SUM(K232:K237)</f>
        <v>10293</v>
      </c>
      <c r="L238" s="1674">
        <f>SUM(L232:L237)</f>
        <v>10175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0</v>
      </c>
    </row>
    <row r="241" spans="1:12" x14ac:dyDescent="0.2">
      <c r="A241" s="1274" t="s">
        <v>810</v>
      </c>
      <c r="B241" s="503">
        <v>2220</v>
      </c>
      <c r="C241" s="1673"/>
      <c r="D241" s="1573">
        <v>10614</v>
      </c>
      <c r="E241" s="1673"/>
      <c r="F241" s="1673"/>
      <c r="G241" s="1673"/>
      <c r="H241" s="1673"/>
      <c r="I241" s="1673"/>
      <c r="J241" s="1673"/>
      <c r="K241" s="1678">
        <f>D241</f>
        <v>10614</v>
      </c>
      <c r="L241" s="1573">
        <v>14509</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10614</v>
      </c>
      <c r="E243" s="1673"/>
      <c r="F243" s="1673"/>
      <c r="G243" s="1673"/>
      <c r="H243" s="1673"/>
      <c r="I243" s="1673"/>
      <c r="J243" s="1673"/>
      <c r="K243" s="1674">
        <f>SUM(K240:K242)</f>
        <v>10614</v>
      </c>
      <c r="L243" s="1674">
        <f>SUM(L240:L242)</f>
        <v>14509</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9388</v>
      </c>
      <c r="E245" s="1673"/>
      <c r="F245" s="1673"/>
      <c r="G245" s="1673"/>
      <c r="H245" s="1673"/>
      <c r="I245" s="1673"/>
      <c r="J245" s="1673"/>
      <c r="K245" s="1678">
        <f>D245</f>
        <v>9388</v>
      </c>
      <c r="L245" s="1586">
        <v>8709</v>
      </c>
    </row>
    <row r="246" spans="1:12" x14ac:dyDescent="0.2">
      <c r="A246" s="1274" t="s">
        <v>813</v>
      </c>
      <c r="B246" s="503">
        <v>2320</v>
      </c>
      <c r="C246" s="1673"/>
      <c r="D246" s="1573">
        <v>2043</v>
      </c>
      <c r="E246" s="1673"/>
      <c r="F246" s="1673"/>
      <c r="G246" s="1673"/>
      <c r="H246" s="1673"/>
      <c r="I246" s="1673"/>
      <c r="J246" s="1673"/>
      <c r="K246" s="1678">
        <f t="shared" ref="K246:K256" si="21">D246</f>
        <v>2043</v>
      </c>
      <c r="L246" s="1573">
        <v>1996</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1782</v>
      </c>
      <c r="B249" s="557" t="s">
        <v>280</v>
      </c>
      <c r="C249" s="1673"/>
      <c r="D249" s="1579"/>
      <c r="E249" s="1673"/>
      <c r="F249" s="1673"/>
      <c r="G249" s="1673"/>
      <c r="H249" s="1673"/>
      <c r="I249" s="1673"/>
      <c r="J249" s="1673"/>
      <c r="K249" s="1678">
        <f t="shared" si="21"/>
        <v>0</v>
      </c>
      <c r="L249" s="1573">
        <v>0</v>
      </c>
    </row>
    <row r="250" spans="1:12" x14ac:dyDescent="0.2">
      <c r="A250" s="1275" t="s">
        <v>1783</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11431</v>
      </c>
      <c r="E257" s="1673"/>
      <c r="F257" s="1673"/>
      <c r="G257" s="1673"/>
      <c r="H257" s="1673"/>
      <c r="I257" s="1673"/>
      <c r="J257" s="1673"/>
      <c r="K257" s="1674">
        <f>SUM(K245:K256)</f>
        <v>11431</v>
      </c>
      <c r="L257" s="1674">
        <f>SUM(L245:L256)</f>
        <v>10705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21003</v>
      </c>
      <c r="E259" s="1673"/>
      <c r="F259" s="1673"/>
      <c r="G259" s="1673"/>
      <c r="H259" s="1673"/>
      <c r="I259" s="1673"/>
      <c r="J259" s="1673"/>
      <c r="K259" s="1678">
        <f>D259</f>
        <v>21003</v>
      </c>
      <c r="L259" s="1586">
        <v>19879</v>
      </c>
    </row>
    <row r="260" spans="1:14" s="493" customFormat="1" x14ac:dyDescent="0.2">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21003</v>
      </c>
      <c r="E261" s="1673"/>
      <c r="F261" s="1673"/>
      <c r="G261" s="1673"/>
      <c r="H261" s="1673"/>
      <c r="I261" s="1673"/>
      <c r="J261" s="1673"/>
      <c r="K261" s="1674">
        <f>SUM(K259:K260)</f>
        <v>21003</v>
      </c>
      <c r="L261" s="1674">
        <f>SUM(L259:L260)</f>
        <v>19879</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16950</v>
      </c>
      <c r="E264" s="1673"/>
      <c r="F264" s="1673"/>
      <c r="G264" s="1673"/>
      <c r="H264" s="1673"/>
      <c r="I264" s="1673"/>
      <c r="J264" s="1673"/>
      <c r="K264" s="1678">
        <f t="shared" ref="K264:K269" si="22">D264</f>
        <v>16950</v>
      </c>
      <c r="L264" s="1573">
        <v>18459</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72348</v>
      </c>
      <c r="E266" s="1673"/>
      <c r="F266" s="1673"/>
      <c r="G266" s="1673"/>
      <c r="H266" s="1673"/>
      <c r="I266" s="1673"/>
      <c r="J266" s="1673"/>
      <c r="K266" s="1678">
        <f t="shared" si="22"/>
        <v>72348</v>
      </c>
      <c r="L266" s="1573">
        <v>53797</v>
      </c>
    </row>
    <row r="267" spans="1:14" x14ac:dyDescent="0.2">
      <c r="A267" s="1274" t="s">
        <v>947</v>
      </c>
      <c r="B267" s="503">
        <v>2550</v>
      </c>
      <c r="C267" s="1673"/>
      <c r="D267" s="1573">
        <v>42716</v>
      </c>
      <c r="E267" s="1673"/>
      <c r="F267" s="1673"/>
      <c r="G267" s="1673"/>
      <c r="H267" s="1673"/>
      <c r="I267" s="1673"/>
      <c r="J267" s="1673"/>
      <c r="K267" s="1678">
        <f t="shared" si="22"/>
        <v>42716</v>
      </c>
      <c r="L267" s="1573">
        <v>38746</v>
      </c>
    </row>
    <row r="268" spans="1:14" x14ac:dyDescent="0.2">
      <c r="A268" s="1274" t="s">
        <v>100</v>
      </c>
      <c r="B268" s="503">
        <v>2560</v>
      </c>
      <c r="C268" s="1673"/>
      <c r="D268" s="1573">
        <v>28221</v>
      </c>
      <c r="E268" s="1673"/>
      <c r="F268" s="1673"/>
      <c r="G268" s="1673"/>
      <c r="H268" s="1673"/>
      <c r="I268" s="1673"/>
      <c r="J268" s="1673"/>
      <c r="K268" s="1678">
        <f t="shared" si="22"/>
        <v>28221</v>
      </c>
      <c r="L268" s="1573">
        <v>27952</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160235</v>
      </c>
      <c r="E270" s="1673"/>
      <c r="F270" s="1673"/>
      <c r="G270" s="1673"/>
      <c r="H270" s="1673"/>
      <c r="I270" s="1673"/>
      <c r="J270" s="1673"/>
      <c r="K270" s="1674">
        <f>SUM(K263:K269)</f>
        <v>160235</v>
      </c>
      <c r="L270" s="1674">
        <f>SUM(L263:L269)</f>
        <v>138954</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213576</v>
      </c>
      <c r="E279" s="1673"/>
      <c r="F279" s="1673"/>
      <c r="G279" s="1673"/>
      <c r="H279" s="1673"/>
      <c r="I279" s="1673"/>
      <c r="J279" s="1673"/>
      <c r="K279" s="1681">
        <f>SUM(K238,K243,K257,K261,K270,K277,K278)</f>
        <v>213576</v>
      </c>
      <c r="L279" s="1681">
        <f>SUM(L238,L243,L257,L261,L270,L277,L278)</f>
        <v>194222</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9" t="s">
        <v>502</v>
      </c>
      <c r="B295" s="2280"/>
      <c r="C295" s="1673"/>
      <c r="D295" s="1674">
        <f>SUM(D229,D279,D280,D285)</f>
        <v>302830</v>
      </c>
      <c r="E295" s="1673"/>
      <c r="F295" s="1673"/>
      <c r="G295" s="1673"/>
      <c r="H295" s="1674">
        <f>H293</f>
        <v>0</v>
      </c>
      <c r="I295" s="1673"/>
      <c r="J295" s="1673"/>
      <c r="K295" s="1674">
        <f>SUM(K229,K279,K280,K285,K293,K294)</f>
        <v>302830</v>
      </c>
      <c r="L295" s="1674">
        <f>SUM(L229,L279,L280,L285,L293,L294)</f>
        <v>297973</v>
      </c>
    </row>
    <row r="296" spans="1:14" ht="13.5" thickTop="1" x14ac:dyDescent="0.2">
      <c r="A296" s="2261" t="s">
        <v>989</v>
      </c>
      <c r="B296" s="2262"/>
      <c r="C296" s="1673"/>
      <c r="D296" s="1675"/>
      <c r="E296" s="1673"/>
      <c r="F296" s="1673"/>
      <c r="G296" s="1673"/>
      <c r="H296" s="1707"/>
      <c r="I296" s="1673"/>
      <c r="J296" s="1673"/>
      <c r="K296" s="1689">
        <f>'Revenues 9-14'!G268-'Expenditures 15-22'!K295</f>
        <v>-16642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5585439</v>
      </c>
      <c r="H301" s="1573"/>
      <c r="I301" s="1574"/>
      <c r="J301" s="1574"/>
      <c r="K301" s="1672">
        <f>SUM(C301:J301)</f>
        <v>5585439</v>
      </c>
      <c r="L301" s="1574">
        <v>14500000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5585439</v>
      </c>
      <c r="H303" s="1681">
        <f t="shared" si="23"/>
        <v>0</v>
      </c>
      <c r="I303" s="1681">
        <f t="shared" si="23"/>
        <v>0</v>
      </c>
      <c r="J303" s="1681">
        <f t="shared" si="23"/>
        <v>0</v>
      </c>
      <c r="K303" s="1681">
        <f t="shared" si="23"/>
        <v>5585439</v>
      </c>
      <c r="L303" s="1681">
        <f t="shared" si="23"/>
        <v>14500000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5585439</v>
      </c>
      <c r="H312" s="1674">
        <f>SUM(H303,H310)</f>
        <v>0</v>
      </c>
      <c r="I312" s="1674">
        <f>SUM(I303)</f>
        <v>0</v>
      </c>
      <c r="J312" s="1674">
        <f>SUM(J303)</f>
        <v>0</v>
      </c>
      <c r="K312" s="1674">
        <f>SUM(K303,K310,K311)</f>
        <v>5585439</v>
      </c>
      <c r="L312" s="1674">
        <f>SUM(L303,L310,L311)</f>
        <v>14500000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-4931938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1782</v>
      </c>
      <c r="B320" s="568" t="s">
        <v>280</v>
      </c>
      <c r="C320" s="1574"/>
      <c r="D320" s="1574"/>
      <c r="E320" s="1574">
        <v>49878</v>
      </c>
      <c r="F320" s="1574"/>
      <c r="G320" s="1574"/>
      <c r="H320" s="1574"/>
      <c r="I320" s="1574"/>
      <c r="J320" s="1574"/>
      <c r="K320" s="1672">
        <f t="shared" ref="K320:K327" si="24">SUM(C320:J320)</f>
        <v>49878</v>
      </c>
      <c r="L320" s="1574">
        <v>59003</v>
      </c>
      <c r="M320" s="539"/>
      <c r="N320" s="539"/>
    </row>
    <row r="321" spans="1:14" s="548" customFormat="1" x14ac:dyDescent="0.2">
      <c r="A321" s="1289" t="s">
        <v>297</v>
      </c>
      <c r="B321" s="567" t="s">
        <v>281</v>
      </c>
      <c r="C321" s="1574"/>
      <c r="D321" s="1574"/>
      <c r="E321" s="1574">
        <v>3356</v>
      </c>
      <c r="F321" s="1574"/>
      <c r="G321" s="1574"/>
      <c r="H321" s="1574"/>
      <c r="I321" s="1574"/>
      <c r="J321" s="1574"/>
      <c r="K321" s="1672">
        <f t="shared" si="24"/>
        <v>3356</v>
      </c>
      <c r="L321" s="1574">
        <v>0</v>
      </c>
      <c r="M321" s="539"/>
      <c r="N321" s="539"/>
    </row>
    <row r="322" spans="1:14" s="548" customFormat="1" x14ac:dyDescent="0.2">
      <c r="A322" s="1289" t="s">
        <v>236</v>
      </c>
      <c r="B322" s="567" t="s">
        <v>282</v>
      </c>
      <c r="C322" s="1574"/>
      <c r="D322" s="1574"/>
      <c r="E322" s="1574">
        <v>91267</v>
      </c>
      <c r="F322" s="1574"/>
      <c r="G322" s="1574"/>
      <c r="H322" s="1574"/>
      <c r="I322" s="1574"/>
      <c r="J322" s="1574"/>
      <c r="K322" s="1672">
        <f t="shared" si="24"/>
        <v>91267</v>
      </c>
      <c r="L322" s="1574">
        <v>79790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7000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v>14457</v>
      </c>
      <c r="F325" s="1574"/>
      <c r="G325" s="1574"/>
      <c r="H325" s="1574"/>
      <c r="I325" s="1574"/>
      <c r="J325" s="1574"/>
      <c r="K325" s="1672">
        <f t="shared" si="24"/>
        <v>14457</v>
      </c>
      <c r="L325" s="1574">
        <v>1000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7000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158958</v>
      </c>
      <c r="F330" s="1674">
        <f t="shared" si="25"/>
        <v>0</v>
      </c>
      <c r="G330" s="1674">
        <f t="shared" si="25"/>
        <v>0</v>
      </c>
      <c r="H330" s="1674">
        <f t="shared" si="25"/>
        <v>0</v>
      </c>
      <c r="I330" s="1674">
        <f t="shared" si="25"/>
        <v>0</v>
      </c>
      <c r="J330" s="1674">
        <f t="shared" si="25"/>
        <v>0</v>
      </c>
      <c r="K330" s="1674">
        <f>SUM(K319:K329)</f>
        <v>158958</v>
      </c>
      <c r="L330" s="1674">
        <f>SUM(L319:L329)</f>
        <v>153793</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158958</v>
      </c>
      <c r="F342" s="1674">
        <f>SUM(F330)</f>
        <v>0</v>
      </c>
      <c r="G342" s="1674">
        <f>SUM(G330)</f>
        <v>0</v>
      </c>
      <c r="H342" s="1674">
        <f>SUM(H330,H334,H340)</f>
        <v>0</v>
      </c>
      <c r="I342" s="1674">
        <f>SUM(I330)</f>
        <v>0</v>
      </c>
      <c r="J342" s="1674">
        <f>SUM(J330)</f>
        <v>0</v>
      </c>
      <c r="K342" s="1674">
        <f>SUM(K330,K334,K340)</f>
        <v>158958</v>
      </c>
      <c r="L342" s="1681">
        <f>SUM(L330,L334,L340,L341)</f>
        <v>153793</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-55479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425</v>
      </c>
      <c r="F348" s="1573"/>
      <c r="G348" s="1573"/>
      <c r="H348" s="1573"/>
      <c r="I348" s="1574"/>
      <c r="J348" s="1574"/>
      <c r="K348" s="1672">
        <f>SUM(C348:J348)</f>
        <v>425</v>
      </c>
      <c r="L348" s="1573">
        <v>39000</v>
      </c>
    </row>
    <row r="349" spans="1:14" x14ac:dyDescent="0.2">
      <c r="A349" s="1274" t="s">
        <v>195</v>
      </c>
      <c r="B349" s="503">
        <v>2540</v>
      </c>
      <c r="C349" s="1573"/>
      <c r="D349" s="1573"/>
      <c r="E349" s="1573"/>
      <c r="F349" s="1573"/>
      <c r="G349" s="1573">
        <v>1890</v>
      </c>
      <c r="H349" s="1573"/>
      <c r="I349" s="1574"/>
      <c r="J349" s="1574"/>
      <c r="K349" s="1672">
        <f>SUM(C349:J349)</f>
        <v>1890</v>
      </c>
      <c r="L349" s="1573">
        <v>20700</v>
      </c>
    </row>
    <row r="350" spans="1:14" ht="12.75" customHeight="1" thickBot="1" x14ac:dyDescent="0.25">
      <c r="A350" s="1380" t="s">
        <v>714</v>
      </c>
      <c r="B350" s="1381" t="s">
        <v>35</v>
      </c>
      <c r="C350" s="1674">
        <f>SUM(C348:C349)</f>
        <v>0</v>
      </c>
      <c r="D350" s="1674">
        <f t="shared" ref="D350:L350" si="26">SUM(D348:D349)</f>
        <v>0</v>
      </c>
      <c r="E350" s="1674">
        <f t="shared" si="26"/>
        <v>425</v>
      </c>
      <c r="F350" s="1674">
        <f t="shared" si="26"/>
        <v>0</v>
      </c>
      <c r="G350" s="1674">
        <f t="shared" si="26"/>
        <v>1890</v>
      </c>
      <c r="H350" s="1674">
        <f t="shared" si="26"/>
        <v>0</v>
      </c>
      <c r="I350" s="1674">
        <f t="shared" si="26"/>
        <v>0</v>
      </c>
      <c r="J350" s="1674">
        <f t="shared" si="26"/>
        <v>0</v>
      </c>
      <c r="K350" s="1674">
        <f t="shared" si="26"/>
        <v>2315</v>
      </c>
      <c r="L350" s="1674">
        <f t="shared" si="26"/>
        <v>59700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425</v>
      </c>
      <c r="F352" s="1674">
        <f t="shared" si="27"/>
        <v>0</v>
      </c>
      <c r="G352" s="1674">
        <f t="shared" si="27"/>
        <v>1890</v>
      </c>
      <c r="H352" s="1674">
        <f t="shared" si="27"/>
        <v>0</v>
      </c>
      <c r="I352" s="1674">
        <f t="shared" si="27"/>
        <v>0</v>
      </c>
      <c r="J352" s="1674">
        <f t="shared" si="27"/>
        <v>0</v>
      </c>
      <c r="K352" s="1674">
        <f t="shared" si="27"/>
        <v>2315</v>
      </c>
      <c r="L352" s="1674">
        <f t="shared" si="27"/>
        <v>59700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425</v>
      </c>
      <c r="F367" s="1674">
        <f t="shared" si="28"/>
        <v>0</v>
      </c>
      <c r="G367" s="1674">
        <f t="shared" si="28"/>
        <v>1890</v>
      </c>
      <c r="H367" s="1674">
        <f t="shared" si="28"/>
        <v>0</v>
      </c>
      <c r="I367" s="1674">
        <f t="shared" si="28"/>
        <v>0</v>
      </c>
      <c r="J367" s="1674">
        <f t="shared" si="28"/>
        <v>0</v>
      </c>
      <c r="K367" s="1674">
        <f t="shared" si="28"/>
        <v>2315</v>
      </c>
      <c r="L367" s="1674">
        <f t="shared" si="28"/>
        <v>59700</v>
      </c>
    </row>
    <row r="368" spans="1:14" ht="13.5" thickTop="1" x14ac:dyDescent="0.2">
      <c r="A368" s="2261" t="s">
        <v>989</v>
      </c>
      <c r="B368" s="2262"/>
      <c r="C368" s="1694"/>
      <c r="D368" s="1694"/>
      <c r="E368" s="1677"/>
      <c r="F368" s="1677"/>
      <c r="G368" s="1677"/>
      <c r="H368" s="1677"/>
      <c r="I368" s="1677"/>
      <c r="J368" s="1676"/>
      <c r="K368" s="1672">
        <f>'Revenues 9-14'!K268-'Expenditures 15-22'!K367</f>
        <v>58662</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gridLinesSet="0"/>
  <pageMargins left="0.1" right="0.2" top="0.7" bottom="0.35" header="0.45"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6ce3111e-7420-4802-b50a-75d4e9a0b980"/>
    <ds:schemaRef ds:uri="http://www.w3.org/XML/1998/namespace"/>
    <ds:schemaRef ds:uri="http://purl.org/dc/terms/"/>
    <ds:schemaRef ds:uri="4d435f69-8686-490b-bd6d-b153bf22ab50"/>
    <ds:schemaRef ds:uri="d21dc803-237d-4c68-8692-8d731fd29118"/>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2020-10-13T16:07:54Z</cp:lastPrinted>
  <dcterms:created xsi:type="dcterms:W3CDTF">2003-10-29T19:06:34Z</dcterms:created>
  <dcterms:modified xsi:type="dcterms:W3CDTF">2020-10-21T22:06:58Z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ies>
</file>