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B1F5EB1-010C-42D1-9CD0-D064476B3A4E}" xr6:coauthVersionLast="36" xr6:coauthVersionMax="36" xr10:uidLastSave="{00000000-0000-0000-0000-000000000000}"/>
  <bookViews>
    <workbookView xWindow="-120" yWindow="-120" windowWidth="29040" windowHeight="15840" tabRatio="84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7" r:id="rId31"/>
    <sheet name="SF&amp;QC Sec-2" sheetId="175" r:id="rId32"/>
    <sheet name="SF&amp;QC Sec-3" sheetId="176" r:id="rId33"/>
    <sheet name="SSPAF" sheetId="177" r:id="rId34"/>
    <sheet name="CAP 2020-001" sheetId="185" r:id="rId35"/>
  </sheets>
  <definedNames>
    <definedName name="_xlnm._FilterDatabase" localSheetId="23" hidden="1">'AFR20'!$A$1:$F$7884</definedName>
    <definedName name="goof" localSheetId="34">#REF!</definedName>
    <definedName name="goof">#REF!</definedName>
    <definedName name="oops" localSheetId="34">#REF!</definedName>
    <definedName name="oops">#REF!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15" i="12"/>
  <c r="J36" i="8" l="1"/>
  <c r="J35" i="8"/>
  <c r="J34" i="8"/>
  <c r="J32" i="8"/>
  <c r="C10" i="187" l="1"/>
  <c r="B4" i="187"/>
  <c r="B1"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B68" i="127"/>
  <c r="B69" i="127"/>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D22" i="37"/>
  <c r="L22" i="37"/>
  <c r="D24" i="37"/>
  <c r="B4270" i="106" s="1"/>
  <c r="D4270" i="106" s="1"/>
  <c r="F50" i="34" l="1"/>
  <c r="D69" i="36"/>
  <c r="B7078" i="106"/>
  <c r="D7078" i="106" s="1"/>
  <c r="H33" i="118"/>
  <c r="F42" i="34"/>
  <c r="G35" i="108"/>
  <c r="F52" i="34"/>
  <c r="B7831" i="106" s="1"/>
  <c r="D7831" i="106" s="1"/>
  <c r="B2724" i="106"/>
  <c r="D2724" i="106" s="1"/>
  <c r="H28" i="118"/>
  <c r="C129" i="29"/>
  <c r="C151" i="29" s="1"/>
  <c r="B1226" i="106" s="1"/>
  <c r="D1226" i="106" s="1"/>
  <c r="D14" i="4"/>
  <c r="B2570" i="106" s="1"/>
  <c r="D2570" i="106" s="1"/>
  <c r="B2805" i="106"/>
  <c r="D2805" i="106" s="1"/>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L16" i="11"/>
  <c r="B2061" i="106" s="1"/>
  <c r="D2061" i="106" s="1"/>
  <c r="I7" i="4"/>
  <c r="B4444" i="106" s="1"/>
  <c r="D4444" i="106" s="1"/>
  <c r="J16" i="4"/>
  <c r="B6226" i="106" s="1"/>
  <c r="D6226" i="106" s="1"/>
  <c r="I151" i="29"/>
  <c r="F59" i="34" s="1"/>
  <c r="J151" i="29"/>
  <c r="B7052" i="106" s="1"/>
  <c r="D7052" i="106"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B10" i="146"/>
  <c r="F9" i="146"/>
  <c r="B2636" i="106"/>
  <c r="D2636" i="106" s="1"/>
  <c r="D81" i="4" l="1"/>
  <c r="D82" i="4" s="1"/>
  <c r="F10" i="146"/>
  <c r="F176" i="34"/>
  <c r="B7878" i="106" s="1"/>
  <c r="D7878" i="106" s="1"/>
  <c r="B7835" i="106"/>
  <c r="D7835"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B2848" i="106"/>
  <c r="D2848" i="106" s="1"/>
  <c r="H76" i="4"/>
  <c r="B6257" i="106"/>
  <c r="D6257" i="106" s="1"/>
  <c r="K76" i="4"/>
  <c r="B6259" i="106"/>
  <c r="D6259" i="106" s="1"/>
  <c r="D36" i="36"/>
  <c r="D35" i="36"/>
  <c r="B3411" i="106"/>
  <c r="D3411" i="106" s="1"/>
  <c r="B1645" i="106"/>
  <c r="D1645" i="106" s="1"/>
  <c r="B3321" i="106"/>
  <c r="D3321" i="106" s="1"/>
  <c r="B1687" i="106"/>
  <c r="D1687" i="106" s="1"/>
  <c r="D13" i="3" l="1"/>
  <c r="C13" i="3"/>
  <c r="D34" i="36"/>
  <c r="B3414" i="106"/>
  <c r="D3414" i="106" s="1"/>
  <c r="B3417" i="106"/>
  <c r="D3417" i="106" s="1"/>
  <c r="E13" i="3"/>
  <c r="B131" i="106" s="1"/>
  <c r="D131" i="106" s="1"/>
  <c r="H24" i="118"/>
  <c r="K24" i="118" s="1"/>
  <c r="O23" i="118" s="1"/>
  <c r="O25" i="118" s="1"/>
  <c r="B3298" i="106"/>
  <c r="D3298" i="106" s="1"/>
  <c r="H77" i="4"/>
  <c r="B6285" i="106"/>
  <c r="D6285" i="106" s="1"/>
  <c r="E44" i="4"/>
  <c r="B3586" i="106"/>
  <c r="D3586" i="106" s="1"/>
  <c r="K77" i="4"/>
  <c r="B3589" i="106"/>
  <c r="D3589" i="106" s="1"/>
  <c r="B6264" i="106"/>
  <c r="D6264" i="106" s="1"/>
  <c r="J81" i="4"/>
  <c r="B109" i="106"/>
  <c r="D109" i="106" s="1"/>
  <c r="D45" i="36"/>
  <c r="B77" i="106"/>
  <c r="D77" i="106" s="1"/>
  <c r="B3274" i="106" l="1"/>
  <c r="D3274" i="106" s="1"/>
  <c r="E77" i="4"/>
  <c r="B3299" i="106"/>
  <c r="D3299" i="106" s="1"/>
  <c r="H78" i="4"/>
  <c r="B3587" i="106"/>
  <c r="D3587" i="106" s="1"/>
  <c r="K78" i="4"/>
  <c r="D64" i="36"/>
  <c r="J82" i="4"/>
  <c r="B6266" i="106"/>
  <c r="D6266" i="106" s="1"/>
  <c r="B1617" i="106"/>
  <c r="D1617" i="106" s="1"/>
  <c r="B3300" i="106" l="1"/>
  <c r="D3300" i="106" s="1"/>
  <c r="H81" i="4"/>
  <c r="B3277" i="106"/>
  <c r="D3277" i="106" s="1"/>
  <c r="E78" i="4"/>
  <c r="B3588" i="106"/>
  <c r="D3588" i="106" s="1"/>
  <c r="K81" i="4"/>
  <c r="J83" i="4"/>
  <c r="B6283" i="106" s="1"/>
  <c r="D6283" i="106" s="1"/>
  <c r="B6274" i="106"/>
  <c r="D6274" i="106" s="1"/>
  <c r="B140" i="106" l="1"/>
  <c r="D140" i="106" s="1"/>
  <c r="E41" i="3"/>
  <c r="B3278" i="106"/>
  <c r="D3278" i="106" s="1"/>
  <c r="E81" i="4"/>
  <c r="B1700" i="106"/>
  <c r="D1700" i="106" s="1"/>
  <c r="H82" i="4"/>
  <c r="K82" i="4"/>
  <c r="B3591" i="106"/>
  <c r="D3591" i="106" s="1"/>
  <c r="B2912" i="106"/>
  <c r="D2912" i="106" s="1"/>
  <c r="I41" i="3"/>
  <c r="B141" i="106" l="1"/>
  <c r="D141" i="106" s="1"/>
  <c r="D46" i="36"/>
  <c r="H83" i="4"/>
  <c r="B6281" i="106" s="1"/>
  <c r="D6281" i="106" s="1"/>
  <c r="B6272" i="106"/>
  <c r="D6272" i="106" s="1"/>
  <c r="B1658" i="106"/>
  <c r="D1658" i="106" s="1"/>
  <c r="E82" i="4"/>
  <c r="D59" i="36"/>
  <c r="B6275" i="106"/>
  <c r="D6275" i="106" s="1"/>
  <c r="K83" i="4"/>
  <c r="B6284" i="106" s="1"/>
  <c r="D6284"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B324" i="106" l="1"/>
  <c r="D324" i="106" s="1"/>
  <c r="B325" i="106"/>
  <c r="D325" i="106" s="1"/>
  <c r="B3530" i="106"/>
  <c r="D3530" i="106" s="1"/>
  <c r="B7748" i="106" l="1"/>
  <c r="D7748" i="106" s="1"/>
  <c r="I47" i="4"/>
  <c r="B2105" i="106" s="1"/>
  <c r="D2105" i="106" s="1"/>
  <c r="I48" i="4"/>
  <c r="B321" i="106"/>
  <c r="D321" i="106" s="1"/>
  <c r="B5012" i="106"/>
  <c r="D5012" i="106" s="1"/>
  <c r="D71" i="36"/>
  <c r="B323" i="106"/>
  <c r="D323" i="106" s="1"/>
  <c r="D68" i="36"/>
  <c r="B6290" i="106"/>
  <c r="D6290" i="106" s="1"/>
  <c r="D73" i="36"/>
  <c r="B3228" i="106"/>
  <c r="D3228" i="106" s="1"/>
  <c r="B2106" i="106" l="1"/>
  <c r="D2106" i="106" s="1"/>
  <c r="I76" i="4"/>
  <c r="B2757" i="106"/>
  <c r="D2757" i="106" s="1"/>
  <c r="D72" i="36"/>
  <c r="C44" i="4"/>
  <c r="B3229" i="106" s="1"/>
  <c r="D3229" i="106" s="1"/>
  <c r="B3318" i="106" l="1"/>
  <c r="D3318" i="106" s="1"/>
  <c r="I77" i="4"/>
  <c r="C77" i="4"/>
  <c r="B3232" i="106" s="1"/>
  <c r="D3232" i="106" s="1"/>
  <c r="B3319" i="106" l="1"/>
  <c r="D3319" i="106" s="1"/>
  <c r="I78" i="4"/>
  <c r="C78" i="4"/>
  <c r="B3233" i="106" s="1"/>
  <c r="D3233" i="106" s="1"/>
  <c r="C81" i="4"/>
  <c r="B3320" i="106" l="1"/>
  <c r="D3320" i="106" s="1"/>
  <c r="I81" i="4"/>
  <c r="B1630" i="106"/>
  <c r="D1630" i="106" s="1"/>
  <c r="C82" i="4"/>
  <c r="B11" i="146"/>
  <c r="J16" i="37"/>
  <c r="B4269" i="106" s="1"/>
  <c r="D4269" i="106" s="1"/>
  <c r="H12" i="118"/>
  <c r="K12" i="118" s="1"/>
  <c r="O11" i="118" s="1"/>
  <c r="O13" i="118" s="1"/>
  <c r="O35" i="118" s="1"/>
  <c r="O37" i="118" s="1"/>
  <c r="E11" i="146" l="1"/>
  <c r="D63" i="36"/>
  <c r="B3323" i="106"/>
  <c r="D3323" i="106" s="1"/>
  <c r="I82" i="4"/>
  <c r="F11" i="146"/>
  <c r="C12" i="146" s="1"/>
  <c r="B6267" i="106"/>
  <c r="D6267" i="106" s="1"/>
  <c r="C83" i="4"/>
  <c r="B6276" i="106" s="1"/>
  <c r="D6276" i="106" s="1"/>
  <c r="D29" i="36" l="1"/>
  <c r="J24" i="24" s="1"/>
  <c r="I83" i="4"/>
  <c r="B6282" i="106" s="1"/>
  <c r="D6282" i="106" s="1"/>
  <c r="B6273" i="106"/>
  <c r="D6273" i="106" s="1"/>
  <c r="C41" i="3" l="1"/>
  <c r="B92" i="106"/>
  <c r="D92" i="106" s="1"/>
  <c r="D57" i="36"/>
  <c r="D76"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<sst xmlns="http://schemas.openxmlformats.org/spreadsheetml/2006/main" count="5220" uniqueCount="2130">
  <si>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</si>
  <si>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</si>
  <si>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</si>
  <si>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</si>
  <si>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</si>
  <si>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</si>
  <si>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</si>
  <si>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</si>
  <si>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</si>
  <si>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</si>
  <si>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</si>
  <si>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</si>
  <si>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</si>
  <si>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</si>
  <si>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</si>
  <si>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</si>
  <si>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</si>
  <si>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</si>
  <si>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</si>
  <si>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</si>
  <si>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</si>
  <si>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</si>
  <si>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</si>
  <si>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</si>
  <si>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</si>
  <si>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</si>
  <si>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</si>
  <si>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</si>
  <si>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</si>
  <si>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</si>
  <si>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</si>
  <si>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</si>
  <si>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</si>
  <si>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</si>
  <si>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</si>
  <si>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</si>
  <si>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</si>
  <si>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</si>
  <si>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</si>
  <si>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</si>
  <si>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</si>
  <si>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</si>
  <si>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</si>
  <si>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</si>
  <si>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</si>
  <si>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</si>
  <si>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</si>
  <si>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</si>
  <si>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</si>
  <si>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</si>
  <si>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</si>
  <si>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</si>
  <si>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</si>
  <si>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</si>
  <si>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</si>
  <si>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</si>
  <si>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</si>
  <si>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</si>
  <si>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</si>
  <si>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</si>
  <si>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</si>
  <si>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</si>
  <si>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</si>
  <si>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</si>
  <si>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</si>
  <si>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</si>
  <si>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</si>
  <si>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</si>
  <si>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</si>
  <si>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</si>
  <si>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</si>
  <si>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</si>
  <si>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</si>
  <si>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</si>
  <si>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</si>
  <si>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</si>
  <si>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</si>
  <si>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</si>
  <si>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</si>
  <si>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</si>
  <si>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</si>
  <si>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</si>
  <si>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</si>
  <si>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</si>
  <si>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</si>
  <si>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</si>
  <si>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</si>
  <si>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</si>
  <si>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</si>
  <si>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</si>
  <si>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</si>
  <si>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</si>
  <si>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</si>
  <si>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</si>
  <si>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</si>
  <si>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</si>
  <si>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</si>
  <si>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</si>
  <si>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</si>
  <si>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</si>
  <si>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</si>
  <si>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</si>
  <si>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</si>
  <si>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</si>
  <si>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</si>
  <si>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</si>
  <si>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</si>
  <si>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</si>
  <si>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</si>
  <si>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</si>
  <si>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</si>
  <si>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</si>
  <si>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</si>
  <si>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</si>
  <si>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</si>
  <si>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</si>
  <si>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</si>
  <si>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</si>
  <si>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</si>
  <si>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</si>
  <si>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</si>
  <si>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</si>
  <si>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</si>
  <si>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</si>
  <si>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</si>
  <si>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</si>
  <si>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</si>
  <si>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</si>
  <si>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</si>
  <si>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</si>
  <si>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</si>
  <si>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</si>
  <si>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</si>
  <si>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</si>
  <si>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</si>
  <si>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</si>
  <si>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</si>
  <si>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</si>
  <si>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</si>
  <si>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</si>
  <si>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</si>
  <si>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</si>
  <si>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</si>
  <si>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</si>
  <si>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</si>
  <si>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</si>
  <si>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</si>
  <si>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</si>
  <si>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</si>
  <si>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</si>
  <si>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</si>
  <si>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</si>
  <si>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</si>
  <si>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</si>
  <si>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</si>
  <si>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</si>
  <si>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</si>
  <si>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</si>
  <si>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</si>
  <si>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</si>
  <si>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</si>
  <si>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</si>
  <si>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</si>
  <si>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</si>
  <si>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</si>
  <si>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</si>
  <si>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</si>
  <si>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</si>
  <si>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</si>
  <si>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</si>
  <si>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</si>
  <si>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</si>
  <si>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</si>
  <si>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</si>
  <si>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</si>
  <si>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</si>
  <si>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</si>
  <si>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</si>
  <si>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</si>
  <si>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</si>
  <si>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</si>
  <si>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</si>
  <si>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</si>
  <si>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</si>
  <si>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</si>
  <si>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</si>
  <si>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</si>
  <si>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</si>
  <si>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</si>
  <si>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</si>
  <si>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</si>
  <si>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</si>
  <si>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</si>
  <si>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</si>
  <si>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</si>
  <si>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</si>
  <si>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</si>
  <si>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</si>
  <si>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</si>
  <si>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</si>
  <si>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</si>
  <si>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</si>
  <si>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</si>
  <si>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</si>
  <si>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</si>
  <si>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</si>
  <si>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</si>
  <si>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</si>
  <si>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</si>
  <si>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</si>
  <si>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</si>
  <si>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</si>
  <si>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</si>
  <si>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</si>
  <si>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</si>
  <si>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</si>
  <si>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</si>
  <si>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</si>
  <si>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</si>
  <si>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</si>
  <si>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</si>
  <si>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</si>
  <si>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</si>
  <si>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</si>
  <si>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</si>
  <si>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</si>
  <si>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</si>
  <si>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</si>
  <si>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</si>
  <si>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</si>
  <si>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</si>
  <si>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</si>
  <si>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</si>
  <si>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</si>
  <si>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</si>
  <si>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</si>
  <si>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</si>
  <si>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</si>
  <si>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</si>
  <si>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</si>
  <si>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</si>
  <si>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</si>
  <si>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</si>
  <si>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</si>
  <si>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</si>
  <si>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</si>
  <si>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</si>
  <si>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</si>
  <si>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</si>
  <si>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</si>
  <si>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</si>
  <si>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</si>
  <si>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</si>
  <si>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</si>
  <si>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</si>
  <si>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</si>
  <si>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</si>
  <si>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</si>
  <si>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</si>
  <si>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</si>
  <si>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</si>
  <si>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</si>
  <si>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</si>
  <si>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</si>
  <si>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</si>
  <si>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</si>
  <si>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</si>
  <si>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</si>
  <si>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</si>
  <si>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</si>
  <si>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</si>
  <si>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</si>
  <si>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</si>
  <si>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</si>
  <si>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</si>
  <si>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</si>
  <si>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</si>
  <si>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</si>
  <si>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</si>
  <si>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</si>
  <si>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</si>
  <si>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</si>
  <si>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</si>
  <si>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</si>
  <si>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</si>
  <si>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</si>
  <si>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</si>
  <si>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</si>
  <si>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</si>
  <si>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</si>
  <si>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</si>
  <si>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</si>
  <si>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</si>
  <si>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</si>
  <si>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</si>
  <si>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</si>
  <si>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</si>
  <si>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</si>
  <si>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</si>
  <si>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</si>
  <si>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</si>
  <si>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</si>
  <si>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</si>
  <si>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</si>
  <si>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</si>
  <si>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</si>
  <si>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</si>
  <si>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</si>
  <si>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</si>
  <si>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</si>
  <si>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</si>
  <si>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</si>
  <si>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</si>
  <si>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</si>
  <si>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</si>
  <si>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</si>
  <si>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</si>
  <si>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</si>
  <si>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</si>
  <si>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</si>
  <si>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</si>
  <si>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</si>
  <si>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</si>
  <si>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</si>
  <si>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</si>
  <si>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</si>
  <si>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</si>
  <si>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</si>
  <si>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</si>
  <si>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</si>
  <si>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</si>
  <si>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</si>
  <si>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</si>
  <si>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</si>
  <si>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</si>
  <si>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</si>
  <si>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</si>
  <si>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</si>
  <si>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</si>
  <si>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</si>
  <si>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</si>
  <si>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</si>
  <si>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</si>
  <si>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</si>
  <si>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</si>
  <si>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</si>
  <si>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</si>
  <si>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</si>
  <si>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</si>
  <si>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</si>
  <si>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</si>
  <si>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</si>
  <si>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</si>
  <si>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</si>
  <si>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</si>
  <si>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</si>
  <si>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</si>
  <si>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</si>
  <si>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</si>
  <si>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</si>
  <si>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</si>
  <si>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</si>
  <si>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</si>
  <si>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</si>
  <si>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</si>
  <si>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</si>
  <si>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</si>
  <si>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</si>
  <si>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</si>
  <si>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</si>
  <si>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</si>
  <si>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</si>
  <si>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</si>
  <si>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</si>
  <si>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</si>
  <si>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</si>
  <si>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</si>
  <si>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</si>
  <si>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</si>
  <si>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</si>
  <si>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</si>
  <si>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</si>
  <si>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</si>
  <si>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</si>
  <si>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</si>
  <si>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</si>
  <si>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</si>
  <si>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</si>
  <si>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</si>
  <si>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</si>
  <si>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</si>
  <si>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</si>
  <si>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</si>
  <si>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</si>
  <si>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</si>
  <si>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</si>
  <si>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</si>
  <si>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</si>
  <si>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</si>
  <si>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</si>
  <si>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</si>
  <si>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</si>
  <si>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</si>
  <si>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</si>
  <si>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</si>
  <si>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</si>
  <si>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</si>
  <si>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</si>
  <si>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</si>
  <si>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</si>
  <si>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</si>
  <si>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</si>
  <si>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</si>
  <si>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</si>
  <si>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</si>
  <si>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</si>
  <si>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</si>
  <si>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</si>
  <si>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</si>
  <si>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</si>
  <si>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</si>
  <si>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</si>
  <si>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</si>
  <si>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</si>
  <si>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</si>
  <si>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</si>
  <si>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</si>
  <si>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</si>
  <si>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</si>
  <si>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</si>
  <si>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</si>
  <si>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</si>
  <si>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</si>
  <si>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</si>
  <si>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</si>
  <si>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</si>
  <si>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</si>
  <si>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</si>
  <si>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</si>
  <si>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</si>
  <si>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</si>
  <si>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</si>
  <si>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</si>
  <si>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</si>
  <si>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</si>
  <si>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</si>
  <si>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</si>
  <si>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</si>
  <si>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</si>
  <si>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</si>
  <si>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</si>
  <si>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</si>
  <si>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</si>
  <si>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</si>
  <si>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</si>
  <si>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</si>
  <si>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</si>
  <si>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</si>
  <si>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</si>
  <si>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</si>
  <si>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</si>
  <si>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</si>
  <si>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</si>
  <si>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</si>
  <si>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</si>
  <si>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</si>
  <si>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</si>
  <si>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</si>
  <si>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</si>
  <si>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</si>
  <si>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</si>
  <si>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</si>
  <si>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</si>
  <si>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</si>
  <si>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</si>
  <si>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</si>
  <si>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</si>
  <si>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</si>
  <si>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</si>
  <si>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</si>
  <si>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</si>
  <si>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</si>
  <si>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</si>
  <si>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</si>
  <si>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</si>
  <si>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</si>
  <si>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</si>
  <si>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</si>
  <si>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</si>
  <si>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</si>
  <si>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</si>
  <si>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</si>
  <si>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</si>
  <si>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</si>
  <si>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</si>
  <si>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</si>
  <si>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</si>
  <si>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</si>
  <si>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</si>
  <si>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</si>
  <si>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</si>
  <si>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</si>
  <si>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</si>
  <si>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</si>
  <si>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</si>
  <si>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</si>
  <si>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</si>
  <si>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</si>
  <si>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</si>
  <si>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</si>
  <si>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</si>
  <si>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</si>
  <si>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</si>
  <si>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</si>
  <si>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</si>
  <si>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</si>
  <si>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</si>
  <si>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</si>
  <si>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</si>
  <si>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</si>
  <si>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</si>
  <si>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</si>
  <si>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</si>
  <si>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</si>
  <si>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</si>
  <si>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</si>
  <si>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</si>
  <si>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</si>
  <si>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</si>
  <si>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</si>
  <si>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</si>
  <si>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</si>
  <si>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</si>
  <si>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</si>
  <si>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</si>
  <si>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</si>
  <si>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</si>
  <si>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</si>
  <si>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</si>
  <si>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</si>
  <si>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</si>
  <si>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</si>
  <si>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</si>
  <si>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</si>
  <si>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</si>
  <si>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</si>
  <si>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</si>
  <si>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</si>
  <si>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</si>
  <si>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</si>
  <si>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</si>
  <si>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</si>
  <si>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</si>
  <si>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</si>
  <si>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</si>
  <si>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</si>
  <si>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</si>
  <si>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</si>
  <si>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</si>
  <si>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</si>
  <si>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</si>
  <si>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</si>
  <si>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</si>
  <si>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</si>
  <si>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</si>
  <si>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</si>
  <si>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</si>
  <si>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</si>
  <si>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</si>
  <si>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</si>
  <si>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</si>
  <si>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</si>
  <si>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</si>
  <si>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</si>
  <si>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</si>
  <si>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</si>
  <si>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</si>
  <si>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</si>
  <si>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</si>
  <si>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</si>
  <si>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</si>
  <si>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</si>
  <si>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</si>
  <si>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</si>
  <si>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</si>
  <si>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</si>
  <si>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</si>
  <si>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</si>
  <si>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</si>
  <si>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</si>
  <si>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</si>
  <si>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</si>
  <si>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</si>
  <si>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</si>
  <si>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</si>
  <si>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</si>
  <si>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</si>
  <si>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</si>
  <si>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</si>
  <si>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</si>
  <si>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</si>
  <si>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</si>
  <si>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</si>
  <si>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</si>
  <si>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</si>
  <si>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</si>
  <si>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</si>
  <si>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</si>
  <si>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</si>
  <si>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</si>
  <si>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</si>
  <si>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</si>
  <si>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</si>
  <si>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</si>
  <si>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</si>
  <si>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</si>
  <si>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</si>
  <si>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</si>
  <si>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</si>
  <si>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</si>
  <si>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</si>
  <si>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</si>
  <si>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</si>
  <si>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</si>
  <si>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</si>
  <si>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</si>
  <si>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</si>
  <si>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</si>
  <si>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</si>
  <si>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</si>
  <si>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</si>
  <si>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</si>
  <si>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</si>
  <si>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</si>
  <si>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</si>
  <si>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</si>
  <si>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</si>
  <si>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</si>
  <si>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</si>
  <si>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</si>
  <si>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</si>
  <si>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</si>
  <si>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</si>
  <si>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</si>
  <si>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</si>
  <si>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</si>
  <si>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</si>
  <si>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</si>
  <si>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</si>
  <si>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</si>
  <si>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</si>
  <si>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</si>
  <si>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</si>
  <si>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</si>
  <si>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</si>
  <si>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</si>
  <si>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</si>
  <si>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</si>
  <si>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</si>
  <si>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</si>
  <si>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</si>
  <si>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</si>
  <si>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</si>
  <si>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</si>
  <si>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</si>
  <si>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</si>
  <si>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</si>
  <si>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</si>
  <si>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</si>
  <si>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</si>
  <si>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</si>
  <si>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</si>
  <si>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</si>
  <si>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</si>
  <si>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</si>
  <si>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</si>
  <si>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</si>
  <si>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</si>
  <si>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</si>
  <si>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</si>
  <si>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</si>
  <si>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</si>
  <si>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</si>
  <si>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</si>
  <si>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</si>
  <si>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</si>
  <si>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</si>
  <si>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</si>
  <si>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</si>
  <si>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</si>
  <si>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</si>
  <si>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</si>
  <si>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</si>
  <si>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</si>
  <si>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</si>
  <si>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</si>
  <si>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</si>
  <si>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</si>
  <si>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</si>
  <si>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</si>
  <si>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</si>
  <si>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</si>
  <si>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</si>
  <si>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</si>
  <si>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</si>
  <si>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</si>
  <si>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</si>
  <si>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</si>
  <si>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</si>
  <si>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</si>
  <si>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</si>
  <si>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</si>
  <si>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</si>
  <si>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</si>
  <si>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</si>
  <si>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</si>
  <si>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</si>
  <si>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</si>
  <si>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</si>
  <si>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</si>
  <si>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</si>
  <si>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</si>
  <si>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</si>
  <si>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</si>
  <si>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</si>
  <si>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</si>
  <si>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</si>
  <si>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</si>
  <si>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</si>
  <si>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</si>
  <si>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</si>
  <si>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</si>
  <si>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</si>
  <si>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</si>
  <si>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</si>
  <si>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</si>
  <si>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</si>
  <si>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</si>
  <si>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</si>
  <si>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</si>
  <si>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</si>
  <si>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</si>
  <si>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</si>
  <si>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</si>
  <si>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</si>
  <si>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</si>
  <si>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</si>
  <si>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</si>
  <si>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</si>
  <si>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</si>
  <si>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</si>
  <si>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</si>
  <si>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</si>
  <si>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</si>
  <si>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</si>
  <si>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</si>
  <si>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</si>
  <si>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</si>
  <si>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</si>
  <si>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</si>
  <si>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</si>
  <si>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</si>
  <si>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</si>
  <si>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</si>
  <si>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</si>
  <si>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</si>
  <si>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</si>
  <si>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</si>
  <si>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</si>
  <si>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</si>
  <si>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</si>
  <si>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</si>
  <si>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</si>
  <si>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</si>
  <si>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</si>
  <si>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</si>
  <si>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</si>
  <si>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</si>
  <si>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</si>
  <si>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</si>
  <si>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</si>
  <si>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</si>
  <si>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</si>
  <si>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</si>
  <si>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</si>
  <si>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</si>
  <si>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</si>
  <si>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</si>
  <si>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</si>
  <si>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</si>
  <si>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</si>
  <si>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</si>
  <si>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</si>
  <si>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</si>
  <si>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</si>
  <si>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</si>
  <si>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</si>
  <si>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</si>
  <si>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</si>
  <si>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</si>
  <si>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</si>
  <si>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</si>
  <si>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</si>
  <si>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</si>
  <si>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</si>
  <si>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</si>
  <si>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</si>
  <si>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</si>
  <si>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</si>
  <si>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</si>
  <si>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</si>
  <si>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</si>
  <si>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</si>
  <si>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</si>
  <si>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</si>
  <si>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</si>
  <si>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</si>
  <si>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</si>
  <si>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</si>
  <si>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</si>
  <si>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</si>
  <si>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</si>
  <si>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</si>
  <si>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</si>
  <si>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</si>
  <si>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</si>
  <si>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</si>
  <si>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</si>
  <si>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</si>
  <si>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</si>
  <si>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</si>
  <si>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</si>
  <si>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</si>
  <si>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</si>
  <si>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</si>
  <si>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</si>
  <si>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</si>
  <si>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</si>
  <si>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</si>
  <si>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</si>
  <si>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</si>
  <si>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</si>
  <si>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</si>
  <si>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</si>
  <si>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</si>
  <si>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</si>
  <si>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</si>
  <si>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</si>
  <si>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</si>
  <si>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</si>
  <si>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</si>
  <si>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</si>
  <si>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</si>
  <si>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</si>
  <si>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</si>
  <si>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</si>
  <si>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</si>
  <si>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</si>
  <si>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</si>
  <si>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</si>
  <si>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</si>
  <si>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</si>
  <si>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</si>
  <si>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</si>
  <si>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</si>
  <si>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</si>
  <si>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</si>
  <si>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</si>
  <si>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</si>
  <si>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</si>
  <si>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</si>
  <si>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</si>
  <si>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</si>
  <si>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</si>
  <si>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</si>
  <si>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</si>
  <si>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</si>
  <si>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</si>
  <si>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</si>
  <si>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</si>
  <si>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</si>
  <si>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</si>
  <si>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</si>
  <si>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</si>
  <si>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</si>
  <si>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</si>
  <si>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</si>
  <si>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</si>
  <si>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</si>
  <si>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</si>
  <si>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</si>
  <si>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</si>
  <si>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</si>
  <si>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</si>
  <si>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</si>
  <si>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</si>
  <si>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</si>
  <si>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</si>
  <si>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</si>
  <si>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</si>
  <si>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</si>
  <si>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</si>
  <si>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</si>
  <si>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</si>
  <si>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</si>
  <si>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</si>
  <si>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</si>
  <si>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</si>
  <si>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</si>
  <si>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</si>
  <si>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</si>
  <si>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</si>
  <si>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</si>
  <si>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</si>
  <si>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</si>
  <si>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</si>
  <si>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</si>
  <si>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</si>
  <si>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</si>
  <si>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</si>
  <si>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</si>
  <si>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</si>
  <si>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</si>
  <si>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</si>
  <si>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</si>
  <si>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</si>
  <si>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</si>
  <si>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</si>
  <si>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</si>
  <si>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</si>
  <si>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</si>
  <si>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</si>
  <si>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</si>
  <si>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</si>
  <si>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</si>
  <si>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</si>
  <si>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</si>
  <si>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</si>
  <si>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</si>
  <si>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</si>
  <si>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</si>
  <si>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</si>
  <si>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</si>
  <si>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</si>
  <si>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</si>
  <si>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</si>
  <si>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</si>
  <si>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</si>
  <si>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</si>
  <si>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</si>
  <si>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</si>
  <si>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</si>
  <si>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</si>
  <si>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</si>
  <si>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</si>
  <si>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</si>
  <si>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</si>
  <si>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</si>
  <si>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</si>
  <si>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</si>
  <si>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</si>
  <si>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</si>
  <si>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</si>
  <si>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</si>
  <si>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</si>
  <si>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</si>
  <si>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</si>
  <si>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</si>
  <si>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</si>
  <si>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</si>
  <si>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</si>
  <si>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</si>
  <si>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</si>
  <si>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</si>
  <si>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</si>
  <si>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</si>
  <si>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</si>
  <si>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</si>
  <si>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</si>
  <si>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</si>
  <si>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</si>
  <si>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</si>
  <si>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</si>
  <si>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</si>
  <si>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</si>
  <si>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</si>
  <si>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</si>
  <si>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</si>
  <si>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</si>
  <si>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</si>
  <si>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</si>
  <si>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</si>
  <si>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</si>
  <si>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</si>
  <si>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</si>
  <si>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</si>
  <si>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</si>
  <si>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</si>
  <si>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</si>
  <si>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</si>
  <si>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</si>
  <si>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</si>
  <si>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</si>
  <si>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</si>
  <si>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</si>
  <si>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</si>
  <si>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</si>
  <si>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</si>
  <si>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</si>
  <si>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</si>
  <si>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</si>
  <si>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</si>
  <si>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</si>
  <si>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</si>
  <si>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</si>
  <si>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</si>
  <si>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</si>
  <si>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</si>
  <si>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</si>
  <si>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</si>
  <si>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</si>
  <si>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</si>
  <si>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</si>
  <si>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</si>
  <si>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</si>
  <si>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</si>
  <si>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</si>
  <si>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</si>
  <si>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</si>
  <si>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</si>
  <si>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</si>
  <si>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</si>
  <si>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</si>
  <si>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</si>
  <si>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</si>
  <si>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</si>
  <si>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</si>
  <si>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</si>
  <si>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</si>
  <si>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</si>
  <si>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</si>
  <si>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</si>
  <si>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</si>
  <si>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</si>
  <si>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</si>
  <si>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</si>
  <si>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</si>
  <si>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</si>
  <si>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</si>
  <si>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</si>
  <si>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</si>
  <si>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</si>
  <si>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</si>
  <si>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</si>
  <si>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</si>
  <si>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</si>
  <si>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</si>
  <si>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</si>
  <si>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</si>
  <si>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</si>
  <si>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</si>
  <si>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</si>
  <si>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</si>
  <si>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</si>
  <si>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</si>
  <si>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</si>
  <si>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</si>
  <si>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</si>
  <si>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</si>
  <si>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</si>
  <si>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</si>
  <si>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</si>
  <si>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</si>
  <si>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</si>
  <si>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</si>
  <si>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</si>
  <si>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</si>
  <si>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</si>
  <si>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</si>
  <si>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</si>
  <si>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</si>
  <si>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</si>
  <si>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</si>
  <si>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</si>
  <si>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</si>
  <si>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</si>
  <si>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</si>
  <si>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</si>
  <si>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</si>
  <si>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</si>
  <si>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</si>
  <si>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</si>
  <si>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</si>
  <si>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</si>
  <si>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</si>
  <si>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</si>
  <si>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</si>
  <si>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</si>
  <si>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</si>
  <si>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</si>
  <si>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</si>
  <si>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</si>
  <si>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</si>
  <si>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</si>
  <si>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</si>
  <si>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</si>
  <si>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</si>
  <si>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</si>
  <si>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</si>
  <si>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</si>
  <si>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</si>
  <si>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</si>
  <si>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</si>
  <si>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</si>
  <si>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</si>
  <si>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</si>
  <si>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</si>
  <si>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</si>
  <si>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</si>
  <si>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</si>
  <si>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</si>
  <si>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</si>
  <si>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</si>
  <si>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</si>
  <si>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</si>
  <si>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</si>
  <si>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</si>
  <si>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</si>
  <si>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</si>
  <si>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</si>
  <si>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</si>
  <si>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</si>
  <si>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</si>
  <si>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</si>
  <si>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</si>
  <si>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</si>
  <si>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</si>
  <si>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</si>
  <si>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</si>
  <si>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</si>
  <si>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</si>
  <si>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</si>
  <si>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</si>
  <si>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</si>
  <si>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</si>
  <si>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</si>
  <si>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</si>
  <si>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</si>
  <si>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</si>
  <si>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</si>
  <si>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</si>
  <si>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</si>
  <si>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</si>
  <si>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</si>
  <si>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</si>
  <si>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</si>
  <si>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</si>
  <si>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</si>
  <si>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</si>
  <si>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</si>
  <si>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</si>
  <si>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</si>
  <si>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</si>
  <si>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</si>
  <si>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</si>
  <si>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</si>
  <si>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</si>
  <si>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</si>
  <si>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</si>
  <si>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</si>
  <si>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</si>
  <si>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</si>
  <si>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</si>
  <si>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</si>
  <si>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</si>
  <si>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</si>
  <si>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</si>
  <si>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</si>
  <si>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</si>
  <si>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</si>
  <si>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</si>
  <si>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</si>
  <si>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</si>
  <si>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</si>
  <si>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</si>
  <si>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</si>
  <si>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</si>
  <si>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</si>
  <si>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</si>
  <si>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</si>
  <si>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</si>
  <si>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</si>
  <si>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</si>
  <si>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</si>
  <si>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</si>
  <si>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</si>
  <si>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</si>
  <si>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</si>
  <si>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</si>
  <si>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</si>
  <si>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</si>
  <si>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</si>
  <si>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</si>
  <si>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</si>
  <si>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</si>
  <si>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</si>
  <si>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</si>
  <si>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</si>
  <si>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</si>
  <si>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</si>
  <si>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</si>
  <si>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</si>
  <si>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</si>
  <si>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</si>
  <si>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</si>
  <si>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</si>
  <si>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</si>
  <si>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</si>
  <si>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</si>
  <si>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</si>
  <si>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</si>
  <si>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</si>
  <si>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</si>
  <si>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</si>
  <si>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</si>
  <si>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</si>
  <si>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</si>
  <si>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</si>
  <si>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</si>
  <si>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</si>
  <si>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</si>
  <si>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</si>
  <si>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</si>
  <si>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</si>
  <si>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</si>
  <si>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</si>
  <si>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</si>
  <si>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</si>
  <si>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</si>
  <si>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</si>
  <si>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</si>
  <si>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</si>
  <si>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</si>
  <si>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</si>
  <si>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</si>
  <si>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</si>
  <si>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</si>
  <si>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</si>
  <si>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</si>
  <si>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</si>
  <si>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</si>
  <si>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</si>
  <si>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</si>
  <si>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</si>
  <si>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</si>
  <si>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</si>
  <si>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</si>
  <si>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</si>
  <si>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</si>
  <si>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</si>
  <si>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</si>
  <si>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</si>
  <si>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</si>
  <si>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</si>
  <si>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</si>
  <si>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</si>
  <si>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</si>
  <si>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</si>
  <si>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</si>
  <si>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</si>
  <si>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</si>
  <si>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</si>
  <si>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</si>
  <si>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</si>
  <si>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</si>
  <si>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</si>
  <si>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</si>
  <si>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</si>
  <si>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</si>
  <si>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</si>
  <si>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</si>
  <si>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</si>
  <si>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</si>
  <si>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</si>
  <si>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</si>
  <si>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</si>
  <si>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</si>
  <si>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</si>
  <si>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</si>
  <si>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</si>
  <si>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</si>
  <si>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</si>
  <si>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</si>
  <si>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</si>
  <si>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</si>
  <si>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</si>
  <si>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</si>
  <si>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</si>
  <si>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</si>
  <si>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</si>
  <si>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</si>
  <si>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</si>
  <si>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</si>
  <si>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</si>
  <si>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</si>
  <si>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</si>
  <si>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</si>
  <si>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</si>
  <si>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</si>
  <si>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</si>
  <si>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</si>
  <si>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</si>
  <si>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</si>
  <si>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</si>
  <si>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</si>
  <si>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</si>
  <si>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</si>
  <si>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</si>
  <si>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</si>
  <si>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</si>
  <si>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</si>
  <si>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</si>
  <si>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</si>
  <si>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</si>
  <si>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</si>
  <si>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</si>
  <si>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</si>
  <si>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</si>
  <si>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</si>
  <si>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</si>
  <si>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</si>
  <si>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</si>
  <si>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</si>
  <si>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</si>
  <si>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</si>
  <si>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</si>
  <si>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</si>
  <si>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</si>
  <si>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</si>
  <si>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</si>
  <si>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</si>
  <si>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</si>
  <si>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</si>
  <si>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</si>
  <si>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</si>
  <si>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</si>
  <si>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</si>
  <si>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</si>
  <si>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</si>
  <si>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</si>
  <si>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</si>
  <si>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</si>
  <si>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</si>
  <si>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</si>
  <si>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</si>
  <si>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</si>
  <si>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</si>
  <si>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</si>
  <si>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</si>
  <si>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</si>
  <si>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</si>
  <si>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</si>
  <si>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</si>
  <si>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</si>
  <si>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</si>
  <si>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</si>
  <si>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</si>
  <si>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</si>
  <si>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</si>
  <si>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</si>
  <si>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</si>
  <si>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</si>
  <si>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</si>
  <si>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</si>
  <si>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</si>
  <si>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</si>
  <si>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</si>
  <si>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</si>
  <si>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</si>
  <si>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</si>
  <si>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</si>
  <si>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</si>
  <si>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</si>
  <si>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</si>
  <si>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</si>
  <si>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</si>
  <si>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</si>
  <si>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</si>
  <si>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</si>
  <si>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</si>
  <si>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</si>
  <si>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</si>
  <si>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</si>
  <si>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</si>
  <si>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</si>
  <si>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</si>
  <si>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</si>
  <si>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</si>
  <si>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</si>
  <si>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</si>
  <si>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</si>
  <si>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</si>
  <si>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</si>
  <si>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</si>
  <si>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</si>
  <si>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</si>
  <si>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</si>
  <si>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</si>
  <si>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</si>
  <si>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</si>
  <si>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</si>
  <si>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</si>
  <si>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</si>
  <si>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</si>
  <si>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</si>
  <si>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</si>
  <si>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</si>
  <si>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</si>
  <si>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</si>
  <si>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</si>
  <si>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</si>
  <si>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</si>
  <si>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</si>
  <si>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</si>
  <si>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</si>
  <si>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</si>
  <si>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</si>
  <si>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</si>
  <si>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</si>
  <si>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</si>
  <si>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</si>
  <si>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</si>
  <si>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</si>
  <si>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</si>
  <si>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</si>
  <si>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</si>
  <si>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</si>
  <si>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</si>
  <si>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</si>
  <si>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</si>
  <si>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</si>
  <si>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</si>
  <si>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</si>
  <si>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</si>
  <si>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</si>
  <si>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</si>
  <si>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</si>
  <si>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</si>
  <si>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</si>
  <si>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</si>
  <si>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</si>
  <si>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</si>
  <si>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</si>
  <si>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</si>
  <si>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</si>
  <si>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</si>
  <si>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</si>
  <si>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</si>
  <si>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</si>
  <si>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</si>
  <si>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</si>
  <si>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</si>
  <si>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</si>
  <si>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</si>
  <si>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</si>
  <si>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</si>
  <si>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</si>
  <si>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</si>
  <si>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</si>
  <si>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</si>
  <si>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</si>
  <si>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</si>
  <si>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</si>
  <si>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</si>
  <si>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</si>
  <si>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</si>
  <si>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</si>
  <si>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</si>
  <si>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</si>
  <si>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</si>
  <si>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</si>
  <si>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</si>
  <si>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</si>
  <si>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</si>
  <si>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</si>
  <si>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</si>
  <si>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</si>
  <si>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</si>
  <si>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</si>
  <si>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</si>
  <si>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</si>
  <si>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</si>
  <si>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</si>
  <si>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</si>
  <si>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</si>
  <si>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</si>
  <si>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</si>
  <si>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</si>
  <si>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</si>
  <si>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</si>
  <si>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</si>
  <si>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</si>
  <si>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</si>
  <si>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</si>
  <si>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</si>
  <si>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</si>
  <si>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</si>
  <si>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</si>
  <si>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</si>
  <si>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</si>
  <si>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</si>
  <si>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</si>
  <si>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</si>
  <si>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</si>
  <si>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</si>
  <si>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</si>
  <si>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</si>
  <si>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</si>
  <si>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</si>
  <si>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</si>
  <si>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</si>
  <si>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</si>
  <si>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</si>
  <si>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</si>
  <si>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</si>
  <si>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</si>
  <si>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</si>
  <si>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</si>
  <si>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</si>
  <si>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</si>
  <si>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</si>
  <si>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</si>
  <si>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</si>
  <si>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</si>
  <si>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</si>
  <si>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</si>
  <si>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</si>
  <si>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</si>
  <si>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</si>
  <si>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</si>
  <si>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</si>
  <si>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</si>
  <si>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</si>
  <si>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</si>
  <si>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</si>
  <si>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</si>
  <si>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</si>
  <si>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</si>
  <si>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</si>
  <si>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</si>
  <si>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</si>
  <si>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</si>
  <si>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</si>
  <si>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</si>
  <si>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</si>
  <si>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</si>
  <si>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</si>
  <si>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</si>
  <si>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</si>
  <si>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</si>
  <si>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</si>
  <si>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</si>
  <si>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</si>
  <si>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</si>
  <si>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</si>
  <si>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</si>
  <si>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</si>
  <si>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</si>
  <si>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</si>
  <si>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</si>
  <si>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</si>
  <si>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</si>
  <si>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</si>
  <si>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</si>
  <si>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</si>
  <si>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</si>
  <si>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</si>
  <si>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</si>
  <si>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</si>
  <si>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</si>
  <si>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</si>
  <si>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</si>
  <si>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</si>
  <si>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</si>
  <si>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</si>
  <si>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</si>
  <si>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</si>
  <si>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</si>
  <si>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</si>
  <si>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</si>
  <si>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</si>
  <si>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</si>
  <si>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</si>
  <si>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</si>
  <si>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</si>
  <si>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</si>
  <si>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</si>
  <si>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</si>
  <si>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</si>
  <si>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</si>
  <si>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</si>
  <si>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</si>
  <si>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</si>
  <si>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</si>
  <si>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</si>
  <si>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</si>
  <si>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</si>
  <si>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</si>
  <si>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</si>
  <si>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</si>
  <si>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</si>
  <si>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</si>
  <si>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</si>
  <si>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</si>
  <si>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</si>
  <si>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</si>
  <si>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</si>
  <si>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</si>
  <si>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</si>
  <si>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</si>
  <si>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</si>
  <si>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</si>
  <si>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</si>
  <si>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</si>
  <si>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</si>
  <si>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</si>
  <si>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</si>
  <si>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</si>
  <si>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</si>
  <si>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</si>
  <si>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</si>
  <si>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</si>
  <si>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</si>
  <si>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</si>
  <si>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</si>
  <si>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</si>
  <si>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</si>
  <si>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</si>
  <si>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</si>
  <si>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</si>
  <si>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</si>
  <si>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</si>
  <si>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</si>
  <si>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</si>
  <si>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</si>
  <si>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</si>
  <si>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</si>
  <si>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</si>
  <si>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</si>
  <si>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</si>
  <si>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</si>
  <si>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</si>
  <si>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</si>
  <si>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</si>
  <si>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</si>
  <si>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</si>
  <si>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</si>
  <si>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</si>
  <si>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</si>
  <si>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</si>
  <si>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</si>
  <si>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</si>
  <si>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</si>
  <si>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</si>
  <si>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</si>
  <si>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</si>
  <si>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</si>
  <si>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</si>
  <si>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</si>
  <si>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</si>
  <si>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</si>
  <si>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</si>
  <si>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</si>
  <si>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</si>
  <si>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</si>
  <si>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</si>
  <si>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</si>
  <si>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</si>
  <si>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</si>
  <si>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</si>
  <si>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</si>
  <si>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</si>
  <si>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</si>
  <si>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</si>
  <si>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</si>
  <si>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</si>
  <si>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</si>
  <si>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</si>
  <si>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</si>
  <si>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</si>
  <si>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</si>
  <si>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</si>
  <si>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</si>
  <si>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</si>
  <si>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</si>
  <si>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</si>
  <si>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</si>
  <si>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</si>
  <si>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</si>
  <si>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</si>
  <si>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</si>
  <si>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</si>
  <si>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</si>
  <si>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</si>
  <si>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</si>
  <si>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</si>
  <si>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</si>
  <si>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</si>
  <si>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</si>
  <si>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</si>
  <si>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</si>
  <si>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</si>
  <si>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</si>
  <si>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</si>
  <si>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</si>
  <si>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</si>
  <si>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</si>
  <si>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</si>
  <si>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</si>
  <si>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</si>
  <si>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</si>
  <si>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</si>
  <si>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</si>
  <si>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</si>
  <si>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</si>
  <si>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</si>
  <si>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</si>
  <si>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</si>
  <si>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</si>
  <si>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</si>
  <si>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</si>
  <si>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</si>
  <si>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</si>
  <si>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</si>
  <si>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</si>
  <si>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</si>
  <si>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</si>
  <si>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</si>
  <si>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</si>
  <si>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</si>
  <si>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</si>
  <si>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</si>
  <si>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</si>
  <si>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</si>
  <si>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</si>
  <si>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</si>
  <si>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</si>
  <si>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</si>
  <si>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</si>
  <si>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</si>
  <si>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</si>
  <si>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</si>
  <si>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</si>
  <si>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</si>
  <si>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</si>
  <si>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</si>
  <si>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</si>
  <si>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</si>
  <si>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</si>
  <si>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</si>
  <si>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</si>
  <si>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</si>
  <si>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</si>
  <si>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</si>
  <si>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</si>
  <si>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</si>
  <si>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</si>
  <si>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</si>
  <si>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</si>
  <si>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</si>
  <si>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</si>
  <si>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</si>
  <si>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</si>
  <si>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</si>
  <si>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</si>
  <si>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</si>
  <si>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</si>
  <si>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</si>
  <si>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</si>
  <si>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</si>
  <si>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</si>
  <si>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</si>
  <si>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</si>
  <si>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</si>
  <si>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</si>
  <si>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</si>
  <si>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</si>
  <si>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</si>
  <si>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</si>
  <si>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</si>
  <si>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</si>
  <si>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</si>
  <si>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</si>
  <si>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</si>
  <si>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</si>
  <si>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</si>
  <si>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</si>
  <si>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</si>
  <si>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</si>
  <si>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</si>
  <si>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</si>
  <si>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</si>
  <si>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</si>
  <si>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</si>
  <si>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</si>
  <si>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</si>
  <si>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</si>
  <si>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</si>
  <si>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</si>
  <si>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</si>
  <si>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</si>
  <si>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</si>
  <si>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</si>
  <si>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</si>
  <si>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</si>
  <si>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</si>
  <si>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</si>
  <si>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</si>
  <si>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</si>
  <si>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</si>
  <si>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</si>
  <si>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</si>
  <si>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</si>
  <si>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</si>
  <si>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</si>
  <si>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</si>
  <si>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</si>
  <si>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</si>
  <si>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</si>
  <si>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</si>
  <si>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</si>
  <si>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</si>
  <si>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</si>
  <si>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</si>
  <si>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</si>
  <si>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</si>
  <si>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</si>
  <si>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</si>
  <si>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</si>
  <si>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</si>
  <si>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</si>
  <si>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</si>
  <si>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</si>
  <si>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</si>
  <si>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</si>
  <si>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</si>
  <si>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</si>
  <si>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</si>
  <si>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</si>
  <si>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</si>
  <si>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</si>
  <si>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</si>
  <si>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</si>
  <si>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</si>
  <si>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</si>
  <si>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</si>
  <si>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</si>
  <si>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</si>
  <si>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</si>
  <si>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</si>
  <si>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</si>
  <si>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</si>
  <si>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</si>
  <si>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</si>
  <si>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</si>
  <si>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</si>
  <si>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</si>
  <si>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</si>
  <si>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</si>
  <si>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</si>
  <si>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</si>
  <si>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</si>
  <si>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</si>
  <si>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</si>
  <si>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</si>
  <si>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</si>
  <si>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</si>
  <si>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</si>
  <si>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</si>
  <si>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</si>
  <si>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</si>
  <si>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</si>
  <si>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</si>
  <si>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</si>
  <si>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</si>
  <si>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</si>
  <si>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</si>
  <si>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</si>
  <si>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</si>
  <si>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</si>
  <si>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</si>
  <si>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</si>
  <si>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</si>
  <si>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</si>
  <si>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</si>
  <si>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</si>
  <si>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</si>
  <si>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</si>
  <si>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</si>
  <si>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</si>
  <si>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</si>
  <si>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</si>
  <si>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</si>
  <si>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</si>
  <si>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</si>
  <si>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</si>
  <si>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</si>
  <si>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</si>
  <si>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</si>
  <si>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</si>
  <si>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</si>
  <si>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</si>
  <si>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</si>
  <si>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</si>
  <si>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</si>
  <si>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</si>
  <si>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</si>
  <si>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</si>
  <si>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</si>
  <si>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</si>
  <si>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</si>
  <si>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</si>
  <si>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</si>
  <si>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</si>
  <si>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</si>
  <si>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</si>
  <si>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</si>
  <si>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</si>
  <si>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</si>
  <si>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</si>
  <si>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</si>
  <si>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</si>
  <si>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</si>
  <si>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</si>
  <si>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</si>
  <si>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</si>
  <si>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</si>
  <si>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</si>
  <si>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</si>
  <si>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</si>
  <si>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</si>
  <si>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</si>
  <si>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</si>
  <si>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</si>
  <si>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</si>
  <si>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</si>
  <si>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</si>
  <si>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</si>
  <si>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</si>
  <si>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</si>
  <si>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</si>
  <si>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</si>
  <si>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</si>
  <si>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</si>
  <si>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</si>
  <si>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</si>
  <si>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</si>
  <si>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</si>
  <si>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</si>
  <si>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</si>
  <si>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</si>
  <si>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</si>
  <si>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</si>
  <si>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</si>
  <si>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</si>
  <si>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</si>
  <si>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</si>
  <si>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</si>
  <si>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</si>
  <si>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</si>
  <si>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</si>
  <si>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</si>
  <si>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</si>
  <si>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</si>
  <si>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</si>
  <si>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</si>
  <si>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</si>
  <si>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</si>
  <si>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</si>
  <si>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</si>
  <si>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</si>
  <si>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</si>
  <si>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</si>
  <si>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</si>
  <si>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</si>
  <si>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</si>
  <si>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</si>
  <si>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</si>
  <si>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</si>
  <si>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</si>
  <si>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</si>
  <si>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</si>
  <si>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</si>
  <si>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</si>
  <si>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</si>
  <si>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</si>
  <si>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</si>
  <si>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</si>
  <si>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</si>
  <si>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</si>
  <si>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</si>
  <si>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</si>
  <si>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</si>
  <si>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</si>
  <si>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</si>
  <si>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</si>
  <si>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</si>
  <si>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</si>
  <si>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</si>
  <si>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</si>
  <si>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</si>
  <si>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</si>
  <si>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</si>
  <si>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</si>
  <si>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</si>
  <si>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</si>
  <si>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</si>
  <si>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</si>
  <si>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</si>
  <si>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</si>
  <si>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</si>
  <si>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</si>
  <si>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</si>
  <si>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</si>
  <si>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</si>
  <si>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</si>
  <si>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</si>
  <si>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</si>
  <si>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</si>
  <si>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</si>
  <si>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</si>
  <si>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</si>
  <si>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</si>
  <si>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</si>
  <si>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</si>
  <si>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</si>
  <si>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</si>
  <si>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</si>
  <si>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</si>
  <si>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</si>
  <si>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</si>
  <si>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</si>
  <si>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</si>
  <si>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</si>
  <si>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</si>
  <si>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</si>
  <si>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</si>
  <si>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</si>
  <si>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</si>
  <si>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</si>
  <si>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</si>
  <si>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</si>
  <si>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</si>
  <si>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</si>
  <si>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</si>
  <si>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</si>
  <si>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</si>
  <si>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</si>
  <si>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</si>
  <si>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2019-001</t>
  </si>
  <si>
    <t>Lack of Segregation of Duties</t>
  </si>
  <si>
    <t>Unresolved - See Finding 2020-001</t>
  </si>
  <si>
    <t>CORRECTIVE ACTION PLAN FOR CURRENT YEAR AUDIT FINDINGS</t>
  </si>
  <si>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</si>
  <si>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</si>
  <si>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</si>
  <si>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</si>
  <si>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</si>
  <si>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</si>
  <si>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</si>
  <si>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</si>
  <si>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Steve Epperson, Superintendent</t>
  </si>
  <si>
    <t>Management Response:</t>
  </si>
  <si>
    <t>The Board of Education has determined that the current internal control system is</t>
  </si>
  <si>
    <t>acceptable, providing a tolerable amount of risk.</t>
  </si>
  <si>
    <t>2020-</t>
  </si>
  <si>
    <t>Year Ending June 30, 2020</t>
  </si>
  <si>
    <t>June 30, 2021</t>
  </si>
  <si>
    <t>47-052-2710-26</t>
  </si>
  <si>
    <t>Paw Paw Community Unit School District No. 271</t>
  </si>
  <si>
    <t>Various</t>
  </si>
  <si>
    <t>Segregation of duties among accounting personnel is an integral part of an internal control structure.</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</si>
  <si>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</si>
  <si>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</si>
  <si>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</si>
  <si>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 xml:space="preserve">The Board of Education should perform an assessment of internal controls, at least annually. </t>
  </si>
  <si>
    <t>The Board of Education's most recent assessment has determined that the current internal control system is acceptable. The internal control system will continue to be monitored.</t>
  </si>
  <si>
    <t>P.O. Box 508</t>
  </si>
  <si>
    <t>Paw Paw</t>
  </si>
  <si>
    <t>sepperson@2paws.net</t>
  </si>
  <si>
    <t>Steve Epperson</t>
  </si>
  <si>
    <t>(815) 627-2841</t>
  </si>
  <si>
    <t>(815) 627-2971</t>
  </si>
  <si>
    <t>Part C, Question 20 - See Findings 2020-001</t>
  </si>
  <si>
    <t>x</t>
  </si>
  <si>
    <t>GO Refunding Bonds - Series 2008</t>
  </si>
  <si>
    <t>GO Refunding Bonds - Series 2009</t>
  </si>
  <si>
    <t>GO Refunding Bonds - Series 2015A</t>
  </si>
  <si>
    <t>GO Refunding Bonds - Series 2015B</t>
  </si>
  <si>
    <t>GO Refunding Bonds - Series 2015C</t>
  </si>
  <si>
    <t>Capital Appreciation Bond</t>
  </si>
  <si>
    <t>GO Capital Appreciation Limited School Bonds - Series 2011</t>
  </si>
  <si>
    <t>Note Payable</t>
  </si>
  <si>
    <t>GO Debt Certificates</t>
  </si>
  <si>
    <t>Debt Certificate</t>
  </si>
  <si>
    <t>O&amp;M-Support Services-Purchased Services</t>
  </si>
  <si>
    <t>Honeywell Building Solutions</t>
  </si>
  <si>
    <t>Trans-Support Services-Purchased Services</t>
  </si>
  <si>
    <t>Indian Creek CUSD #425</t>
  </si>
  <si>
    <t>Lee County Special Education Association</t>
  </si>
  <si>
    <t>Page 11, Line 106 - CPR Training Reimbursement</t>
  </si>
  <si>
    <t>Page 10, Line 92 - Charger Fee</t>
  </si>
  <si>
    <t>Page 10, Line 81 - VB Cart &amp; Recorders</t>
  </si>
  <si>
    <t>Page 12, Line 168 - Library Grant</t>
  </si>
  <si>
    <t>Page 18, Line 171 - Admin Fees</t>
  </si>
  <si>
    <t>Page 28, Line 101 - Charger Fee</t>
  </si>
  <si>
    <t xml:space="preserve">Page 25, Line 10 - Debt Certificate Series (Debt certificate issued in amount of $520,000. Debt issuance costs amounted to $10,000.  Net $510,000 </t>
  </si>
  <si>
    <t>recorded in Other Sources)</t>
  </si>
  <si>
    <t>Midwest Bus Sales</t>
  </si>
  <si>
    <t>Jason A. Hohulin, CPA</t>
  </si>
  <si>
    <t>jhohulin@gorenzcpa.com</t>
  </si>
  <si>
    <t>Lee &amp; Dekalb</t>
  </si>
  <si>
    <t>Note Payable - John Deere</t>
  </si>
  <si>
    <t>Page 12, Line 180 - SRSA Grant</t>
  </si>
  <si>
    <t>Page 13, Line 203 - Title I School Improvement</t>
  </si>
  <si>
    <t>Page 24, Line 38, Column G - GO Debt Certificate issued in amount of $520,000</t>
  </si>
  <si>
    <t>Page 11, Line 107 - Educational Fund $20 Misc. Reimbursements</t>
  </si>
  <si>
    <t xml:space="preserve">   Operations &amp; Maintenance Fund $7,147 ComEd Rebate</t>
  </si>
  <si>
    <t>See PDF version</t>
  </si>
  <si>
    <t xml:space="preserve">  Paw Paw CUSD 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</si>
</sst>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4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11" fillId="0" borderId="0" xfId="3"/>
    <xf numFmtId="49" fontId="14" fillId="0" borderId="0" xfId="3" applyNumberFormat="1" applyFont="1" applyAlignment="1">
      <alignment horizontal="center" vertical="center"/>
    </xf>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4"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5" fillId="0" borderId="0" xfId="3" applyFont="1" applyAlignment="1">
      <alignment horizontal="left"/>
    </xf>
    <xf numFmtId="14" fontId="11" fillId="0" borderId="0" xfId="3" quotePrefix="1" applyNumberFormat="1" applyAlignment="1" applyProtection="1">
      <alignment horizontal="left" indent="2"/>
      <protection locked="0"/>
    </xf>
    <xf numFmtId="0" fontId="11" fillId="0" borderId="0" xfId="3" applyProtection="1">
      <protection locked="0"/>
    </xf>
    <xf numFmtId="0" fontId="11" fillId="0" borderId="0" xfId="3" applyAlignment="1">
      <alignment horizontal="left"/>
    </xf>
    <xf numFmtId="0" fontId="12" fillId="0" borderId="0" xfId="3" applyFont="1" applyAlignment="1">
      <alignment horizontal="left"/>
    </xf>
    <xf numFmtId="0" fontId="37" fillId="0" borderId="0" xfId="3" applyFont="1"/>
    <xf numFmtId="0" fontId="146" fillId="0" borderId="0" xfId="3" applyFont="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vertical="top"/>
      <protection locked="0"/>
    </xf>
    <xf numFmtId="0" fontId="58" fillId="0" borderId="0" xfId="0" applyFont="1" applyAlignment="1">
      <alignment horizontal="left" indent="8"/>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quotePrefix="1"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21"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401</v>
      </c>
      <c r="J1" s="2139"/>
      <c r="K1" s="2139"/>
      <c r="L1" s="2139"/>
      <c r="M1" s="2139"/>
      <c r="N1" s="2139"/>
      <c r="O1" s="2139"/>
      <c r="P1" s="2139"/>
      <c r="Q1" s="2139"/>
      <c r="R1" s="2139"/>
      <c r="S1" s="2139"/>
    </row>
    <row r="2" spans="1:32" ht="12" customHeight="1" x14ac:dyDescent="0.2">
      <c r="A2" s="1831" t="str">
        <f>"Due to ISBE on "</f>
        <v xml:space="preserve">Due to ISBE on </v>
      </c>
      <c r="B2" s="2061">
        <f>+'AFR20'!F4</f>
        <v>44151</v>
      </c>
      <c r="C2" s="2061"/>
      <c r="D2" s="2062"/>
      <c r="I2" s="2140" t="s">
        <v>2002</v>
      </c>
      <c r="J2" s="2139"/>
      <c r="K2" s="2139"/>
      <c r="L2" s="2139"/>
      <c r="M2" s="2139"/>
      <c r="N2" s="2139"/>
      <c r="O2" s="2139"/>
      <c r="P2" s="2139"/>
      <c r="Q2" s="2139"/>
      <c r="R2" s="2139"/>
      <c r="S2" s="2139"/>
    </row>
    <row r="3" spans="1:32" ht="12" customHeight="1" x14ac:dyDescent="0.2">
      <c r="A3" s="1834"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520</v>
      </c>
      <c r="J4" s="2139"/>
      <c r="K4" s="2139"/>
      <c r="L4" s="2139"/>
      <c r="M4" s="2139"/>
      <c r="N4" s="2139"/>
      <c r="O4" s="2139"/>
      <c r="P4" s="2139"/>
      <c r="Q4" s="2139"/>
      <c r="R4" s="2139"/>
      <c r="S4" s="2139"/>
    </row>
    <row r="5" spans="1:32" ht="14.1" customHeight="1" x14ac:dyDescent="0.2">
      <c r="B5" s="101" t="s">
        <v>2050</v>
      </c>
      <c r="C5" s="26" t="s">
        <v>903</v>
      </c>
      <c r="D5" s="81"/>
      <c r="E5" s="81"/>
      <c r="H5" s="38"/>
      <c r="I5" s="2147" t="s">
        <v>674</v>
      </c>
      <c r="J5" s="2092"/>
      <c r="K5" s="2092"/>
      <c r="L5" s="2092"/>
      <c r="M5" s="2092"/>
      <c r="N5" s="2092"/>
      <c r="O5" s="2092"/>
      <c r="P5" s="2092"/>
      <c r="Q5" s="2092"/>
      <c r="R5" s="2092"/>
      <c r="S5" s="2092"/>
      <c r="AF5" s="1827"/>
    </row>
    <row r="6" spans="1:32" ht="14.1" customHeight="1" x14ac:dyDescent="0.2">
      <c r="B6" s="101"/>
      <c r="C6" s="26" t="s">
        <v>904</v>
      </c>
      <c r="D6" s="81"/>
      <c r="E6" s="81"/>
      <c r="I6" s="2146" t="s">
        <v>876</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668</v>
      </c>
      <c r="J9" s="2144"/>
      <c r="K9" s="2144"/>
      <c r="L9" s="2144"/>
      <c r="M9" s="2144"/>
      <c r="N9" s="2144"/>
      <c r="O9" s="2144"/>
      <c r="P9" s="2144"/>
      <c r="Q9" s="2144"/>
      <c r="R9" s="2144"/>
      <c r="S9" s="2145"/>
      <c r="T9" s="2088" t="s">
        <v>529</v>
      </c>
      <c r="U9" s="2089"/>
      <c r="V9" s="2089"/>
      <c r="W9" s="2089"/>
      <c r="X9" s="2089"/>
      <c r="Y9" s="2089"/>
      <c r="Z9" s="2089"/>
      <c r="AA9" s="2090"/>
    </row>
    <row r="10" spans="1:32" ht="13.5" customHeight="1" x14ac:dyDescent="0.2">
      <c r="A10" s="2097" t="s">
        <v>669</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948</v>
      </c>
      <c r="B11" s="2101"/>
      <c r="C11" s="2101"/>
      <c r="D11" s="2101"/>
      <c r="E11" s="2101"/>
      <c r="F11" s="2101"/>
      <c r="G11" s="2101"/>
      <c r="H11" s="2102"/>
      <c r="I11" s="27"/>
      <c r="J11" s="71"/>
      <c r="K11" s="27"/>
      <c r="O11" s="144" t="s">
        <v>2050</v>
      </c>
      <c r="P11" s="97" t="s">
        <v>199</v>
      </c>
      <c r="Q11" s="30"/>
      <c r="R11" s="28"/>
      <c r="S11" s="27"/>
      <c r="T11" s="2094"/>
      <c r="U11" s="2095"/>
      <c r="V11" s="2095"/>
      <c r="W11" s="2095"/>
      <c r="X11" s="2095"/>
      <c r="Y11" s="2095"/>
      <c r="Z11" s="2095"/>
      <c r="AA11" s="209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8">
        <v>47052271026</v>
      </c>
      <c r="B13" s="2109"/>
      <c r="C13" s="2109"/>
      <c r="D13" s="2109"/>
      <c r="E13" s="2109"/>
      <c r="F13" s="2109"/>
      <c r="G13" s="2109"/>
      <c r="H13" s="2110"/>
      <c r="I13" s="31"/>
      <c r="J13" s="30"/>
      <c r="K13" s="28"/>
      <c r="L13" s="30"/>
      <c r="M13" s="30"/>
      <c r="N13" s="30"/>
      <c r="O13" s="30"/>
      <c r="P13" s="30"/>
      <c r="Q13" s="30"/>
      <c r="R13" s="30"/>
      <c r="S13" s="30"/>
      <c r="T13" s="2113" t="s">
        <v>2051</v>
      </c>
      <c r="U13" s="2114"/>
      <c r="V13" s="2114"/>
      <c r="W13" s="2114"/>
      <c r="X13" s="2114"/>
      <c r="Y13" s="2115"/>
      <c r="Z13" s="2115"/>
      <c r="AA13" s="211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6" t="s">
        <v>2121</v>
      </c>
      <c r="B15" s="2111"/>
      <c r="C15" s="2111"/>
      <c r="D15" s="2111"/>
      <c r="E15" s="2111"/>
      <c r="F15" s="2111"/>
      <c r="G15" s="2111"/>
      <c r="H15" s="2112"/>
      <c r="T15" s="2074" t="s">
        <v>2119</v>
      </c>
      <c r="U15" s="2075"/>
      <c r="V15" s="2075"/>
      <c r="W15" s="2075"/>
      <c r="X15" s="2075"/>
      <c r="Y15" s="2117"/>
      <c r="Z15" s="2117"/>
      <c r="AA15" s="211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6" t="s">
        <v>2129</v>
      </c>
      <c r="B17" s="2136"/>
      <c r="C17" s="2136"/>
      <c r="D17" s="2136"/>
      <c r="E17" s="2136"/>
      <c r="F17" s="2136"/>
      <c r="G17" s="2136"/>
      <c r="H17" s="2137"/>
      <c r="T17" s="2123" t="s">
        <v>2052</v>
      </c>
      <c r="U17" s="2124"/>
      <c r="V17" s="2124"/>
      <c r="W17" s="2124"/>
      <c r="X17" s="2124"/>
      <c r="Y17" s="2124"/>
      <c r="Z17" s="2124"/>
      <c r="AA17" s="2125"/>
    </row>
    <row r="18" spans="1:27" ht="13.5" customHeight="1" x14ac:dyDescent="0.2">
      <c r="A18" s="82" t="s">
        <v>526</v>
      </c>
      <c r="B18" s="73"/>
      <c r="C18" s="69"/>
      <c r="D18" s="73"/>
      <c r="E18" s="73"/>
      <c r="F18" s="73"/>
      <c r="G18" s="73"/>
      <c r="H18" s="53"/>
      <c r="I18" s="2133" t="s">
        <v>670</v>
      </c>
      <c r="J18" s="2134"/>
      <c r="K18" s="2134"/>
      <c r="L18" s="2134"/>
      <c r="M18" s="2134"/>
      <c r="N18" s="2134"/>
      <c r="O18" s="2134"/>
      <c r="P18" s="2134"/>
      <c r="Q18" s="2134"/>
      <c r="R18" s="2134"/>
      <c r="S18" s="2135"/>
      <c r="T18" s="82" t="s">
        <v>705</v>
      </c>
      <c r="U18" s="48"/>
      <c r="V18" s="69"/>
      <c r="W18" s="47"/>
      <c r="X18" s="82" t="s">
        <v>263</v>
      </c>
      <c r="Y18" s="78"/>
      <c r="Z18" s="154" t="s">
        <v>671</v>
      </c>
      <c r="AA18" s="44"/>
    </row>
    <row r="19" spans="1:27" ht="13.5" customHeight="1" x14ac:dyDescent="0.2">
      <c r="A19" s="2106" t="s">
        <v>2087</v>
      </c>
      <c r="B19" s="2107"/>
      <c r="C19" s="2107"/>
      <c r="D19" s="2107"/>
      <c r="E19" s="2107"/>
      <c r="F19" s="2107"/>
      <c r="G19" s="2107"/>
      <c r="H19" s="2105"/>
      <c r="I19" s="30"/>
      <c r="J19" s="96"/>
      <c r="K19" s="40"/>
      <c r="L19" s="38"/>
      <c r="M19" s="109" t="s">
        <v>311</v>
      </c>
      <c r="P19" s="27"/>
      <c r="Q19" s="27"/>
      <c r="R19" s="27"/>
      <c r="S19" s="31"/>
      <c r="T19" s="2106" t="s">
        <v>2053</v>
      </c>
      <c r="U19" s="2104"/>
      <c r="V19" s="2104"/>
      <c r="W19" s="2105"/>
      <c r="X19" s="2121" t="s">
        <v>2054</v>
      </c>
      <c r="Y19" s="2122"/>
      <c r="Z19" s="2119">
        <v>61614</v>
      </c>
      <c r="AA19" s="212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3" t="s">
        <v>2088</v>
      </c>
      <c r="B21" s="2104"/>
      <c r="C21" s="2104"/>
      <c r="D21" s="2104"/>
      <c r="E21" s="2104"/>
      <c r="F21" s="2104"/>
      <c r="G21" s="2104"/>
      <c r="H21" s="2105"/>
      <c r="I21" s="2129" t="s">
        <v>672</v>
      </c>
      <c r="J21" s="2092"/>
      <c r="K21" s="2092"/>
      <c r="L21" s="2092"/>
      <c r="M21" s="2092"/>
      <c r="N21" s="2092"/>
      <c r="O21" s="2092"/>
      <c r="P21" s="2092"/>
      <c r="Q21" s="2092"/>
      <c r="R21" s="2092"/>
      <c r="S21" s="2093"/>
      <c r="T21" s="2071" t="s">
        <v>2055</v>
      </c>
      <c r="U21" s="2072"/>
      <c r="V21" s="2072"/>
      <c r="W21" s="2072"/>
      <c r="X21" s="2085" t="s">
        <v>2056</v>
      </c>
      <c r="Y21" s="2086"/>
      <c r="Z21" s="2086"/>
      <c r="AA21" s="2087"/>
    </row>
    <row r="22" spans="1:27" ht="13.5" customHeight="1" x14ac:dyDescent="0.2">
      <c r="A22" s="84" t="s">
        <v>527</v>
      </c>
      <c r="B22" s="56"/>
      <c r="C22" s="56"/>
      <c r="D22" s="56"/>
      <c r="E22" s="56"/>
      <c r="F22" s="56"/>
      <c r="G22" s="56"/>
      <c r="H22" s="57"/>
      <c r="I22" s="2130" t="s">
        <v>1411</v>
      </c>
      <c r="J22" s="2131"/>
      <c r="K22" s="2131"/>
      <c r="L22" s="2131"/>
      <c r="M22" s="2131"/>
      <c r="N22" s="2131"/>
      <c r="O22" s="2131"/>
      <c r="P22" s="2131"/>
      <c r="Q22" s="2131"/>
      <c r="R22" s="2131"/>
      <c r="S22" s="2132"/>
      <c r="T22" s="82" t="s">
        <v>1498</v>
      </c>
      <c r="U22" s="48"/>
      <c r="V22" s="69"/>
      <c r="W22" s="48"/>
      <c r="X22" s="155" t="s">
        <v>1306</v>
      </c>
      <c r="Z22" s="43"/>
      <c r="AA22" s="44"/>
    </row>
    <row r="23" spans="1:27" ht="13.5" customHeight="1" x14ac:dyDescent="0.2">
      <c r="A23" s="2126" t="s">
        <v>2089</v>
      </c>
      <c r="B23" s="2127"/>
      <c r="C23" s="2127"/>
      <c r="D23" s="2127"/>
      <c r="E23" s="2127"/>
      <c r="F23" s="2127"/>
      <c r="G23" s="2127"/>
      <c r="H23" s="2128"/>
      <c r="T23" s="2066" t="s">
        <v>2057</v>
      </c>
      <c r="U23" s="2067"/>
      <c r="V23" s="2067"/>
      <c r="W23" s="2067"/>
      <c r="X23" s="2082">
        <v>44501</v>
      </c>
      <c r="Y23" s="2083"/>
      <c r="Z23" s="2083"/>
      <c r="AA23" s="2084"/>
    </row>
    <row r="24" spans="1:27" ht="14.1" customHeight="1" x14ac:dyDescent="0.2">
      <c r="A24" s="85" t="s">
        <v>671</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527</v>
      </c>
      <c r="U24" s="103"/>
      <c r="V24" s="103"/>
      <c r="W24" s="103"/>
      <c r="X24" s="104"/>
      <c r="Y24" s="104"/>
      <c r="Z24" s="104"/>
      <c r="AA24" s="105"/>
    </row>
    <row r="25" spans="1:27" ht="14.1" customHeight="1" x14ac:dyDescent="0.2">
      <c r="A25" s="2103">
        <v>61353</v>
      </c>
      <c r="B25" s="2104"/>
      <c r="C25" s="2104"/>
      <c r="D25" s="2104"/>
      <c r="E25" s="2104"/>
      <c r="F25" s="2104"/>
      <c r="G25" s="2104"/>
      <c r="H25" s="2105"/>
      <c r="I25" s="110"/>
      <c r="J25" s="2170"/>
      <c r="K25" s="2170"/>
      <c r="L25" s="2170"/>
      <c r="M25" s="2170"/>
      <c r="N25" s="2170"/>
      <c r="O25" s="2170"/>
      <c r="P25" s="2170"/>
      <c r="Q25" s="2170"/>
      <c r="R25" s="2170"/>
      <c r="S25" s="2171"/>
      <c r="T25" s="2063" t="s">
        <v>2120</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61" t="s">
        <v>1493</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2050</v>
      </c>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2050</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6" t="s">
        <v>2090</v>
      </c>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527</v>
      </c>
      <c r="B39" s="2160"/>
      <c r="C39" s="69"/>
      <c r="D39" s="66"/>
      <c r="E39" s="66"/>
      <c r="F39" s="76"/>
      <c r="G39" s="66"/>
      <c r="H39" s="53"/>
      <c r="I39" s="2159" t="s">
        <v>527</v>
      </c>
      <c r="J39" s="2160"/>
      <c r="K39" s="2160"/>
      <c r="L39" s="2160"/>
      <c r="M39" s="2160"/>
      <c r="N39" s="64"/>
      <c r="O39" s="69"/>
      <c r="P39" s="69"/>
      <c r="Q39" s="75"/>
      <c r="R39" s="69"/>
      <c r="S39" s="53"/>
      <c r="T39" s="69" t="s">
        <v>527</v>
      </c>
      <c r="U39" s="48"/>
      <c r="V39" s="69"/>
      <c r="W39" s="47"/>
      <c r="X39" s="75"/>
      <c r="Y39" s="43"/>
      <c r="Z39" s="43"/>
      <c r="AA39" s="44"/>
    </row>
    <row r="40" spans="1:27" ht="13.5" customHeight="1" x14ac:dyDescent="0.2">
      <c r="A40" s="2162" t="s">
        <v>2089</v>
      </c>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2" t="s">
        <v>2091</v>
      </c>
      <c r="B42" s="2153"/>
      <c r="C42" s="2154"/>
      <c r="D42" s="2167" t="s">
        <v>2092</v>
      </c>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75" t="s">
        <v>1055</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685</v>
      </c>
      <c r="B40" s="2172"/>
      <c r="C40" s="2172"/>
      <c r="D40" s="2172"/>
      <c r="E40" s="2172"/>
    </row>
    <row r="41" spans="1:5" x14ac:dyDescent="0.2">
      <c r="A41" s="2173" t="s">
        <v>1590</v>
      </c>
      <c r="B41" s="2173"/>
      <c r="C41" s="2173"/>
      <c r="D41" s="2173"/>
      <c r="E41" s="2173"/>
    </row>
    <row r="42" spans="1:5" ht="12.75" customHeight="1" x14ac:dyDescent="0.2">
      <c r="A42" s="2174" t="s">
        <v>1014</v>
      </c>
      <c r="B42" s="2174"/>
      <c r="C42" s="2174"/>
      <c r="D42" s="2174"/>
      <c r="E42" s="2174"/>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1157</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0" t="s">
        <v>1615</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309</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2050</v>
      </c>
      <c r="C53" s="174">
        <v>22</v>
      </c>
      <c r="D53" s="242" t="s">
        <v>1444</v>
      </c>
      <c r="E53" s="243"/>
      <c r="F53" s="244"/>
      <c r="G53" s="244" t="s">
        <v>1443</v>
      </c>
      <c r="H53" s="245">
        <v>35370</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1311</v>
      </c>
      <c r="B70" s="2193"/>
      <c r="C70" s="2193"/>
      <c r="D70" s="2193"/>
      <c r="E70" s="2194"/>
      <c r="F70" s="2194"/>
      <c r="G70" s="2194"/>
      <c r="H70" s="2194"/>
      <c r="I70" s="219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1308</v>
      </c>
      <c r="B83" s="2195"/>
      <c r="C83" s="2195"/>
      <c r="D83" s="219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6" t="s">
        <v>1988</v>
      </c>
      <c r="B85" s="2206"/>
      <c r="C85" s="2206"/>
      <c r="D85" s="2207"/>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208" t="s">
        <v>1988</v>
      </c>
      <c r="B88" s="2209"/>
      <c r="C88" s="2209"/>
      <c r="D88" s="221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7" t="s">
        <v>2093</v>
      </c>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2051</v>
      </c>
      <c r="D114" s="218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1318</v>
      </c>
      <c r="D117" s="2188"/>
      <c r="E117" s="2189"/>
      <c r="F117" s="2189"/>
      <c r="G117" s="2189"/>
      <c r="H117" s="2189"/>
      <c r="I117" s="282"/>
    </row>
    <row r="118" spans="1:9" s="176" customFormat="1" ht="24" customHeight="1" x14ac:dyDescent="0.2">
      <c r="A118" s="294"/>
      <c r="B118" s="294"/>
      <c r="C118" s="294"/>
      <c r="D118" s="301" t="s">
        <v>2128</v>
      </c>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382</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49533393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4.2333999999999997E-2</v>
      </c>
      <c r="E10" s="333" t="s">
        <v>997</v>
      </c>
      <c r="F10" s="332">
        <v>6.3280000000000003E-3</v>
      </c>
      <c r="G10" s="333" t="s">
        <v>997</v>
      </c>
      <c r="H10" s="332">
        <v>4.548E-3</v>
      </c>
      <c r="I10" s="333" t="s">
        <v>998</v>
      </c>
      <c r="J10" s="1424">
        <f>ROUND(D10+F10+H10,5)</f>
        <v>5.321E-2</v>
      </c>
      <c r="K10" s="217"/>
      <c r="L10" s="332">
        <v>4.8999999999999998E-4</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2787581</v>
      </c>
      <c r="E16" s="1547"/>
      <c r="F16" s="1546">
        <f>SUM('Acct Summary 7-8'!C17,'Acct Summary 7-8'!D17,'Acct Summary 7-8'!F17)</f>
        <v>2592649</v>
      </c>
      <c r="G16" s="1547"/>
      <c r="H16" s="1546">
        <f>SUM(D16-F16)</f>
        <v>194932</v>
      </c>
      <c r="I16" s="1548"/>
      <c r="J16" s="1546">
        <f>SUM('Acct Summary 7-8'!C81,'Acct Summary 7-8'!D81,'Acct Summary 7-8'!F81,'Acct Summary 7-8'!I81)</f>
        <v>1496690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6835608.2340000002</v>
      </c>
      <c r="I31" s="345"/>
      <c r="J31" s="217"/>
      <c r="K31" s="217"/>
      <c r="L31" s="217"/>
      <c r="M31" s="217"/>
    </row>
    <row r="32" spans="1:13" ht="13.35" customHeight="1" x14ac:dyDescent="0.2">
      <c r="B32" s="346" t="s">
        <v>2094</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3600992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551</v>
      </c>
      <c r="B2" s="2230"/>
      <c r="C2" s="2230"/>
      <c r="D2" s="2230"/>
      <c r="E2" s="2230"/>
      <c r="F2" s="2230"/>
      <c r="G2" s="2230"/>
      <c r="H2" s="2230"/>
      <c r="I2" s="2230"/>
      <c r="J2" s="2230"/>
      <c r="K2" s="2230"/>
      <c r="L2" s="2230"/>
      <c r="M2" s="2230"/>
      <c r="N2" s="2230"/>
      <c r="O2" s="2230"/>
      <c r="P2" s="2230"/>
      <c r="Q2" s="2230"/>
      <c r="R2" s="2230"/>
    </row>
    <row r="3" spans="1:18" ht="12.75" x14ac:dyDescent="0.2">
      <c r="A3" s="2231" t="s">
        <v>1395</v>
      </c>
      <c r="B3" s="2231"/>
      <c r="C3" s="2231"/>
      <c r="D3" s="2231"/>
      <c r="E3" s="2231"/>
      <c r="F3" s="2231"/>
      <c r="G3" s="2231"/>
      <c r="H3" s="2231"/>
      <c r="I3" s="2231"/>
      <c r="J3" s="2231"/>
      <c r="K3" s="2231"/>
      <c r="L3" s="2231"/>
      <c r="M3" s="2231"/>
      <c r="N3" s="2231"/>
      <c r="O3" s="2231"/>
      <c r="P3" s="2231"/>
      <c r="Q3" s="2231"/>
      <c r="R3" s="2231"/>
    </row>
    <row r="4" spans="1:18" x14ac:dyDescent="0.2">
      <c r="A4" s="2232" t="s">
        <v>1536</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Paw Paw CUSD 271</v>
      </c>
      <c r="E7" s="368"/>
      <c r="G7" s="247"/>
      <c r="H7" s="364"/>
      <c r="I7" s="364"/>
      <c r="J7" s="364"/>
      <c r="K7" s="364"/>
      <c r="L7" s="307"/>
      <c r="M7" s="307"/>
      <c r="N7" s="307"/>
      <c r="O7" s="307"/>
      <c r="P7" s="307"/>
    </row>
    <row r="8" spans="1:18" ht="12.75" x14ac:dyDescent="0.2">
      <c r="A8" s="307"/>
      <c r="B8" s="307"/>
      <c r="C8" s="366" t="s">
        <v>1114</v>
      </c>
      <c r="D8" s="369">
        <f>COVER!A13</f>
        <v>47052271026</v>
      </c>
      <c r="E8" s="370"/>
      <c r="G8" s="307"/>
      <c r="H8" s="307"/>
      <c r="I8" s="307"/>
      <c r="J8" s="307"/>
      <c r="K8" s="307"/>
      <c r="L8" s="307"/>
      <c r="M8" s="307"/>
      <c r="N8" s="307"/>
      <c r="O8" s="307"/>
      <c r="P8" s="307"/>
    </row>
    <row r="9" spans="1:18" ht="12.75" x14ac:dyDescent="0.2">
      <c r="A9" s="307"/>
      <c r="B9" s="307"/>
      <c r="C9" s="366" t="s">
        <v>707</v>
      </c>
      <c r="D9" s="371" t="str">
        <f>COVER!A15</f>
        <v>Lee &amp; 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1496690</v>
      </c>
      <c r="I12" s="380"/>
      <c r="J12" s="380"/>
      <c r="K12" s="1559">
        <f>TRUNC((H12/H13*100000),5)/100000</f>
        <v>0.53748736350000004</v>
      </c>
      <c r="L12" s="381"/>
      <c r="M12" s="337" t="s">
        <v>1133</v>
      </c>
      <c r="N12" s="337"/>
      <c r="O12" s="1562">
        <v>0.35</v>
      </c>
      <c r="P12" s="213"/>
      <c r="Q12" s="213"/>
    </row>
    <row r="13" spans="1:18" s="382" customFormat="1" ht="12.75" x14ac:dyDescent="0.2">
      <c r="A13" s="213"/>
      <c r="B13" s="377"/>
      <c r="C13" s="2228" t="s">
        <v>1312</v>
      </c>
      <c r="D13" s="2229"/>
      <c r="E13" s="213"/>
      <c r="F13" s="383" t="s">
        <v>787</v>
      </c>
      <c r="G13" s="378"/>
      <c r="H13" s="1551">
        <f>SUM('Acct Summary 7-8'!C8+'Acct Summary 7-8'!D8+'Acct Summary 7-8'!F8+'Acct Summary 7-8'!I8)+H14</f>
        <v>2784605</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-2976</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2592649</v>
      </c>
      <c r="I17" s="380"/>
      <c r="J17" s="389"/>
      <c r="K17" s="1559">
        <f>TRUNC((H17/H18*100000),5)/100000</f>
        <v>0.93106526769999998</v>
      </c>
      <c r="L17" s="381"/>
      <c r="M17" s="390" t="s">
        <v>1160</v>
      </c>
      <c r="O17" s="1565" t="str">
        <f>IF(AND(O16="2", J20 &gt; 2),"1",IF(AND(O16 = "1", J20 &gt; 2),"2",IF(AND(O16="1", J20 &gt;1),"1","0")))</f>
        <v>0</v>
      </c>
      <c r="P17" s="213"/>
    </row>
    <row r="18" spans="1:18" s="382" customFormat="1" ht="11.25" x14ac:dyDescent="0.2">
      <c r="A18" s="213"/>
      <c r="B18" s="377"/>
      <c r="C18" s="2228" t="s">
        <v>1305</v>
      </c>
      <c r="D18" s="2229"/>
      <c r="E18" s="213"/>
      <c r="F18" s="391" t="s">
        <v>788</v>
      </c>
      <c r="G18" s="378"/>
      <c r="H18" s="1551">
        <f>SUM('Acct Summary 7-8'!C8+'Acct Summary 7-8'!D8+'Acct Summary 7-8'!F8+'Acct Summary 7-8'!I8)+H19</f>
        <v>2784605</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-2976</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25" t="s">
        <v>1394</v>
      </c>
      <c r="D24" s="2225"/>
      <c r="E24" s="213"/>
      <c r="F24" s="213" t="s">
        <v>441</v>
      </c>
      <c r="G24" s="378"/>
      <c r="H24" s="1551">
        <f>SUM('Assets-Liab 5-6'!C4+'Assets-Liab 5-6'!D4+'Assets-Liab 5-6'!F4+'Assets-Liab 5-6'!I4+'Assets-Liab 5-6'!C5+'Assets-Liab 5-6'!D5+'Assets-Liab 5-6'!F5+'Assets-Liab 5-6'!I5)</f>
        <v>1496690</v>
      </c>
      <c r="I24" s="394"/>
      <c r="J24" s="394"/>
      <c r="K24" s="1555">
        <f>TRUNC(((H24/H25*100000)/100000),2)</f>
        <v>207.82</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7201.80278</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2240321.0652999999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3600992</v>
      </c>
      <c r="I32" s="392"/>
      <c r="J32" s="392"/>
      <c r="K32" s="1555">
        <f>TRUNC(100-((((H32/H33*100))*100)/100),2)</f>
        <v>47.32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6835608.2340000002</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4" sqref="A24:E2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5" t="s">
        <v>966</v>
      </c>
      <c r="B3" s="2236"/>
      <c r="C3" s="1306"/>
      <c r="D3" s="1307"/>
      <c r="E3" s="1307"/>
      <c r="F3" s="1307"/>
      <c r="G3" s="1307"/>
      <c r="H3" s="1307"/>
      <c r="I3" s="1307"/>
      <c r="J3" s="1307"/>
      <c r="K3" s="1307"/>
      <c r="L3" s="1307"/>
      <c r="M3" s="1308"/>
      <c r="N3" s="1309"/>
    </row>
    <row r="4" spans="1:14" ht="13.5" customHeight="1" x14ac:dyDescent="0.2">
      <c r="A4" s="427" t="s">
        <v>1631</v>
      </c>
      <c r="B4" s="428"/>
      <c r="C4" s="1572">
        <v>845602</v>
      </c>
      <c r="D4" s="1573">
        <v>94949</v>
      </c>
      <c r="E4" s="1573">
        <v>18391</v>
      </c>
      <c r="F4" s="1573">
        <v>100447</v>
      </c>
      <c r="G4" s="1573">
        <v>124019</v>
      </c>
      <c r="H4" s="1573">
        <v>65199</v>
      </c>
      <c r="I4" s="1573">
        <v>455692</v>
      </c>
      <c r="J4" s="1574">
        <v>43114</v>
      </c>
      <c r="K4" s="1573">
        <v>33179</v>
      </c>
      <c r="L4" s="1573">
        <v>101679</v>
      </c>
      <c r="M4" s="1575"/>
      <c r="N4" s="1576"/>
    </row>
    <row r="5" spans="1:14" x14ac:dyDescent="0.2">
      <c r="A5" s="427" t="s">
        <v>984</v>
      </c>
      <c r="B5" s="429">
        <v>120</v>
      </c>
      <c r="C5" s="1572">
        <v>0</v>
      </c>
      <c r="D5" s="1573">
        <v>0</v>
      </c>
      <c r="E5" s="1573">
        <v>0</v>
      </c>
      <c r="F5" s="1573">
        <v>0</v>
      </c>
      <c r="G5" s="1573">
        <v>0</v>
      </c>
      <c r="H5" s="1573">
        <v>0</v>
      </c>
      <c r="I5" s="1573">
        <v>0</v>
      </c>
      <c r="J5" s="1574">
        <v>0</v>
      </c>
      <c r="K5" s="1577">
        <v>0</v>
      </c>
      <c r="L5" s="1578">
        <v>9900</v>
      </c>
      <c r="M5" s="1575"/>
      <c r="N5" s="1576"/>
    </row>
    <row r="6" spans="1:14" ht="13.5" customHeight="1" x14ac:dyDescent="0.2">
      <c r="A6" s="430" t="s">
        <v>413</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414</v>
      </c>
      <c r="B7" s="429">
        <v>140</v>
      </c>
      <c r="C7" s="1581">
        <v>0</v>
      </c>
      <c r="D7" s="1574">
        <v>0</v>
      </c>
      <c r="E7" s="1574"/>
      <c r="F7" s="1574">
        <v>0</v>
      </c>
      <c r="G7" s="1574"/>
      <c r="H7" s="1574"/>
      <c r="I7" s="1574">
        <v>0</v>
      </c>
      <c r="J7" s="1574"/>
      <c r="K7" s="1574"/>
      <c r="L7" s="1582"/>
      <c r="M7" s="1575"/>
      <c r="N7" s="1576"/>
    </row>
    <row r="8" spans="1:14" ht="13.5" customHeight="1" x14ac:dyDescent="0.2">
      <c r="A8" s="430" t="s">
        <v>266</v>
      </c>
      <c r="B8" s="429">
        <v>150</v>
      </c>
      <c r="C8" s="1581">
        <v>0</v>
      </c>
      <c r="D8" s="1574">
        <v>0</v>
      </c>
      <c r="E8" s="1574"/>
      <c r="F8" s="1574">
        <v>0</v>
      </c>
      <c r="G8" s="1583">
        <v>0</v>
      </c>
      <c r="H8" s="1574">
        <v>0</v>
      </c>
      <c r="I8" s="1579"/>
      <c r="J8" s="1579"/>
      <c r="K8" s="1584"/>
      <c r="L8" s="1585"/>
      <c r="M8" s="1575"/>
      <c r="N8" s="1576"/>
    </row>
    <row r="9" spans="1:14" ht="13.5" customHeight="1" x14ac:dyDescent="0.2">
      <c r="A9" s="430" t="s">
        <v>267</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983</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268</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415</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638</v>
      </c>
      <c r="B13" s="1407"/>
      <c r="C13" s="1587">
        <f>SUM(C4:C12)</f>
        <v>845602</v>
      </c>
      <c r="D13" s="1587">
        <f t="shared" ref="D13:L13" si="0">SUM(D4:D12)</f>
        <v>94949</v>
      </c>
      <c r="E13" s="1587">
        <f t="shared" si="0"/>
        <v>18391</v>
      </c>
      <c r="F13" s="1587">
        <f t="shared" si="0"/>
        <v>100447</v>
      </c>
      <c r="G13" s="1587">
        <f t="shared" si="0"/>
        <v>124019</v>
      </c>
      <c r="H13" s="1587">
        <f t="shared" si="0"/>
        <v>65199</v>
      </c>
      <c r="I13" s="1587">
        <f t="shared" si="0"/>
        <v>455692</v>
      </c>
      <c r="J13" s="1587">
        <f t="shared" si="0"/>
        <v>43114</v>
      </c>
      <c r="K13" s="1587">
        <f t="shared" si="0"/>
        <v>33179</v>
      </c>
      <c r="L13" s="1587">
        <f t="shared" si="0"/>
        <v>111579</v>
      </c>
      <c r="M13" s="1575"/>
      <c r="N13" s="1576"/>
    </row>
    <row r="14" spans="1:14" ht="18" customHeight="1" thickTop="1" x14ac:dyDescent="0.2">
      <c r="A14" s="2237" t="s">
        <v>146</v>
      </c>
      <c r="B14" s="223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6100</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7261786</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101138</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861263</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18391</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3582601</v>
      </c>
    </row>
    <row r="23" spans="1:14" ht="13.5" customHeight="1" thickBot="1" x14ac:dyDescent="0.25">
      <c r="A23" s="1426" t="s">
        <v>637</v>
      </c>
      <c r="B23" s="1429"/>
      <c r="C23" s="1575"/>
      <c r="D23" s="1575"/>
      <c r="E23" s="1575"/>
      <c r="F23" s="1575"/>
      <c r="G23" s="1575"/>
      <c r="H23" s="1575"/>
      <c r="I23" s="1575"/>
      <c r="J23" s="1575"/>
      <c r="K23" s="1575"/>
      <c r="L23" s="1575"/>
      <c r="M23" s="1594">
        <f>SUM(M15:M22)</f>
        <v>8230287</v>
      </c>
      <c r="N23" s="1594">
        <f>SUM(N21:N22)</f>
        <v>3600992</v>
      </c>
    </row>
    <row r="24" spans="1:14" ht="18" customHeight="1" thickTop="1" x14ac:dyDescent="0.2">
      <c r="A24" s="2239" t="s">
        <v>593</v>
      </c>
      <c r="B24" s="2240"/>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643</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644</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645</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646</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299</v>
      </c>
      <c r="B33" s="435">
        <v>493</v>
      </c>
      <c r="C33" s="1574">
        <v>0</v>
      </c>
      <c r="D33" s="1574"/>
      <c r="E33" s="1574"/>
      <c r="F33" s="1574"/>
      <c r="G33" s="1574"/>
      <c r="H33" s="1574"/>
      <c r="I33" s="1574"/>
      <c r="J33" s="1574"/>
      <c r="K33" s="1574"/>
      <c r="L33" s="1574">
        <v>111579</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111579</v>
      </c>
      <c r="M34" s="1575"/>
      <c r="N34" s="1585"/>
    </row>
    <row r="35" spans="1:14" ht="18" customHeight="1" thickTop="1" x14ac:dyDescent="0.2">
      <c r="A35" s="2241" t="s">
        <v>525</v>
      </c>
      <c r="B35" s="224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3600992</v>
      </c>
    </row>
    <row r="37" spans="1:14" ht="13.5" thickBot="1" x14ac:dyDescent="0.25">
      <c r="A37" s="1426" t="s">
        <v>647</v>
      </c>
      <c r="B37" s="1429"/>
      <c r="C37" s="1582"/>
      <c r="D37" s="1582"/>
      <c r="E37" s="1582"/>
      <c r="F37" s="1582"/>
      <c r="G37" s="1582"/>
      <c r="H37" s="1582"/>
      <c r="I37" s="1582"/>
      <c r="J37" s="1582"/>
      <c r="K37" s="1582"/>
      <c r="L37" s="1585"/>
      <c r="M37" s="1575"/>
      <c r="N37" s="1594">
        <f>SUM(N36:N36)</f>
        <v>3600992</v>
      </c>
    </row>
    <row r="38" spans="1:14" s="307" customFormat="1" ht="13.5" customHeight="1" thickTop="1" x14ac:dyDescent="0.2">
      <c r="A38" s="438" t="s">
        <v>416</v>
      </c>
      <c r="B38" s="432">
        <v>714</v>
      </c>
      <c r="C38" s="1573">
        <v>6408</v>
      </c>
      <c r="D38" s="1573">
        <v>50000</v>
      </c>
      <c r="E38" s="1573">
        <v>0</v>
      </c>
      <c r="F38" s="1573">
        <v>0</v>
      </c>
      <c r="G38" s="1573">
        <v>18523</v>
      </c>
      <c r="H38" s="1573">
        <v>65199</v>
      </c>
      <c r="I38" s="1573">
        <v>0</v>
      </c>
      <c r="J38" s="1574">
        <v>0</v>
      </c>
      <c r="K38" s="1573">
        <v>0</v>
      </c>
      <c r="L38" s="1586">
        <v>0</v>
      </c>
      <c r="M38" s="1604"/>
      <c r="N38" s="1604"/>
    </row>
    <row r="39" spans="1:14" s="307" customFormat="1" ht="13.5" customHeight="1" x14ac:dyDescent="0.2">
      <c r="A39" s="438" t="s">
        <v>338</v>
      </c>
      <c r="B39" s="432">
        <v>730</v>
      </c>
      <c r="C39" s="1573">
        <v>839194</v>
      </c>
      <c r="D39" s="1573">
        <v>44949</v>
      </c>
      <c r="E39" s="1573">
        <v>18391</v>
      </c>
      <c r="F39" s="1573">
        <v>100447</v>
      </c>
      <c r="G39" s="1573">
        <v>105496</v>
      </c>
      <c r="H39" s="1573">
        <v>0</v>
      </c>
      <c r="I39" s="1573">
        <v>455692</v>
      </c>
      <c r="J39" s="1574">
        <v>43114</v>
      </c>
      <c r="K39" s="1573">
        <v>33179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8230287</v>
      </c>
      <c r="N40" s="1604"/>
    </row>
    <row r="41" spans="1:14" ht="13.5" customHeight="1" thickBot="1" x14ac:dyDescent="0.25">
      <c r="A41" s="1426" t="s">
        <v>649</v>
      </c>
      <c r="B41" s="1405"/>
      <c r="C41" s="1594">
        <f>(SUM(C34,C37,C38,C39))</f>
        <v>845602</v>
      </c>
      <c r="D41" s="1594">
        <f t="shared" ref="D41:L41" si="2">SUM(D34,D37,D38:D39)</f>
        <v>94949</v>
      </c>
      <c r="E41" s="1594">
        <f t="shared" si="2"/>
        <v>18391</v>
      </c>
      <c r="F41" s="1594">
        <f t="shared" si="2"/>
        <v>100447</v>
      </c>
      <c r="G41" s="1594">
        <f t="shared" si="2"/>
        <v>124019</v>
      </c>
      <c r="H41" s="1594">
        <f t="shared" si="2"/>
        <v>65199</v>
      </c>
      <c r="I41" s="1594">
        <f t="shared" si="2"/>
        <v>455692</v>
      </c>
      <c r="J41" s="1594">
        <f t="shared" si="2"/>
        <v>43114</v>
      </c>
      <c r="K41" s="1594">
        <f t="shared" si="2"/>
        <v>33179</v>
      </c>
      <c r="L41" s="1594">
        <f t="shared" si="2"/>
        <v>111579</v>
      </c>
      <c r="M41" s="1594">
        <f>SUM(M40)</f>
        <v>8230287</v>
      </c>
      <c r="N41" s="1594">
        <f>SUM(N37)</f>
        <v>3600992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4" sqref="A24:E2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63" t="s">
        <v>1164</v>
      </c>
      <c r="B3" s="2264"/>
      <c r="C3" s="1311"/>
      <c r="D3" s="1312"/>
      <c r="E3" s="1312"/>
      <c r="F3" s="1312"/>
      <c r="G3" s="1312"/>
      <c r="H3" s="1312"/>
      <c r="I3" s="1312"/>
      <c r="J3" s="1312"/>
      <c r="K3" s="1313"/>
      <c r="L3" s="446"/>
    </row>
    <row r="4" spans="1:13" ht="15.75" customHeight="1" x14ac:dyDescent="0.2">
      <c r="A4" s="1537" t="s">
        <v>1481</v>
      </c>
      <c r="B4" s="1538">
        <v>1000</v>
      </c>
      <c r="C4" s="1606">
        <f>'Revenues 9-14'!C109</f>
        <v>1862292</v>
      </c>
      <c r="D4" s="1606">
        <f>'Revenues 9-14'!D109</f>
        <v>243618</v>
      </c>
      <c r="E4" s="1606">
        <f>'Revenues 9-14'!E109</f>
        <v>544850</v>
      </c>
      <c r="F4" s="1606">
        <f>'Revenues 9-14'!F109</f>
        <v>113350</v>
      </c>
      <c r="G4" s="1606">
        <f>'Revenues 9-14'!G109</f>
        <v>59304</v>
      </c>
      <c r="H4" s="1606">
        <f>'Revenues 9-14'!H109</f>
        <v>89050</v>
      </c>
      <c r="I4" s="1606">
        <f>'Revenues 9-14'!I109</f>
        <v>22714</v>
      </c>
      <c r="J4" s="1606">
        <f>'Revenues 9-14'!J109</f>
        <v>156700</v>
      </c>
      <c r="K4" s="1606">
        <f>'Revenues 9-14'!K109</f>
        <v>7806</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241264</v>
      </c>
      <c r="D6" s="1607">
        <f>'Revenues 9-14'!D170</f>
        <v>90000</v>
      </c>
      <c r="E6" s="1607">
        <f>'Revenues 9-14'!E170</f>
        <v>0</v>
      </c>
      <c r="F6" s="1607">
        <f>'Revenues 9-14'!F170</f>
        <v>96180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118163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2221719</v>
      </c>
      <c r="D8" s="1594">
        <f t="shared" ref="D8:K8" si="0">SUM(D4:D7)</f>
        <v>333618</v>
      </c>
      <c r="E8" s="1594">
        <f t="shared" si="0"/>
        <v>544850</v>
      </c>
      <c r="F8" s="1594">
        <f t="shared" si="0"/>
        <v>209530</v>
      </c>
      <c r="G8" s="1594">
        <f t="shared" si="0"/>
        <v>59304</v>
      </c>
      <c r="H8" s="1594">
        <f t="shared" si="0"/>
        <v>89050</v>
      </c>
      <c r="I8" s="1594">
        <f t="shared" si="0"/>
        <v>22714</v>
      </c>
      <c r="J8" s="1594">
        <f t="shared" si="0"/>
        <v>156700</v>
      </c>
      <c r="K8" s="1594">
        <f t="shared" si="0"/>
        <v>7806</v>
      </c>
      <c r="L8" s="325"/>
    </row>
    <row r="9" spans="1:13" ht="15.75" thickTop="1" x14ac:dyDescent="0.2">
      <c r="A9" s="449" t="s">
        <v>1633</v>
      </c>
      <c r="B9" s="450">
        <v>3998</v>
      </c>
      <c r="C9" s="1586">
        <v>1022112</v>
      </c>
      <c r="D9" s="1613"/>
      <c r="E9" s="1586"/>
      <c r="F9" s="1586"/>
      <c r="G9" s="1614"/>
      <c r="H9" s="1586"/>
      <c r="I9" s="1609" t="s">
        <v>1158</v>
      </c>
      <c r="J9" s="1583"/>
      <c r="K9" s="1586"/>
      <c r="L9" s="325"/>
    </row>
    <row r="10" spans="1:13" s="452" customFormat="1" ht="13.5" thickBot="1" x14ac:dyDescent="0.25">
      <c r="A10" s="1426" t="s">
        <v>1162</v>
      </c>
      <c r="B10" s="1407"/>
      <c r="C10" s="1594">
        <f>SUM(C8:C9)</f>
        <v>3243831</v>
      </c>
      <c r="D10" s="1594">
        <f t="shared" ref="D10:K10" si="1">SUM(D8:D9)</f>
        <v>333618</v>
      </c>
      <c r="E10" s="1594">
        <f t="shared" si="1"/>
        <v>544850</v>
      </c>
      <c r="F10" s="1594">
        <f t="shared" si="1"/>
        <v>209530</v>
      </c>
      <c r="G10" s="1594">
        <f t="shared" si="1"/>
        <v>59304</v>
      </c>
      <c r="H10" s="1594">
        <f t="shared" si="1"/>
        <v>89050</v>
      </c>
      <c r="I10" s="1594">
        <f t="shared" si="1"/>
        <v>22714</v>
      </c>
      <c r="J10" s="1594">
        <f t="shared" si="1"/>
        <v>156700</v>
      </c>
      <c r="K10" s="1594">
        <f t="shared" si="1"/>
        <v>7806</v>
      </c>
      <c r="L10" s="451"/>
    </row>
    <row r="11" spans="1:13" s="452" customFormat="1" ht="16.7" customHeight="1" thickTop="1" x14ac:dyDescent="0.2">
      <c r="A11" s="2237" t="s">
        <v>1165</v>
      </c>
      <c r="B11" s="2238"/>
      <c r="C11" s="1602"/>
      <c r="D11" s="1603"/>
      <c r="E11" s="1603"/>
      <c r="F11" s="1603"/>
      <c r="G11" s="1603"/>
      <c r="H11" s="1603"/>
      <c r="I11" s="1603"/>
      <c r="J11" s="1603"/>
      <c r="K11" s="1615"/>
      <c r="L11" s="451"/>
    </row>
    <row r="12" spans="1:13" ht="15.75" customHeight="1" x14ac:dyDescent="0.2">
      <c r="A12" s="1314" t="s">
        <v>452</v>
      </c>
      <c r="B12" s="1316">
        <v>1000</v>
      </c>
      <c r="C12" s="1606">
        <f>'Expenditures 15-22'!K33</f>
        <v>911129</v>
      </c>
      <c r="D12" s="1616" t="s">
        <v>1158</v>
      </c>
      <c r="E12" s="1575" t="s">
        <v>1158</v>
      </c>
      <c r="F12" s="1575" t="s">
        <v>1158</v>
      </c>
      <c r="G12" s="1606">
        <f>'Expenditures 15-22'!K229</f>
        <v>15050</v>
      </c>
      <c r="H12" s="1617"/>
      <c r="I12" s="1575" t="s">
        <v>1158</v>
      </c>
      <c r="J12" s="1575" t="s">
        <v>1158</v>
      </c>
      <c r="K12" s="1617" t="s">
        <v>1158</v>
      </c>
      <c r="L12" s="325"/>
    </row>
    <row r="13" spans="1:13" ht="15.75" customHeight="1" x14ac:dyDescent="0.2">
      <c r="A13" s="1314" t="s">
        <v>453</v>
      </c>
      <c r="B13" s="1316">
        <v>2000</v>
      </c>
      <c r="C13" s="1607">
        <f>'Expenditures 15-22'!K74</f>
        <v>658929</v>
      </c>
      <c r="D13" s="1607">
        <f>'Expenditures 15-22'!K129</f>
        <v>282559</v>
      </c>
      <c r="E13" s="1576" t="s">
        <v>1158</v>
      </c>
      <c r="F13" s="1607">
        <f>'Expenditures 15-22'!K184</f>
        <v>196642</v>
      </c>
      <c r="G13" s="1607">
        <f>'Expenditures 15-22'!K279</f>
        <v>44226</v>
      </c>
      <c r="H13" s="1607">
        <f>'Expenditures 15-22'!K303</f>
        <v>555246</v>
      </c>
      <c r="I13" s="1575" t="s">
        <v>1158</v>
      </c>
      <c r="J13" s="1607">
        <f>'Expenditures 15-22'!K330</f>
        <v>134915</v>
      </c>
      <c r="K13" s="1618">
        <f>'Expenditures 15-22'!K352</f>
        <v>0</v>
      </c>
      <c r="L13" s="325"/>
    </row>
    <row r="14" spans="1:13" ht="15.75" customHeight="1" x14ac:dyDescent="0.2">
      <c r="A14" s="1314" t="s">
        <v>445</v>
      </c>
      <c r="B14" s="1316">
        <v>3000</v>
      </c>
      <c r="C14" s="1607">
        <f>'Expenditures 15-22'!K75</f>
        <v>0</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543390</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548325</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2113448</v>
      </c>
      <c r="D17" s="1594">
        <f t="shared" si="2"/>
        <v>282559</v>
      </c>
      <c r="E17" s="1594">
        <f t="shared" si="2"/>
        <v>548325</v>
      </c>
      <c r="F17" s="1594">
        <f t="shared" si="2"/>
        <v>196642</v>
      </c>
      <c r="G17" s="1594">
        <f t="shared" si="2"/>
        <v>59276</v>
      </c>
      <c r="H17" s="1594">
        <f t="shared" si="2"/>
        <v>555246</v>
      </c>
      <c r="I17" s="1575"/>
      <c r="J17" s="1594">
        <f>SUM(J12:J16)</f>
        <v>134915</v>
      </c>
      <c r="K17" s="1594">
        <f>SUM(K12:K16)</f>
        <v>0</v>
      </c>
      <c r="L17" s="325"/>
    </row>
    <row r="18" spans="1:12" ht="15" customHeight="1" thickTop="1" x14ac:dyDescent="0.2">
      <c r="A18" s="1430" t="s">
        <v>1634</v>
      </c>
      <c r="B18" s="1431">
        <v>4180</v>
      </c>
      <c r="C18" s="1606">
        <f t="shared" ref="C18:H18" si="3">C9</f>
        <v>1022112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3135560</v>
      </c>
      <c r="D19" s="1594">
        <f t="shared" si="4"/>
        <v>282559</v>
      </c>
      <c r="E19" s="1594">
        <f t="shared" si="4"/>
        <v>548325</v>
      </c>
      <c r="F19" s="1594">
        <f t="shared" si="4"/>
        <v>196642</v>
      </c>
      <c r="G19" s="1594">
        <f t="shared" si="4"/>
        <v>59276</v>
      </c>
      <c r="H19" s="1594">
        <f t="shared" si="4"/>
        <v>555246</v>
      </c>
      <c r="I19" s="1575"/>
      <c r="J19" s="1594">
        <f>SUM(J17:J18)</f>
        <v>134915</v>
      </c>
      <c r="K19" s="1594">
        <f>SUM(K17:K18)</f>
        <v>0</v>
      </c>
      <c r="L19" s="325"/>
    </row>
    <row r="20" spans="1:12" ht="16.5" thickTop="1" thickBot="1" x14ac:dyDescent="0.25">
      <c r="A20" s="2253" t="s">
        <v>1635</v>
      </c>
      <c r="B20" s="2254"/>
      <c r="C20" s="1622">
        <f>C8-C17</f>
        <v>108271</v>
      </c>
      <c r="D20" s="1622">
        <f t="shared" ref="D20:K20" si="5">D8-D17</f>
        <v>51059</v>
      </c>
      <c r="E20" s="1622">
        <f t="shared" si="5"/>
        <v>-3475</v>
      </c>
      <c r="F20" s="1622">
        <f t="shared" si="5"/>
        <v>12888</v>
      </c>
      <c r="G20" s="1622">
        <f t="shared" si="5"/>
        <v>28</v>
      </c>
      <c r="H20" s="1622">
        <f t="shared" si="5"/>
        <v>-466196</v>
      </c>
      <c r="I20" s="1622">
        <f t="shared" si="5"/>
        <v>22714</v>
      </c>
      <c r="J20" s="1622">
        <f t="shared" si="5"/>
        <v>21785</v>
      </c>
      <c r="K20" s="1622">
        <f t="shared" si="5"/>
        <v>7806</v>
      </c>
      <c r="L20" s="325"/>
    </row>
    <row r="21" spans="1:12" ht="16.7" customHeight="1" thickTop="1" x14ac:dyDescent="0.2">
      <c r="A21" s="2265" t="s">
        <v>590</v>
      </c>
      <c r="B21" s="2266"/>
      <c r="C21" s="1602"/>
      <c r="D21" s="1603"/>
      <c r="E21" s="1603"/>
      <c r="F21" s="1603"/>
      <c r="G21" s="1603"/>
      <c r="H21" s="1603"/>
      <c r="I21" s="1603"/>
      <c r="J21" s="1603"/>
      <c r="K21" s="1615"/>
      <c r="L21" s="453"/>
    </row>
    <row r="22" spans="1:12" ht="15.75" customHeight="1" collapsed="1" x14ac:dyDescent="0.2">
      <c r="A22" s="2261" t="s">
        <v>591</v>
      </c>
      <c r="B22" s="2262"/>
      <c r="C22" s="1582"/>
      <c r="D22" s="1582"/>
      <c r="E22" s="1582"/>
      <c r="F22" s="1582"/>
      <c r="G22" s="1582"/>
      <c r="H22" s="1582"/>
      <c r="I22" s="1582"/>
      <c r="J22" s="1582"/>
      <c r="K22" s="1582"/>
      <c r="L22" s="325"/>
    </row>
    <row r="23" spans="1:12" s="433" customFormat="1" ht="15.75" customHeight="1" x14ac:dyDescent="0.2">
      <c r="A23" s="2257" t="s">
        <v>289</v>
      </c>
      <c r="B23" s="2258"/>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40000</v>
      </c>
      <c r="E25" s="1574">
        <v>0</v>
      </c>
      <c r="F25" s="1574">
        <v>25000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59" t="s">
        <v>973</v>
      </c>
      <c r="B32" s="2260"/>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7">
        <f>SUM(C54:D57,H54:H57)</f>
        <v>2976</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510000</v>
      </c>
      <c r="I43" s="1574">
        <v>0</v>
      </c>
      <c r="J43" s="1574">
        <v>0</v>
      </c>
      <c r="K43" s="1574">
        <v>0</v>
      </c>
      <c r="L43" s="453"/>
    </row>
    <row r="44" spans="1:12" s="433" customFormat="1" ht="13.5" customHeight="1" thickBot="1" x14ac:dyDescent="0.25">
      <c r="A44" s="2267" t="s">
        <v>370</v>
      </c>
      <c r="B44" s="2268"/>
      <c r="C44" s="1624">
        <f>SUM(C24:C43)</f>
        <v>0</v>
      </c>
      <c r="D44" s="1624">
        <f t="shared" ref="D44:K44" si="6">SUM(D24:D43)</f>
        <v>40000</v>
      </c>
      <c r="E44" s="1624">
        <f t="shared" si="6"/>
        <v>2976</v>
      </c>
      <c r="F44" s="1624">
        <f t="shared" si="6"/>
        <v>25000</v>
      </c>
      <c r="G44" s="1624">
        <f t="shared" si="6"/>
        <v>0</v>
      </c>
      <c r="H44" s="1624">
        <f t="shared" si="6"/>
        <v>510000</v>
      </c>
      <c r="I44" s="1624">
        <f t="shared" si="6"/>
        <v>0</v>
      </c>
      <c r="J44" s="1624">
        <f t="shared" si="6"/>
        <v>0</v>
      </c>
      <c r="K44" s="1624">
        <f t="shared" si="6"/>
        <v>0</v>
      </c>
      <c r="L44" s="453"/>
    </row>
    <row r="45" spans="1:12" ht="15.75" customHeight="1" thickTop="1" x14ac:dyDescent="0.2">
      <c r="A45" s="2261" t="s">
        <v>108</v>
      </c>
      <c r="B45" s="2262"/>
      <c r="C45" s="1625"/>
      <c r="D45" s="1625"/>
      <c r="E45" s="1625"/>
      <c r="F45" s="1625"/>
      <c r="G45" s="1625"/>
      <c r="H45" s="1625"/>
      <c r="I45" s="1625"/>
      <c r="J45" s="1625"/>
      <c r="K45" s="1625"/>
      <c r="L45" s="325"/>
    </row>
    <row r="46" spans="1:12" s="433" customFormat="1" ht="15.75" customHeight="1" x14ac:dyDescent="0.2">
      <c r="A46" s="2269" t="s">
        <v>109</v>
      </c>
      <c r="B46" s="227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65000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v>0</v>
      </c>
      <c r="D54" s="1626">
        <v>2976</v>
      </c>
      <c r="E54" s="1582"/>
      <c r="F54" s="1582"/>
      <c r="G54" s="1582"/>
      <c r="H54" s="1626">
        <v>0</v>
      </c>
      <c r="I54" s="1582"/>
      <c r="J54" s="1582"/>
      <c r="K54" s="1580"/>
      <c r="L54" s="453"/>
    </row>
    <row r="55" spans="1:12" s="433" customFormat="1" ht="14.25" thickTop="1" thickBot="1" x14ac:dyDescent="0.25">
      <c r="A55" s="1262" t="s">
        <v>687</v>
      </c>
      <c r="B55" s="432">
        <v>8420</v>
      </c>
      <c r="C55" s="1627">
        <v>0</v>
      </c>
      <c r="D55" s="1627">
        <v>0</v>
      </c>
      <c r="E55" s="1582"/>
      <c r="F55" s="1582"/>
      <c r="G55" s="1582"/>
      <c r="H55" s="1626">
        <v>0</v>
      </c>
      <c r="I55" s="1582"/>
      <c r="J55" s="1582"/>
      <c r="K55" s="1582"/>
      <c r="L55" s="453"/>
    </row>
    <row r="56" spans="1:12" s="433" customFormat="1" ht="14.25" thickTop="1" thickBot="1" x14ac:dyDescent="0.25">
      <c r="A56" s="1261" t="s">
        <v>576</v>
      </c>
      <c r="B56" s="432">
        <v>8430</v>
      </c>
      <c r="C56" s="1627">
        <v>0</v>
      </c>
      <c r="D56" s="1627">
        <v>0</v>
      </c>
      <c r="E56" s="1582"/>
      <c r="F56" s="1582"/>
      <c r="G56" s="1582"/>
      <c r="H56" s="1626">
        <v>0</v>
      </c>
      <c r="I56" s="1582"/>
      <c r="J56" s="1582"/>
      <c r="K56" s="1582"/>
      <c r="L56" s="453"/>
    </row>
    <row r="57" spans="1:12" s="433" customFormat="1" ht="14.25" thickTop="1" thickBot="1" x14ac:dyDescent="0.25">
      <c r="A57" s="1262" t="s">
        <v>573</v>
      </c>
      <c r="B57" s="432">
        <v>8440</v>
      </c>
      <c r="C57" s="1627">
        <v>0</v>
      </c>
      <c r="D57" s="1627">
        <v>0</v>
      </c>
      <c r="E57" s="1582"/>
      <c r="F57" s="1582"/>
      <c r="G57" s="1582"/>
      <c r="H57" s="1626">
        <v>0</v>
      </c>
      <c r="I57" s="1582"/>
      <c r="J57" s="1582"/>
      <c r="K57" s="1582"/>
      <c r="L57" s="453"/>
    </row>
    <row r="58" spans="1:12" s="433" customFormat="1" ht="14.25" thickTop="1" thickBot="1" x14ac:dyDescent="0.25">
      <c r="A58" s="1261" t="s">
        <v>574</v>
      </c>
      <c r="B58" s="432">
        <v>8510</v>
      </c>
      <c r="C58" s="1627">
        <v>0</v>
      </c>
      <c r="D58" s="1627">
        <v>0</v>
      </c>
      <c r="E58" s="1582"/>
      <c r="F58" s="1582"/>
      <c r="G58" s="1582"/>
      <c r="H58" s="1626">
        <v>0</v>
      </c>
      <c r="I58" s="1582"/>
      <c r="J58" s="1582"/>
      <c r="K58" s="1582"/>
      <c r="L58" s="453"/>
    </row>
    <row r="59" spans="1:12" s="433" customFormat="1" ht="14.25" thickTop="1" thickBot="1" x14ac:dyDescent="0.25">
      <c r="A59" s="1263" t="s">
        <v>688</v>
      </c>
      <c r="B59" s="432">
        <v>8520</v>
      </c>
      <c r="C59" s="1627">
        <v>0</v>
      </c>
      <c r="D59" s="1627">
        <v>0</v>
      </c>
      <c r="E59" s="1582"/>
      <c r="F59" s="1582"/>
      <c r="G59" s="1582"/>
      <c r="H59" s="1626">
        <v>0</v>
      </c>
      <c r="I59" s="1582"/>
      <c r="J59" s="1582"/>
      <c r="K59" s="1582"/>
      <c r="L59" s="453"/>
    </row>
    <row r="60" spans="1:12" s="433" customFormat="1" ht="14.25" thickTop="1" thickBot="1" x14ac:dyDescent="0.25">
      <c r="A60" s="1261" t="s">
        <v>575</v>
      </c>
      <c r="B60" s="432">
        <v>8530</v>
      </c>
      <c r="C60" s="1627">
        <v>0</v>
      </c>
      <c r="D60" s="1627">
        <v>0</v>
      </c>
      <c r="E60" s="1582"/>
      <c r="F60" s="1582"/>
      <c r="G60" s="1582"/>
      <c r="H60" s="1626">
        <v>0</v>
      </c>
      <c r="I60" s="1582"/>
      <c r="J60" s="1582"/>
      <c r="K60" s="1582"/>
      <c r="L60" s="453"/>
    </row>
    <row r="61" spans="1:12" s="433" customFormat="1" ht="14.25" thickTop="1" thickBot="1" x14ac:dyDescent="0.25">
      <c r="A61" s="1262" t="s">
        <v>737</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738</v>
      </c>
      <c r="B62" s="432">
        <v>8610</v>
      </c>
      <c r="C62" s="1627">
        <v>0</v>
      </c>
      <c r="D62" s="1627">
        <v>0</v>
      </c>
      <c r="E62" s="1582"/>
      <c r="F62" s="1582"/>
      <c r="G62" s="1582"/>
      <c r="H62" s="1582"/>
      <c r="I62" s="1582"/>
      <c r="J62" s="1582"/>
      <c r="K62" s="1582"/>
      <c r="L62" s="453"/>
    </row>
    <row r="63" spans="1:12" s="433" customFormat="1" ht="14.25" thickTop="1" thickBot="1" x14ac:dyDescent="0.25">
      <c r="A63" s="1262" t="s">
        <v>689</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739</v>
      </c>
      <c r="B64" s="432">
        <v>8630</v>
      </c>
      <c r="C64" s="1627">
        <v>0</v>
      </c>
      <c r="D64" s="1627">
        <v>0</v>
      </c>
      <c r="E64" s="1582"/>
      <c r="F64" s="1582"/>
      <c r="G64" s="1582"/>
      <c r="H64" s="1582"/>
      <c r="I64" s="1582"/>
      <c r="J64" s="1582"/>
      <c r="K64" s="1582"/>
      <c r="L64" s="453"/>
    </row>
    <row r="65" spans="1:12" s="433" customFormat="1" ht="14.25" thickTop="1" thickBot="1" x14ac:dyDescent="0.25">
      <c r="A65" s="1262" t="s">
        <v>740</v>
      </c>
      <c r="B65" s="432">
        <v>8640</v>
      </c>
      <c r="C65" s="1627">
        <v>0</v>
      </c>
      <c r="D65" s="1627">
        <v>0</v>
      </c>
      <c r="E65" s="1582"/>
      <c r="F65" s="1582"/>
      <c r="G65" s="1582"/>
      <c r="H65" s="1582"/>
      <c r="I65" s="1582"/>
      <c r="J65" s="1582"/>
      <c r="K65" s="1582"/>
      <c r="L65" s="453"/>
    </row>
    <row r="66" spans="1:12" s="433" customFormat="1" ht="14.25" thickTop="1" thickBot="1" x14ac:dyDescent="0.25">
      <c r="A66" s="1261" t="s">
        <v>741</v>
      </c>
      <c r="B66" s="432">
        <v>8710</v>
      </c>
      <c r="C66" s="1627">
        <v>0</v>
      </c>
      <c r="D66" s="1627">
        <v>0</v>
      </c>
      <c r="E66" s="1582"/>
      <c r="F66" s="1582"/>
      <c r="G66" s="1582"/>
      <c r="H66" s="1582"/>
      <c r="I66" s="1582"/>
      <c r="J66" s="1582"/>
      <c r="K66" s="1582"/>
      <c r="L66" s="453"/>
    </row>
    <row r="67" spans="1:12" s="433" customFormat="1" ht="14.25" thickTop="1" thickBot="1" x14ac:dyDescent="0.25">
      <c r="A67" s="1262" t="s">
        <v>690</v>
      </c>
      <c r="B67" s="432">
        <v>8720</v>
      </c>
      <c r="C67" s="1627">
        <v>0</v>
      </c>
      <c r="D67" s="1627">
        <v>0</v>
      </c>
      <c r="E67" s="1582"/>
      <c r="F67" s="1582"/>
      <c r="G67" s="1582"/>
      <c r="H67" s="1582"/>
      <c r="I67" s="1582"/>
      <c r="J67" s="1582"/>
      <c r="K67" s="1582"/>
      <c r="L67" s="453"/>
    </row>
    <row r="68" spans="1:12" s="433" customFormat="1" ht="14.25" thickTop="1" thickBot="1" x14ac:dyDescent="0.25">
      <c r="A68" s="1263" t="s">
        <v>742</v>
      </c>
      <c r="B68" s="432">
        <v>8730</v>
      </c>
      <c r="C68" s="1627">
        <v>0</v>
      </c>
      <c r="D68" s="1627">
        <v>0</v>
      </c>
      <c r="E68" s="1582"/>
      <c r="F68" s="1582"/>
      <c r="G68" s="1582"/>
      <c r="H68" s="1582"/>
      <c r="I68" s="1582"/>
      <c r="J68" s="1582"/>
      <c r="K68" s="1582"/>
      <c r="L68" s="453"/>
    </row>
    <row r="69" spans="1:12" s="433" customFormat="1" ht="14.25" thickTop="1" thickBot="1" x14ac:dyDescent="0.25">
      <c r="A69" s="1262" t="s">
        <v>743</v>
      </c>
      <c r="B69" s="432">
        <v>8740</v>
      </c>
      <c r="C69" s="1627">
        <v>0</v>
      </c>
      <c r="D69" s="1627">
        <v>0</v>
      </c>
      <c r="E69" s="1582"/>
      <c r="F69" s="1582"/>
      <c r="G69" s="1582"/>
      <c r="H69" s="1582"/>
      <c r="I69" s="1582"/>
      <c r="J69" s="1582"/>
      <c r="K69" s="1582"/>
      <c r="L69" s="453"/>
    </row>
    <row r="70" spans="1:12" s="433" customFormat="1" ht="14.25" thickTop="1" thickBot="1" x14ac:dyDescent="0.25">
      <c r="A70" s="1261" t="s">
        <v>744</v>
      </c>
      <c r="B70" s="432">
        <v>8810</v>
      </c>
      <c r="C70" s="1627">
        <v>0</v>
      </c>
      <c r="D70" s="1627">
        <v>0</v>
      </c>
      <c r="E70" s="1582"/>
      <c r="F70" s="1582"/>
      <c r="G70" s="1582"/>
      <c r="H70" s="1582"/>
      <c r="I70" s="1582"/>
      <c r="J70" s="1582"/>
      <c r="K70" s="1582"/>
      <c r="L70" s="453"/>
    </row>
    <row r="71" spans="1:12" s="433" customFormat="1" ht="14.25" thickTop="1" thickBot="1" x14ac:dyDescent="0.25">
      <c r="A71" s="1261" t="s">
        <v>748</v>
      </c>
      <c r="B71" s="432">
        <v>8820</v>
      </c>
      <c r="C71" s="1627">
        <v>0</v>
      </c>
      <c r="D71" s="1627">
        <v>0</v>
      </c>
      <c r="E71" s="1582"/>
      <c r="F71" s="1582"/>
      <c r="G71" s="1582"/>
      <c r="H71" s="1582"/>
      <c r="I71" s="1582"/>
      <c r="J71" s="1582"/>
      <c r="K71" s="1582"/>
      <c r="L71" s="453"/>
    </row>
    <row r="72" spans="1:12" s="433" customFormat="1" ht="14.25" thickTop="1" thickBot="1" x14ac:dyDescent="0.25">
      <c r="A72" s="1261" t="s">
        <v>745</v>
      </c>
      <c r="B72" s="432">
        <v>8830</v>
      </c>
      <c r="C72" s="1627">
        <v>0</v>
      </c>
      <c r="D72" s="1627">
        <v>0</v>
      </c>
      <c r="E72" s="1582"/>
      <c r="F72" s="1582"/>
      <c r="G72" s="1582"/>
      <c r="H72" s="1582"/>
      <c r="I72" s="1582"/>
      <c r="J72" s="1582"/>
      <c r="K72" s="1582"/>
      <c r="L72" s="453"/>
    </row>
    <row r="73" spans="1:12" s="433" customFormat="1" ht="14.25" thickTop="1" thickBot="1" x14ac:dyDescent="0.25">
      <c r="A73" s="1261" t="s">
        <v>746</v>
      </c>
      <c r="B73" s="432">
        <v>8840</v>
      </c>
      <c r="C73" s="1627">
        <v>0</v>
      </c>
      <c r="D73" s="1627">
        <v>0</v>
      </c>
      <c r="E73" s="1582"/>
      <c r="F73" s="1582"/>
      <c r="G73" s="1582"/>
      <c r="H73" s="1582"/>
      <c r="I73" s="1582"/>
      <c r="J73" s="1582"/>
      <c r="K73" s="1585"/>
      <c r="L73" s="453"/>
    </row>
    <row r="74" spans="1:12" s="433" customFormat="1" ht="14.25" thickTop="1" thickBot="1" x14ac:dyDescent="0.25">
      <c r="A74" s="1261" t="s">
        <v>371</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435</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3" t="s">
        <v>436</v>
      </c>
      <c r="B76" s="2244"/>
      <c r="C76" s="1624">
        <f t="shared" ref="C76:K76" si="7">SUM(C47:C75)</f>
        <v>0</v>
      </c>
      <c r="D76" s="1624">
        <f t="shared" si="7"/>
        <v>2976</v>
      </c>
      <c r="E76" s="1624">
        <f t="shared" si="7"/>
        <v>0</v>
      </c>
      <c r="F76" s="1624">
        <f t="shared" si="7"/>
        <v>0</v>
      </c>
      <c r="G76" s="1624">
        <f t="shared" si="7"/>
        <v>0</v>
      </c>
      <c r="H76" s="1624">
        <f t="shared" si="7"/>
        <v>0</v>
      </c>
      <c r="I76" s="1624">
        <f t="shared" si="7"/>
        <v>65000</v>
      </c>
      <c r="J76" s="1624">
        <f t="shared" si="7"/>
        <v>0</v>
      </c>
      <c r="K76" s="1624">
        <f t="shared" si="7"/>
        <v>0</v>
      </c>
      <c r="L76" s="453"/>
    </row>
    <row r="77" spans="1:12" ht="14.25" thickTop="1" thickBot="1" x14ac:dyDescent="0.25">
      <c r="A77" s="2245" t="s">
        <v>1166</v>
      </c>
      <c r="B77" s="2246"/>
      <c r="C77" s="1624">
        <f t="shared" ref="C77:K77" si="8">C44-C76</f>
        <v>0</v>
      </c>
      <c r="D77" s="1624">
        <f t="shared" si="8"/>
        <v>37024</v>
      </c>
      <c r="E77" s="1624">
        <f t="shared" si="8"/>
        <v>2976</v>
      </c>
      <c r="F77" s="1624">
        <f t="shared" si="8"/>
        <v>25000</v>
      </c>
      <c r="G77" s="1624">
        <f t="shared" si="8"/>
        <v>0</v>
      </c>
      <c r="H77" s="1624">
        <f t="shared" si="8"/>
        <v>510000</v>
      </c>
      <c r="I77" s="1624">
        <f t="shared" si="8"/>
        <v>-65000</v>
      </c>
      <c r="J77" s="1624">
        <f t="shared" si="8"/>
        <v>0</v>
      </c>
      <c r="K77" s="1624">
        <f t="shared" si="8"/>
        <v>0</v>
      </c>
      <c r="L77" s="325"/>
    </row>
    <row r="78" spans="1:12" ht="21.75" customHeight="1" thickTop="1" thickBot="1" x14ac:dyDescent="0.25">
      <c r="A78" s="2249" t="s">
        <v>592</v>
      </c>
      <c r="B78" s="2250"/>
      <c r="C78" s="1629">
        <f t="shared" ref="C78:K78" si="9">C20+C77</f>
        <v>108271</v>
      </c>
      <c r="D78" s="1629">
        <f t="shared" si="9"/>
        <v>88083</v>
      </c>
      <c r="E78" s="1629">
        <f t="shared" si="9"/>
        <v>-499</v>
      </c>
      <c r="F78" s="1629">
        <f t="shared" si="9"/>
        <v>37888</v>
      </c>
      <c r="G78" s="1629">
        <f t="shared" si="9"/>
        <v>28</v>
      </c>
      <c r="H78" s="1629">
        <f t="shared" si="9"/>
        <v>43804</v>
      </c>
      <c r="I78" s="1629">
        <f t="shared" si="9"/>
        <v>-42286</v>
      </c>
      <c r="J78" s="1629">
        <f t="shared" si="9"/>
        <v>21785</v>
      </c>
      <c r="K78" s="1629">
        <f t="shared" si="9"/>
        <v>7806</v>
      </c>
      <c r="L78" s="457"/>
    </row>
    <row r="79" spans="1:12" ht="13.5" thickTop="1" x14ac:dyDescent="0.2">
      <c r="A79" s="1844" t="str">
        <f>"Fund Balances - July 1, "&amp;'AFR20'!E2-1</f>
        <v>Fund Balances - July 1, 2019</v>
      </c>
      <c r="B79" s="458"/>
      <c r="C79" s="1583">
        <v>737331</v>
      </c>
      <c r="D79" s="1583">
        <v>6866</v>
      </c>
      <c r="E79" s="1630">
        <v>18890</v>
      </c>
      <c r="F79" s="1630">
        <v>62559</v>
      </c>
      <c r="G79" s="1630">
        <v>123991</v>
      </c>
      <c r="H79" s="1630">
        <v>21395</v>
      </c>
      <c r="I79" s="1630">
        <v>497978</v>
      </c>
      <c r="J79" s="1630">
        <v>21329</v>
      </c>
      <c r="K79" s="1630">
        <v>25373</v>
      </c>
      <c r="L79" s="325"/>
    </row>
    <row r="80" spans="1:12" x14ac:dyDescent="0.2">
      <c r="A80" s="2255" t="s">
        <v>1771</v>
      </c>
      <c r="B80" s="2256"/>
      <c r="C80" s="1574">
        <v>0</v>
      </c>
      <c r="D80" s="1574">
        <v>0</v>
      </c>
      <c r="E80" s="1574">
        <v>0</v>
      </c>
      <c r="F80" s="1574">
        <v>0</v>
      </c>
      <c r="G80" s="1574">
        <v>0</v>
      </c>
      <c r="H80" s="1574">
        <v>0</v>
      </c>
      <c r="I80" s="1574">
        <v>0</v>
      </c>
      <c r="J80" s="1574">
        <v>0</v>
      </c>
      <c r="K80" s="1574">
        <v>0</v>
      </c>
      <c r="L80" s="325"/>
    </row>
    <row r="81" spans="1:12" ht="13.5" thickBot="1" x14ac:dyDescent="0.25">
      <c r="A81" s="2247" t="str">
        <f>"Fund Balances - June 30, "&amp;'AFR20'!E2</f>
        <v>Fund Balances - June 30, 2020</v>
      </c>
      <c r="B81" s="2248"/>
      <c r="C81" s="1594">
        <f>(SUM(C78:C80))</f>
        <v>845602</v>
      </c>
      <c r="D81" s="1594">
        <f>SUM(D78:D80)</f>
        <v>94949</v>
      </c>
      <c r="E81" s="1594">
        <f t="shared" ref="E81:K81" si="10">SUM(E78:E80)</f>
        <v>18391</v>
      </c>
      <c r="F81" s="1594">
        <f t="shared" si="10"/>
        <v>100447</v>
      </c>
      <c r="G81" s="1594">
        <f t="shared" si="10"/>
        <v>124019</v>
      </c>
      <c r="H81" s="1594">
        <f t="shared" si="10"/>
        <v>65199</v>
      </c>
      <c r="I81" s="1594">
        <f t="shared" si="10"/>
        <v>455692</v>
      </c>
      <c r="J81" s="1594">
        <f t="shared" si="10"/>
        <v>43114</v>
      </c>
      <c r="K81" s="1594">
        <f t="shared" si="10"/>
        <v>33179</v>
      </c>
      <c r="L81" s="325"/>
    </row>
    <row r="82" spans="1:12" ht="0.75" customHeight="1" thickTop="1" thickBot="1" x14ac:dyDescent="0.25">
      <c r="A82" s="459" t="s">
        <v>339</v>
      </c>
      <c r="B82" s="460"/>
      <c r="C82" s="461">
        <f>(C81-C79)</f>
        <v>108271</v>
      </c>
      <c r="D82" s="461">
        <f t="shared" ref="D82:K82" si="11">(D81-D79)</f>
        <v>88083</v>
      </c>
      <c r="E82" s="461">
        <f t="shared" si="11"/>
        <v>-499</v>
      </c>
      <c r="F82" s="461">
        <f t="shared" si="11"/>
        <v>37888</v>
      </c>
      <c r="G82" s="461">
        <f t="shared" si="11"/>
        <v>28</v>
      </c>
      <c r="H82" s="461">
        <f t="shared" si="11"/>
        <v>43804</v>
      </c>
      <c r="I82" s="461">
        <f t="shared" si="11"/>
        <v>-42286</v>
      </c>
      <c r="J82" s="461">
        <f t="shared" si="11"/>
        <v>21785</v>
      </c>
      <c r="K82" s="461">
        <f t="shared" si="11"/>
        <v>7806</v>
      </c>
    </row>
    <row r="83" spans="1:12" ht="14.25" hidden="1" thickTop="1" thickBot="1" x14ac:dyDescent="0.25">
      <c r="A83" s="462" t="s">
        <v>340</v>
      </c>
      <c r="B83" s="428"/>
      <c r="C83" s="463">
        <f>C82/C81</f>
        <v>0.12804014181612627</v>
      </c>
      <c r="D83" s="463">
        <f t="shared" ref="D83:K83" si="12">D82/D81</f>
        <v>0.92768749539226325</v>
      </c>
      <c r="E83" s="463">
        <f t="shared" si="12"/>
        <v>-2.7132836713609918E-2</v>
      </c>
      <c r="F83" s="463">
        <f t="shared" si="12"/>
        <v>0.37719394307445719</v>
      </c>
      <c r="G83" s="463">
        <f t="shared" si="12"/>
        <v>2.257718575379579E-4</v>
      </c>
      <c r="H83" s="463">
        <f t="shared" si="12"/>
        <v>0.67185079525759595</v>
      </c>
      <c r="I83" s="463">
        <f t="shared" si="12"/>
        <v>-9.2795133555120562E-2</v>
      </c>
      <c r="J83" s="463">
        <f t="shared" si="12"/>
        <v>0.50528830542283254</v>
      </c>
      <c r="K83" s="463">
        <f t="shared" si="12"/>
        <v>0.23526929684438952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4" sqref="A24:E2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1778</v>
      </c>
      <c r="B1" s="416"/>
      <c r="C1" s="417" t="s">
        <v>421</v>
      </c>
      <c r="D1" s="417" t="s">
        <v>422</v>
      </c>
      <c r="E1" s="417" t="s">
        <v>423</v>
      </c>
      <c r="F1" s="417" t="s">
        <v>424</v>
      </c>
      <c r="G1" s="417" t="s">
        <v>425</v>
      </c>
      <c r="H1" s="417" t="s">
        <v>426</v>
      </c>
      <c r="I1" s="417" t="s">
        <v>427</v>
      </c>
      <c r="J1" s="417" t="s">
        <v>428</v>
      </c>
      <c r="K1" s="417" t="s">
        <v>750</v>
      </c>
    </row>
    <row r="2" spans="1:12" ht="36" x14ac:dyDescent="0.2">
      <c r="A2" s="225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1665042</v>
      </c>
      <c r="D5" s="1586">
        <v>234574</v>
      </c>
      <c r="E5" s="1573">
        <v>543857</v>
      </c>
      <c r="F5" s="1631">
        <v>112986</v>
      </c>
      <c r="G5" s="1573">
        <v>90</v>
      </c>
      <c r="H5" s="1573">
        <v>0</v>
      </c>
      <c r="I5" s="1573">
        <v>20421</v>
      </c>
      <c r="J5" s="1574">
        <v>153734</v>
      </c>
      <c r="K5" s="1573">
        <v>7663</v>
      </c>
    </row>
    <row r="6" spans="1:12" ht="15" x14ac:dyDescent="0.2">
      <c r="A6" s="427" t="s">
        <v>1642</v>
      </c>
      <c r="B6" s="429">
        <v>1130</v>
      </c>
      <c r="C6" s="1573">
        <v>14417</v>
      </c>
      <c r="D6" s="1573">
        <v>0</v>
      </c>
      <c r="E6" s="1580"/>
      <c r="F6" s="1580"/>
      <c r="G6" s="1575"/>
      <c r="H6" s="1575"/>
      <c r="I6" s="1575"/>
      <c r="J6" s="1575"/>
      <c r="K6" s="1575"/>
    </row>
    <row r="7" spans="1:12" x14ac:dyDescent="0.2">
      <c r="A7" s="427" t="s">
        <v>110</v>
      </c>
      <c r="B7" s="471">
        <v>1140</v>
      </c>
      <c r="C7" s="1573">
        <v>16873</v>
      </c>
      <c r="D7" s="1573">
        <v>0</v>
      </c>
      <c r="E7" s="1575"/>
      <c r="F7" s="1574">
        <v>0</v>
      </c>
      <c r="G7" s="1574">
        <v>0</v>
      </c>
      <c r="H7" s="1574">
        <v>0</v>
      </c>
      <c r="I7" s="1575"/>
      <c r="J7" s="1575"/>
      <c r="K7" s="1575"/>
    </row>
    <row r="8" spans="1:12" x14ac:dyDescent="0.2">
      <c r="A8" s="427" t="s">
        <v>409</v>
      </c>
      <c r="B8" s="429">
        <v>1150</v>
      </c>
      <c r="C8" s="1580"/>
      <c r="D8" s="1580"/>
      <c r="E8" s="1582"/>
      <c r="F8" s="1582"/>
      <c r="G8" s="1586">
        <v>48591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410</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1696332</v>
      </c>
      <c r="D12" s="1633">
        <f t="shared" si="0"/>
        <v>234574</v>
      </c>
      <c r="E12" s="1633">
        <f t="shared" si="0"/>
        <v>543857</v>
      </c>
      <c r="F12" s="1633">
        <f t="shared" si="0"/>
        <v>112986</v>
      </c>
      <c r="G12" s="1633">
        <f t="shared" si="0"/>
        <v>48681</v>
      </c>
      <c r="H12" s="1633">
        <f t="shared" si="0"/>
        <v>0</v>
      </c>
      <c r="I12" s="1633">
        <f t="shared" si="0"/>
        <v>20421</v>
      </c>
      <c r="J12" s="1633">
        <f t="shared" si="0"/>
        <v>153734</v>
      </c>
      <c r="K12" s="1594">
        <f t="shared" si="0"/>
        <v>7663</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189</v>
      </c>
      <c r="D14" s="1573">
        <v>26</v>
      </c>
      <c r="E14" s="1573">
        <v>60</v>
      </c>
      <c r="F14" s="1573">
        <v>12</v>
      </c>
      <c r="G14" s="1573">
        <v>5</v>
      </c>
      <c r="H14" s="1573">
        <v>0</v>
      </c>
      <c r="I14" s="1573">
        <v>2</v>
      </c>
      <c r="J14" s="1574">
        <v>17</v>
      </c>
      <c r="K14" s="1573">
        <v>1</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1643</v>
      </c>
      <c r="B16" s="471">
        <v>1230</v>
      </c>
      <c r="C16" s="1632">
        <v>60637</v>
      </c>
      <c r="D16" s="1573">
        <v>0</v>
      </c>
      <c r="E16" s="1573">
        <v>0</v>
      </c>
      <c r="F16" s="1573">
        <v>0</v>
      </c>
      <c r="G16" s="1573">
        <v>10000</v>
      </c>
      <c r="H16" s="1573">
        <v>0</v>
      </c>
      <c r="I16" s="1573">
        <v>0</v>
      </c>
      <c r="J16" s="1574">
        <v>0</v>
      </c>
      <c r="K16" s="1573">
        <v>0</v>
      </c>
    </row>
    <row r="17" spans="1:11" ht="12.75" customHeight="1" x14ac:dyDescent="0.2">
      <c r="A17" s="427" t="s">
        <v>801</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533</v>
      </c>
      <c r="B18" s="1407"/>
      <c r="C18" s="1635">
        <f>SUM(C14:C17)</f>
        <v>60826</v>
      </c>
      <c r="D18" s="1635">
        <f t="shared" ref="D18:K18" si="1">SUM(D14:D17)</f>
        <v>26</v>
      </c>
      <c r="E18" s="1635">
        <f t="shared" si="1"/>
        <v>60</v>
      </c>
      <c r="F18" s="1635">
        <f t="shared" si="1"/>
        <v>12</v>
      </c>
      <c r="G18" s="1635">
        <f t="shared" si="1"/>
        <v>10005</v>
      </c>
      <c r="H18" s="1635">
        <f t="shared" si="1"/>
        <v>0</v>
      </c>
      <c r="I18" s="1635">
        <f t="shared" si="1"/>
        <v>2</v>
      </c>
      <c r="J18" s="1635">
        <f t="shared" si="1"/>
        <v>17</v>
      </c>
      <c r="K18" s="1636">
        <f t="shared" si="1"/>
        <v>1</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v>0</v>
      </c>
      <c r="D20" s="1575"/>
      <c r="E20" s="1575"/>
      <c r="F20" s="1575"/>
      <c r="G20" s="1575"/>
      <c r="H20" s="1575"/>
      <c r="I20" s="1575"/>
      <c r="J20" s="1575"/>
      <c r="K20" s="1575"/>
    </row>
    <row r="21" spans="1:11" ht="12.75" customHeight="1" x14ac:dyDescent="0.2">
      <c r="A21" s="427" t="s">
        <v>826</v>
      </c>
      <c r="B21" s="429">
        <v>1312</v>
      </c>
      <c r="C21" s="1632">
        <v>0</v>
      </c>
      <c r="D21" s="1575"/>
      <c r="E21" s="1575"/>
      <c r="F21" s="1575"/>
      <c r="G21" s="1575"/>
      <c r="H21" s="1575"/>
      <c r="I21" s="1575"/>
      <c r="J21" s="1575"/>
      <c r="K21" s="1575"/>
    </row>
    <row r="22" spans="1:11" ht="12.75" customHeight="1" x14ac:dyDescent="0.2">
      <c r="A22" s="427" t="s">
        <v>1064</v>
      </c>
      <c r="B22" s="429">
        <v>1313</v>
      </c>
      <c r="C22" s="1632">
        <v>0</v>
      </c>
      <c r="D22" s="1575"/>
      <c r="E22" s="1575"/>
      <c r="F22" s="1575"/>
      <c r="G22" s="1575"/>
      <c r="H22" s="1575"/>
      <c r="I22" s="1575"/>
      <c r="J22" s="1575"/>
      <c r="K22" s="1575"/>
    </row>
    <row r="23" spans="1:11" ht="12.75" customHeight="1" x14ac:dyDescent="0.2">
      <c r="A23" s="427" t="s">
        <v>1065</v>
      </c>
      <c r="B23" s="429">
        <v>1314</v>
      </c>
      <c r="C23" s="1598">
        <v>0</v>
      </c>
      <c r="D23" s="1575"/>
      <c r="E23" s="1575"/>
      <c r="F23" s="1575"/>
      <c r="G23" s="1575"/>
      <c r="H23" s="1575"/>
      <c r="I23" s="1575"/>
      <c r="J23" s="1575"/>
      <c r="K23" s="1575"/>
    </row>
    <row r="24" spans="1:11" ht="12.75" customHeight="1" x14ac:dyDescent="0.2">
      <c r="A24" s="427" t="s">
        <v>1019</v>
      </c>
      <c r="B24" s="429">
        <v>1321</v>
      </c>
      <c r="C24" s="1632">
        <v>0</v>
      </c>
      <c r="D24" s="1575"/>
      <c r="E24" s="1575"/>
      <c r="F24" s="1575"/>
      <c r="G24" s="1575"/>
      <c r="H24" s="1575"/>
      <c r="I24" s="1575"/>
      <c r="J24" s="1575"/>
      <c r="K24" s="1575"/>
    </row>
    <row r="25" spans="1:11" ht="12.75" customHeight="1" x14ac:dyDescent="0.2">
      <c r="A25" s="427" t="s">
        <v>827</v>
      </c>
      <c r="B25" s="429">
        <v>1322</v>
      </c>
      <c r="C25" s="1632">
        <v>0</v>
      </c>
      <c r="D25" s="1575"/>
      <c r="E25" s="1575"/>
      <c r="F25" s="1575"/>
      <c r="G25" s="1575"/>
      <c r="H25" s="1575"/>
      <c r="I25" s="1575"/>
      <c r="J25" s="1575"/>
      <c r="K25" s="1575"/>
    </row>
    <row r="26" spans="1:11" ht="12.75" customHeight="1" x14ac:dyDescent="0.2">
      <c r="A26" s="427" t="s">
        <v>1091</v>
      </c>
      <c r="B26" s="429">
        <v>1323</v>
      </c>
      <c r="C26" s="1632">
        <v>0</v>
      </c>
      <c r="D26" s="1575"/>
      <c r="E26" s="1575"/>
      <c r="F26" s="1575"/>
      <c r="G26" s="1575"/>
      <c r="H26" s="1575"/>
      <c r="I26" s="1575"/>
      <c r="J26" s="1575"/>
      <c r="K26" s="1575"/>
    </row>
    <row r="27" spans="1:11" ht="12.75" customHeight="1" x14ac:dyDescent="0.2">
      <c r="A27" s="427" t="s">
        <v>1015</v>
      </c>
      <c r="B27" s="429">
        <v>1324</v>
      </c>
      <c r="C27" s="1598">
        <v>0</v>
      </c>
      <c r="D27" s="1575"/>
      <c r="E27" s="1575"/>
      <c r="F27" s="1575"/>
      <c r="G27" s="1575"/>
      <c r="H27" s="1575"/>
      <c r="I27" s="1575"/>
      <c r="J27" s="1575"/>
      <c r="K27" s="1575"/>
    </row>
    <row r="28" spans="1:11" ht="12.75" customHeight="1" x14ac:dyDescent="0.2">
      <c r="A28" s="427" t="s">
        <v>1016</v>
      </c>
      <c r="B28" s="429">
        <v>1331</v>
      </c>
      <c r="C28" s="1632">
        <v>0</v>
      </c>
      <c r="D28" s="1575"/>
      <c r="E28" s="1575"/>
      <c r="F28" s="1575"/>
      <c r="G28" s="1575"/>
      <c r="H28" s="1575"/>
      <c r="I28" s="1575"/>
      <c r="J28" s="1575"/>
      <c r="K28" s="1575"/>
    </row>
    <row r="29" spans="1:11" ht="12.75" customHeight="1" x14ac:dyDescent="0.2">
      <c r="A29" s="427" t="s">
        <v>828</v>
      </c>
      <c r="B29" s="429">
        <v>1332</v>
      </c>
      <c r="C29" s="1632">
        <v>0</v>
      </c>
      <c r="D29" s="1575"/>
      <c r="E29" s="1575"/>
      <c r="F29" s="1575"/>
      <c r="G29" s="1575"/>
      <c r="H29" s="1575"/>
      <c r="I29" s="1575"/>
      <c r="J29" s="1575"/>
      <c r="K29" s="1575"/>
    </row>
    <row r="30" spans="1:11" ht="12.75" customHeight="1" x14ac:dyDescent="0.2">
      <c r="A30" s="427" t="s">
        <v>1018</v>
      </c>
      <c r="B30" s="429">
        <v>1333</v>
      </c>
      <c r="C30" s="1632">
        <v>0</v>
      </c>
      <c r="D30" s="1575"/>
      <c r="E30" s="1575"/>
      <c r="F30" s="1575"/>
      <c r="G30" s="1575"/>
      <c r="H30" s="1575"/>
      <c r="I30" s="1575"/>
      <c r="J30" s="1575"/>
      <c r="K30" s="1575"/>
    </row>
    <row r="31" spans="1:11" ht="12.75" customHeight="1" x14ac:dyDescent="0.2">
      <c r="A31" s="427" t="s">
        <v>1017</v>
      </c>
      <c r="B31" s="429">
        <v>1334</v>
      </c>
      <c r="C31" s="1598">
        <v>0</v>
      </c>
      <c r="D31" s="1575"/>
      <c r="E31" s="1575"/>
      <c r="F31" s="1575"/>
      <c r="G31" s="1575"/>
      <c r="H31" s="1575"/>
      <c r="I31" s="1575"/>
      <c r="J31" s="1575"/>
      <c r="K31" s="1575"/>
    </row>
    <row r="32" spans="1:11" ht="12.75" customHeight="1" x14ac:dyDescent="0.2">
      <c r="A32" s="427" t="s">
        <v>490</v>
      </c>
      <c r="B32" s="429">
        <v>1341</v>
      </c>
      <c r="C32" s="1632">
        <v>0</v>
      </c>
      <c r="D32" s="1575"/>
      <c r="E32" s="1575"/>
      <c r="F32" s="1575"/>
      <c r="G32" s="1575"/>
      <c r="H32" s="1575"/>
      <c r="I32" s="1575"/>
      <c r="J32" s="1575"/>
      <c r="K32" s="1575"/>
    </row>
    <row r="33" spans="1:11" ht="12.75" customHeight="1" x14ac:dyDescent="0.2">
      <c r="A33" s="427" t="s">
        <v>829</v>
      </c>
      <c r="B33" s="429">
        <v>1342</v>
      </c>
      <c r="C33" s="1632">
        <v>0</v>
      </c>
      <c r="D33" s="1575"/>
      <c r="E33" s="1575"/>
      <c r="F33" s="1575"/>
      <c r="G33" s="1575"/>
      <c r="H33" s="1575"/>
      <c r="I33" s="1575"/>
      <c r="J33" s="1575"/>
      <c r="K33" s="1575"/>
    </row>
    <row r="34" spans="1:11" ht="12.75" customHeight="1" x14ac:dyDescent="0.2">
      <c r="A34" s="427" t="s">
        <v>491</v>
      </c>
      <c r="B34" s="429">
        <v>1343</v>
      </c>
      <c r="C34" s="1632">
        <v>0</v>
      </c>
      <c r="D34" s="1575"/>
      <c r="E34" s="1575"/>
      <c r="F34" s="1575"/>
      <c r="G34" s="1575"/>
      <c r="H34" s="1575"/>
      <c r="I34" s="1575"/>
      <c r="J34" s="1575"/>
      <c r="K34" s="1575"/>
    </row>
    <row r="35" spans="1:11" ht="12.75" customHeight="1" x14ac:dyDescent="0.2">
      <c r="A35" s="427" t="s">
        <v>489</v>
      </c>
      <c r="B35" s="429">
        <v>1344</v>
      </c>
      <c r="C35" s="1598">
        <v>0</v>
      </c>
      <c r="D35" s="1575"/>
      <c r="E35" s="1575"/>
      <c r="F35" s="1575"/>
      <c r="G35" s="1575"/>
      <c r="H35" s="1575"/>
      <c r="I35" s="1575"/>
      <c r="J35" s="1575"/>
      <c r="K35" s="1575"/>
    </row>
    <row r="36" spans="1:11" ht="12.75" customHeight="1" x14ac:dyDescent="0.2">
      <c r="A36" s="427" t="s">
        <v>825</v>
      </c>
      <c r="B36" s="429">
        <v>1351</v>
      </c>
      <c r="C36" s="1632">
        <v>0</v>
      </c>
      <c r="D36" s="1575"/>
      <c r="E36" s="1575"/>
      <c r="F36" s="1575"/>
      <c r="G36" s="1575"/>
      <c r="H36" s="1575"/>
      <c r="I36" s="1575"/>
      <c r="J36" s="1575"/>
      <c r="K36" s="1575"/>
    </row>
    <row r="37" spans="1:11" ht="12.75" customHeight="1" x14ac:dyDescent="0.2">
      <c r="A37" s="427" t="s">
        <v>830</v>
      </c>
      <c r="B37" s="429">
        <v>1352</v>
      </c>
      <c r="C37" s="1632">
        <v>0</v>
      </c>
      <c r="D37" s="1575"/>
      <c r="E37" s="1575"/>
      <c r="F37" s="1575"/>
      <c r="G37" s="1575"/>
      <c r="H37" s="1575"/>
      <c r="I37" s="1575"/>
      <c r="J37" s="1575"/>
      <c r="K37" s="1575"/>
    </row>
    <row r="38" spans="1:11" ht="12.75" customHeight="1" x14ac:dyDescent="0.2">
      <c r="A38" s="427" t="s">
        <v>588</v>
      </c>
      <c r="B38" s="429">
        <v>1353</v>
      </c>
      <c r="C38" s="1632">
        <v>0</v>
      </c>
      <c r="D38" s="1575"/>
      <c r="E38" s="1575"/>
      <c r="F38" s="1575"/>
      <c r="G38" s="1575"/>
      <c r="H38" s="1575"/>
      <c r="I38" s="1575"/>
      <c r="J38" s="1575"/>
      <c r="K38" s="1575"/>
    </row>
    <row r="39" spans="1:11" ht="12.75" customHeight="1" x14ac:dyDescent="0.2">
      <c r="A39" s="1265" t="s">
        <v>589</v>
      </c>
      <c r="B39" s="474">
        <v>1354</v>
      </c>
      <c r="C39" s="1598">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1163</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1096</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1097</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1098</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8822</v>
      </c>
      <c r="D65" s="1573">
        <v>519</v>
      </c>
      <c r="E65" s="1573">
        <v>933</v>
      </c>
      <c r="F65" s="1574">
        <v>352</v>
      </c>
      <c r="G65" s="1573">
        <v>618</v>
      </c>
      <c r="H65" s="1573">
        <v>591</v>
      </c>
      <c r="I65" s="1573">
        <v>2291</v>
      </c>
      <c r="J65" s="1574">
        <v>566</v>
      </c>
      <c r="K65" s="1573">
        <v>142</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8822</v>
      </c>
      <c r="D67" s="1594">
        <f t="shared" ref="D67:K67" si="2">SUM(D65:D66)</f>
        <v>519</v>
      </c>
      <c r="E67" s="1594">
        <f t="shared" si="2"/>
        <v>933</v>
      </c>
      <c r="F67" s="1594">
        <f t="shared" si="2"/>
        <v>352</v>
      </c>
      <c r="G67" s="1594">
        <f t="shared" si="2"/>
        <v>618</v>
      </c>
      <c r="H67" s="1594">
        <f t="shared" si="2"/>
        <v>591</v>
      </c>
      <c r="I67" s="1594">
        <f t="shared" si="2"/>
        <v>2291</v>
      </c>
      <c r="J67" s="1594">
        <f t="shared" si="2"/>
        <v>566</v>
      </c>
      <c r="K67" s="1594">
        <f t="shared" si="2"/>
        <v>142</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12373</v>
      </c>
      <c r="D69" s="1575"/>
      <c r="E69" s="1575"/>
      <c r="F69" s="1575"/>
      <c r="G69" s="1575"/>
      <c r="H69" s="1575"/>
      <c r="I69" s="1575"/>
      <c r="J69" s="1575"/>
      <c r="K69" s="1575"/>
    </row>
    <row r="70" spans="1:11" ht="12.75" customHeight="1" x14ac:dyDescent="0.2">
      <c r="A70" s="427" t="s">
        <v>989</v>
      </c>
      <c r="B70" s="429">
        <v>1612</v>
      </c>
      <c r="C70" s="1632">
        <v>0</v>
      </c>
      <c r="D70" s="1575"/>
      <c r="E70" s="1575"/>
      <c r="F70" s="1575"/>
      <c r="G70" s="1575"/>
      <c r="H70" s="1575"/>
      <c r="I70" s="1575"/>
      <c r="J70" s="1575"/>
      <c r="K70" s="1575"/>
    </row>
    <row r="71" spans="1:11" ht="12.75" customHeight="1" x14ac:dyDescent="0.2">
      <c r="A71" s="427" t="s">
        <v>270</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990</v>
      </c>
      <c r="B73" s="429">
        <v>1620</v>
      </c>
      <c r="C73" s="1632">
        <v>2835</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543</v>
      </c>
      <c r="B75" s="1407"/>
      <c r="C75" s="1594">
        <f>SUM(C69:C74)</f>
        <v>15208</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3490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545</v>
      </c>
      <c r="B79" s="429">
        <v>1720</v>
      </c>
      <c r="C79" s="1632">
        <v>0</v>
      </c>
      <c r="D79" s="1573">
        <v>0</v>
      </c>
      <c r="E79" s="1575"/>
      <c r="F79" s="1575"/>
      <c r="G79" s="1575"/>
      <c r="H79" s="1575"/>
      <c r="I79" s="1575"/>
      <c r="J79" s="1575"/>
      <c r="K79" s="1575"/>
    </row>
    <row r="80" spans="1:11" ht="12.75" customHeight="1" x14ac:dyDescent="0.2">
      <c r="A80" s="427" t="s">
        <v>546</v>
      </c>
      <c r="B80" s="429">
        <v>1730</v>
      </c>
      <c r="C80" s="1632">
        <v>0</v>
      </c>
      <c r="D80" s="1573">
        <v>0</v>
      </c>
      <c r="E80" s="1575"/>
      <c r="F80" s="1575"/>
      <c r="G80" s="1575"/>
      <c r="H80" s="1575"/>
      <c r="I80" s="1575"/>
      <c r="J80" s="1575"/>
      <c r="K80" s="1575"/>
    </row>
    <row r="81" spans="1:11" ht="12.75" customHeight="1" x14ac:dyDescent="0.2">
      <c r="A81" s="427" t="s">
        <v>26</v>
      </c>
      <c r="B81" s="429">
        <v>1790</v>
      </c>
      <c r="C81" s="1632">
        <v>157</v>
      </c>
      <c r="D81" s="1573">
        <v>0</v>
      </c>
      <c r="E81" s="1575"/>
      <c r="F81" s="1575"/>
      <c r="G81" s="1575"/>
      <c r="H81" s="1575"/>
      <c r="I81" s="1575"/>
      <c r="J81" s="1575"/>
      <c r="K81" s="1575"/>
    </row>
    <row r="82" spans="1:11" ht="12.75" customHeight="1" thickBot="1" x14ac:dyDescent="0.25">
      <c r="A82" s="1406" t="s">
        <v>239</v>
      </c>
      <c r="B82" s="1407"/>
      <c r="C82" s="1633">
        <f>SUM(C77:C81)</f>
        <v>3647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4760</v>
      </c>
      <c r="D84" s="1575"/>
      <c r="E84" s="1575"/>
      <c r="F84" s="1575"/>
      <c r="G84" s="1575"/>
      <c r="H84" s="1575"/>
      <c r="I84" s="1575"/>
      <c r="J84" s="1575"/>
      <c r="K84" s="1575"/>
    </row>
    <row r="85" spans="1:11" ht="12.75" customHeight="1" x14ac:dyDescent="0.2">
      <c r="A85" s="427" t="s">
        <v>548</v>
      </c>
      <c r="B85" s="429">
        <v>1812</v>
      </c>
      <c r="C85" s="1632">
        <v>0</v>
      </c>
      <c r="D85" s="1575"/>
      <c r="E85" s="1575"/>
      <c r="F85" s="1575"/>
      <c r="G85" s="1575"/>
      <c r="H85" s="1575"/>
      <c r="I85" s="1575"/>
      <c r="J85" s="1575"/>
      <c r="K85" s="1575"/>
    </row>
    <row r="86" spans="1:11" ht="12.75" customHeight="1" x14ac:dyDescent="0.2">
      <c r="A86" s="427" t="s">
        <v>991</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549</v>
      </c>
      <c r="B88" s="429">
        <v>1821</v>
      </c>
      <c r="C88" s="1632">
        <v>0</v>
      </c>
      <c r="D88" s="1575"/>
      <c r="E88" s="1575"/>
      <c r="F88" s="1575"/>
      <c r="G88" s="1575"/>
      <c r="H88" s="1575"/>
      <c r="I88" s="1575"/>
      <c r="J88" s="1575"/>
      <c r="K88" s="1575"/>
    </row>
    <row r="89" spans="1:11" ht="12.75" customHeight="1" x14ac:dyDescent="0.2">
      <c r="A89" s="427" t="s">
        <v>708</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756</v>
      </c>
      <c r="B92" s="429">
        <v>1890</v>
      </c>
      <c r="C92" s="1632">
        <v>50</v>
      </c>
      <c r="D92" s="1575"/>
      <c r="E92" s="1575"/>
      <c r="F92" s="1575"/>
      <c r="G92" s="1575"/>
      <c r="H92" s="1575"/>
      <c r="I92" s="1575"/>
      <c r="J92" s="1575"/>
      <c r="K92" s="1575"/>
    </row>
    <row r="93" spans="1:11" ht="12.75" customHeight="1" thickBot="1" x14ac:dyDescent="0.25">
      <c r="A93" s="1406" t="s">
        <v>241</v>
      </c>
      <c r="B93" s="1407"/>
      <c r="C93" s="1594">
        <f>SUM(C84:C92)</f>
        <v>4810</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v>668</v>
      </c>
      <c r="D95" s="1632">
        <v>0</v>
      </c>
      <c r="E95" s="1617"/>
      <c r="F95" s="1617"/>
      <c r="G95" s="1617"/>
      <c r="H95" s="1617"/>
      <c r="I95" s="1617"/>
      <c r="J95" s="1617"/>
      <c r="K95" s="1617"/>
    </row>
    <row r="96" spans="1:11" ht="12.75" customHeight="1" x14ac:dyDescent="0.2">
      <c r="A96" s="427" t="s">
        <v>387</v>
      </c>
      <c r="B96" s="429">
        <v>1920</v>
      </c>
      <c r="C96" s="1632">
        <v>809</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815</v>
      </c>
      <c r="B99" s="429">
        <v>1950</v>
      </c>
      <c r="C99" s="1598">
        <v>6297</v>
      </c>
      <c r="D99" s="1573">
        <v>1352</v>
      </c>
      <c r="E99" s="1573">
        <v>0</v>
      </c>
      <c r="F99" s="1573">
        <v>0</v>
      </c>
      <c r="G99" s="1573">
        <v>0</v>
      </c>
      <c r="H99" s="1573">
        <v>0</v>
      </c>
      <c r="I99" s="1575"/>
      <c r="J99" s="1574">
        <v>827</v>
      </c>
      <c r="K99" s="1573">
        <v>0</v>
      </c>
    </row>
    <row r="100" spans="1:12" ht="12.75" customHeight="1" x14ac:dyDescent="0.2">
      <c r="A100" s="427" t="s">
        <v>243</v>
      </c>
      <c r="B100" s="429">
        <v>1960</v>
      </c>
      <c r="C100" s="1598">
        <v>54174</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9000</v>
      </c>
      <c r="D102" s="1598">
        <v>0</v>
      </c>
      <c r="E102" s="1598">
        <v>0</v>
      </c>
      <c r="F102" s="1598">
        <v>0</v>
      </c>
      <c r="G102" s="1598">
        <v>0</v>
      </c>
      <c r="H102" s="1598">
        <v>0</v>
      </c>
      <c r="I102" s="1574">
        <v>0</v>
      </c>
      <c r="J102" s="1598">
        <v>0</v>
      </c>
      <c r="K102" s="1574">
        <v>0</v>
      </c>
    </row>
    <row r="103" spans="1:12" ht="12.75" customHeight="1" x14ac:dyDescent="0.2">
      <c r="A103" s="427" t="s">
        <v>341</v>
      </c>
      <c r="B103" s="429">
        <v>1983</v>
      </c>
      <c r="C103" s="1575"/>
      <c r="D103" s="1575"/>
      <c r="E103" s="1639">
        <v>0</v>
      </c>
      <c r="F103" s="1575"/>
      <c r="G103" s="1575"/>
      <c r="H103" s="1598">
        <v>88459</v>
      </c>
      <c r="I103" s="1575"/>
      <c r="J103" s="1610"/>
      <c r="K103" s="1610"/>
    </row>
    <row r="104" spans="1:12" ht="12.75" customHeight="1" x14ac:dyDescent="0.2">
      <c r="A104" s="427" t="s">
        <v>824</v>
      </c>
      <c r="B104" s="429">
        <v>1991</v>
      </c>
      <c r="C104" s="1598">
        <v>1679</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40"/>
      <c r="E105" s="1575"/>
      <c r="F105" s="1575"/>
      <c r="G105" s="1575"/>
      <c r="H105" s="1610"/>
      <c r="I105" s="1575"/>
      <c r="J105" s="1575"/>
      <c r="K105" s="1575"/>
    </row>
    <row r="106" spans="1:12" ht="12.75" customHeight="1" x14ac:dyDescent="0.2">
      <c r="A106" s="427" t="s">
        <v>1412</v>
      </c>
      <c r="B106" s="429">
        <v>1993</v>
      </c>
      <c r="C106" s="1573">
        <v>0</v>
      </c>
      <c r="D106" s="1598">
        <v>0</v>
      </c>
      <c r="E106" s="1574">
        <v>0</v>
      </c>
      <c r="F106" s="1574">
        <v>0</v>
      </c>
      <c r="G106" s="1574">
        <v>0</v>
      </c>
      <c r="H106" s="1574">
        <v>0</v>
      </c>
      <c r="I106" s="1617"/>
      <c r="J106" s="1574">
        <v>1556</v>
      </c>
      <c r="K106" s="1574">
        <v>0</v>
      </c>
    </row>
    <row r="107" spans="1:12" ht="12.75" customHeight="1" x14ac:dyDescent="0.2">
      <c r="A107" s="427" t="s">
        <v>78</v>
      </c>
      <c r="B107" s="429">
        <v>1999</v>
      </c>
      <c r="C107" s="1632">
        <v>20</v>
      </c>
      <c r="D107" s="1573">
        <v>7147</v>
      </c>
      <c r="E107" s="1573">
        <v>0</v>
      </c>
      <c r="F107" s="1573">
        <v>0</v>
      </c>
      <c r="G107" s="1573">
        <v>0</v>
      </c>
      <c r="H107" s="1573">
        <v>0</v>
      </c>
      <c r="I107" s="1573">
        <v>0</v>
      </c>
      <c r="J107" s="1574">
        <v>0</v>
      </c>
      <c r="K107" s="1573">
        <v>0</v>
      </c>
    </row>
    <row r="108" spans="1:12" ht="12.75" customHeight="1" thickBot="1" x14ac:dyDescent="0.25">
      <c r="A108" s="1406" t="s">
        <v>483</v>
      </c>
      <c r="B108" s="1408"/>
      <c r="C108" s="1633">
        <f>SUM(C95:C107)</f>
        <v>72647</v>
      </c>
      <c r="D108" s="1633">
        <f t="shared" ref="D108:K108" si="3">SUM(D95:D107)</f>
        <v>8499</v>
      </c>
      <c r="E108" s="1633">
        <f t="shared" si="3"/>
        <v>0</v>
      </c>
      <c r="F108" s="1633">
        <f t="shared" si="3"/>
        <v>0</v>
      </c>
      <c r="G108" s="1633">
        <f t="shared" si="3"/>
        <v>0</v>
      </c>
      <c r="H108" s="1633">
        <f t="shared" si="3"/>
        <v>88459</v>
      </c>
      <c r="I108" s="1633">
        <f t="shared" si="3"/>
        <v>0</v>
      </c>
      <c r="J108" s="1633">
        <f t="shared" si="3"/>
        <v>2383</v>
      </c>
      <c r="K108" s="1594">
        <f t="shared" si="3"/>
        <v>0</v>
      </c>
    </row>
    <row r="109" spans="1:12" ht="14.25" thickTop="1" thickBot="1" x14ac:dyDescent="0.25">
      <c r="A109" s="1409" t="s">
        <v>246</v>
      </c>
      <c r="B109" s="1410" t="s">
        <v>565</v>
      </c>
      <c r="C109" s="1641">
        <f t="shared" ref="C109:K109" si="4">SUM(C12,C18,C40,C63,C67,C75,C82,C93,C108,)</f>
        <v>1862292</v>
      </c>
      <c r="D109" s="1641">
        <f t="shared" si="4"/>
        <v>243618</v>
      </c>
      <c r="E109" s="1641">
        <f t="shared" si="4"/>
        <v>544850</v>
      </c>
      <c r="F109" s="1641">
        <f t="shared" si="4"/>
        <v>113350</v>
      </c>
      <c r="G109" s="1641">
        <f t="shared" si="4"/>
        <v>59304</v>
      </c>
      <c r="H109" s="1641">
        <f t="shared" si="4"/>
        <v>89050</v>
      </c>
      <c r="I109" s="1641">
        <f t="shared" si="4"/>
        <v>22714</v>
      </c>
      <c r="J109" s="1641">
        <f t="shared" si="4"/>
        <v>156700</v>
      </c>
      <c r="K109" s="1629">
        <f t="shared" si="4"/>
        <v>7806</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v>0</v>
      </c>
      <c r="D111" s="1586">
        <v>0</v>
      </c>
      <c r="E111" s="1640"/>
      <c r="F111" s="1586">
        <v>0</v>
      </c>
      <c r="G111" s="1586">
        <v>0</v>
      </c>
      <c r="H111" s="1640"/>
      <c r="I111" s="1575"/>
      <c r="J111" s="1575"/>
      <c r="K111" s="1575"/>
    </row>
    <row r="112" spans="1:12" ht="12.75" customHeight="1" x14ac:dyDescent="0.2">
      <c r="A112" s="427" t="s">
        <v>818</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238471</v>
      </c>
      <c r="D117" s="1586">
        <v>40000</v>
      </c>
      <c r="E117" s="1573">
        <v>0</v>
      </c>
      <c r="F117" s="1586">
        <v>5000</v>
      </c>
      <c r="G117" s="1586">
        <v>0</v>
      </c>
      <c r="H117" s="1573">
        <v>0</v>
      </c>
      <c r="I117" s="1575"/>
      <c r="J117" s="1574">
        <v>0</v>
      </c>
      <c r="K117" s="1573">
        <v>0</v>
      </c>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2">
        <v>0</v>
      </c>
      <c r="D120" s="1573">
        <v>0</v>
      </c>
      <c r="E120" s="1573">
        <v>0</v>
      </c>
      <c r="F120" s="1573">
        <v>0</v>
      </c>
      <c r="G120" s="1573">
        <v>0</v>
      </c>
      <c r="H120" s="1573">
        <v>0</v>
      </c>
      <c r="I120" s="1575"/>
      <c r="J120" s="1574">
        <v>0</v>
      </c>
      <c r="K120" s="1573">
        <v>0</v>
      </c>
    </row>
    <row r="121" spans="1:11" x14ac:dyDescent="0.2">
      <c r="A121" s="1266" t="s">
        <v>1777</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3">
        <f t="shared" ref="C122:H122" si="5">SUM(C117:C121)</f>
        <v>238471</v>
      </c>
      <c r="D122" s="1633">
        <f t="shared" si="5"/>
        <v>40000</v>
      </c>
      <c r="E122" s="1633">
        <f t="shared" si="5"/>
        <v>0</v>
      </c>
      <c r="F122" s="1633">
        <f t="shared" si="5"/>
        <v>5000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0</v>
      </c>
      <c r="D125" s="1640"/>
      <c r="E125" s="1575"/>
      <c r="F125" s="1631">
        <v>0</v>
      </c>
      <c r="G125" s="1575"/>
      <c r="H125" s="1575"/>
      <c r="I125" s="1575"/>
      <c r="J125" s="1575"/>
      <c r="K125" s="1575"/>
    </row>
    <row r="126" spans="1:11" ht="12.75" customHeight="1" x14ac:dyDescent="0.2">
      <c r="A126" s="427" t="s">
        <v>1428</v>
      </c>
      <c r="B126" s="478">
        <v>3105</v>
      </c>
      <c r="C126" s="1573">
        <v>0</v>
      </c>
      <c r="D126" s="1640"/>
      <c r="E126" s="1575"/>
      <c r="F126" s="1573">
        <v>0</v>
      </c>
      <c r="G126" s="1575"/>
      <c r="H126" s="1575"/>
      <c r="I126" s="1575"/>
      <c r="J126" s="1575"/>
      <c r="K126" s="1575"/>
    </row>
    <row r="127" spans="1:11" ht="12.75" customHeight="1" x14ac:dyDescent="0.2">
      <c r="A127" s="427" t="s">
        <v>861</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1429</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1024</v>
      </c>
      <c r="B132" s="1414"/>
      <c r="C132" s="1633">
        <f>SUM(C125:C131)</f>
        <v>0</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v>0</v>
      </c>
      <c r="D134" s="1573">
        <v>0</v>
      </c>
      <c r="E134" s="1640"/>
      <c r="F134" s="1575"/>
      <c r="G134" s="1573">
        <v>0</v>
      </c>
      <c r="H134" s="1575"/>
      <c r="I134" s="1575"/>
      <c r="J134" s="1575"/>
      <c r="K134" s="1575"/>
    </row>
    <row r="135" spans="1:11" ht="12.75" customHeight="1" x14ac:dyDescent="0.2">
      <c r="A135" s="427" t="s">
        <v>663</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595</v>
      </c>
      <c r="B137" s="478">
        <v>3235</v>
      </c>
      <c r="C137" s="1598">
        <v>0</v>
      </c>
      <c r="D137" s="1574">
        <v>0</v>
      </c>
      <c r="E137" s="1640"/>
      <c r="F137" s="1575"/>
      <c r="G137" s="1574">
        <v>0</v>
      </c>
      <c r="H137" s="1575"/>
      <c r="I137" s="1575"/>
      <c r="J137" s="1575"/>
      <c r="K137" s="1575"/>
    </row>
    <row r="138" spans="1:11" ht="12.75" customHeight="1" x14ac:dyDescent="0.2">
      <c r="A138" s="427" t="s">
        <v>596</v>
      </c>
      <c r="B138" s="478">
        <v>3240</v>
      </c>
      <c r="C138" s="1598">
        <v>0</v>
      </c>
      <c r="D138" s="1574">
        <v>0</v>
      </c>
      <c r="E138" s="1640"/>
      <c r="F138" s="1575"/>
      <c r="G138" s="1574">
        <v>0</v>
      </c>
      <c r="H138" s="1575"/>
      <c r="I138" s="1575"/>
      <c r="J138" s="1575"/>
      <c r="K138" s="1575"/>
    </row>
    <row r="139" spans="1:11" ht="12.75" customHeight="1" x14ac:dyDescent="0.2">
      <c r="A139" s="427" t="s">
        <v>597</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598</v>
      </c>
      <c r="B141" s="1414"/>
      <c r="C141" s="1633">
        <f>SUM(C134:C140)</f>
        <v>0</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v>0</v>
      </c>
      <c r="D143" s="1575"/>
      <c r="E143" s="1640"/>
      <c r="F143" s="1575"/>
      <c r="G143" s="1573">
        <v>0</v>
      </c>
      <c r="H143" s="1575"/>
      <c r="I143" s="1575"/>
      <c r="J143" s="1575"/>
      <c r="K143" s="1575"/>
    </row>
    <row r="144" spans="1:11" ht="12.75" customHeight="1" x14ac:dyDescent="0.2">
      <c r="A144" s="427" t="s">
        <v>343</v>
      </c>
      <c r="B144" s="478">
        <v>3310</v>
      </c>
      <c r="C144" s="1632">
        <v>0</v>
      </c>
      <c r="D144" s="1575"/>
      <c r="E144" s="1640"/>
      <c r="F144" s="1575"/>
      <c r="G144" s="1573">
        <v>0</v>
      </c>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281</v>
      </c>
      <c r="D146" s="1647"/>
      <c r="E146" s="1609"/>
      <c r="F146" s="1575"/>
      <c r="G146" s="1648"/>
      <c r="H146" s="1575"/>
      <c r="I146" s="1575"/>
      <c r="J146" s="1575"/>
      <c r="K146" s="1575"/>
    </row>
    <row r="147" spans="1:11" ht="12.75" customHeight="1" thickBot="1" x14ac:dyDescent="0.25">
      <c r="A147" s="1269" t="s">
        <v>915</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1762</v>
      </c>
      <c r="D148" s="1649">
        <v>0</v>
      </c>
      <c r="E148" s="1609"/>
      <c r="F148" s="1575"/>
      <c r="G148" s="1575"/>
      <c r="H148" s="1575"/>
      <c r="I148" s="1575"/>
      <c r="J148" s="1575"/>
      <c r="K148" s="1575"/>
    </row>
    <row r="149" spans="1:11" ht="12.75" customHeight="1" thickTop="1" thickBot="1" x14ac:dyDescent="0.25">
      <c r="A149" s="1270" t="s">
        <v>761</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v>0</v>
      </c>
      <c r="D152" s="1573">
        <v>0</v>
      </c>
      <c r="E152" s="1640"/>
      <c r="F152" s="1573">
        <v>56906</v>
      </c>
      <c r="G152" s="1574">
        <v>0</v>
      </c>
      <c r="H152" s="1575"/>
      <c r="I152" s="1575"/>
      <c r="J152" s="1575"/>
      <c r="K152" s="1575"/>
    </row>
    <row r="153" spans="1:11" ht="12.75" customHeight="1" x14ac:dyDescent="0.2">
      <c r="A153" s="427" t="s">
        <v>1047</v>
      </c>
      <c r="B153" s="478">
        <v>3510</v>
      </c>
      <c r="C153" s="1632">
        <v>0</v>
      </c>
      <c r="D153" s="1573">
        <v>0</v>
      </c>
      <c r="E153" s="1640"/>
      <c r="F153" s="1573">
        <v>34274</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91180</v>
      </c>
      <c r="G155" s="1633">
        <f>SUM(G152:G154)</f>
        <v>0</v>
      </c>
      <c r="H155" s="1575"/>
      <c r="I155" s="1575"/>
      <c r="J155" s="1575"/>
      <c r="K155" s="1575"/>
    </row>
    <row r="156" spans="1:11" ht="12.75" customHeight="1" thickTop="1" thickBot="1" x14ac:dyDescent="0.25">
      <c r="A156" s="1270" t="s">
        <v>376</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992</v>
      </c>
      <c r="B158" s="484">
        <v>3695</v>
      </c>
      <c r="C158" s="1651">
        <v>0</v>
      </c>
      <c r="D158" s="1575"/>
      <c r="E158" s="1640"/>
      <c r="F158" s="1651">
        <v>0</v>
      </c>
      <c r="G158" s="1651">
        <v>0</v>
      </c>
      <c r="H158" s="1575"/>
      <c r="I158" s="1575"/>
      <c r="J158" s="1575"/>
      <c r="K158" s="1575"/>
    </row>
    <row r="159" spans="1:11" ht="12.75" customHeight="1" thickTop="1" thickBot="1" x14ac:dyDescent="0.25">
      <c r="A159" s="1270" t="s">
        <v>1041</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1431</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852</v>
      </c>
      <c r="B164" s="484">
        <v>3815</v>
      </c>
      <c r="C164" s="1651">
        <v>0</v>
      </c>
      <c r="D164" s="1575"/>
      <c r="E164" s="1640"/>
      <c r="F164" s="1651">
        <v>0</v>
      </c>
      <c r="G164" s="1575"/>
      <c r="H164" s="1575"/>
      <c r="I164" s="1575"/>
      <c r="J164" s="1575"/>
      <c r="K164" s="1575"/>
    </row>
    <row r="165" spans="1:11" ht="12.75" customHeight="1" thickTop="1" thickBot="1" x14ac:dyDescent="0.25">
      <c r="A165" s="1270" t="s">
        <v>393</v>
      </c>
      <c r="B165" s="484">
        <v>3825</v>
      </c>
      <c r="C165" s="1651">
        <v>0</v>
      </c>
      <c r="D165" s="1575"/>
      <c r="E165" s="1640"/>
      <c r="F165" s="1651">
        <v>0</v>
      </c>
      <c r="G165" s="1575"/>
      <c r="H165" s="1575"/>
      <c r="I165" s="1575"/>
      <c r="J165" s="1575"/>
      <c r="K165" s="1575"/>
    </row>
    <row r="166" spans="1:11" ht="12.75" customHeight="1" thickTop="1" thickBot="1" x14ac:dyDescent="0.25">
      <c r="A166" s="1270" t="s">
        <v>344</v>
      </c>
      <c r="B166" s="484">
        <v>3920</v>
      </c>
      <c r="C166" s="1645"/>
      <c r="D166" s="1653">
        <v>0</v>
      </c>
      <c r="E166" s="1575"/>
      <c r="F166" s="1645"/>
      <c r="G166" s="1575"/>
      <c r="H166" s="1626">
        <v>0</v>
      </c>
      <c r="I166" s="1575"/>
      <c r="J166" s="1575"/>
      <c r="K166" s="1575"/>
    </row>
    <row r="167" spans="1:11" ht="12.75" customHeight="1" thickTop="1" thickBot="1" x14ac:dyDescent="0.25">
      <c r="A167" s="1270" t="s">
        <v>345</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71" t="s">
        <v>394</v>
      </c>
      <c r="B169" s="2272"/>
      <c r="C169" s="1658">
        <f t="shared" ref="C169:K169" si="6">SUM(C132,C141,C145,C146:C150,C155,C156:C167,C168)</f>
        <v>2793</v>
      </c>
      <c r="D169" s="1658">
        <f t="shared" si="6"/>
        <v>50000</v>
      </c>
      <c r="E169" s="1658">
        <f t="shared" si="6"/>
        <v>0</v>
      </c>
      <c r="F169" s="1658">
        <f t="shared" si="6"/>
        <v>91180</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241264</v>
      </c>
      <c r="D170" s="1641">
        <f t="shared" si="7"/>
        <v>90000</v>
      </c>
      <c r="E170" s="1641">
        <f t="shared" si="7"/>
        <v>0</v>
      </c>
      <c r="F170" s="1641">
        <f t="shared" si="7"/>
        <v>96180</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73" t="s">
        <v>1474</v>
      </c>
      <c r="B172" s="2274"/>
      <c r="C172" s="1616"/>
      <c r="D172" s="1616"/>
      <c r="E172" s="1609"/>
      <c r="F172" s="1575"/>
      <c r="G172" s="1575"/>
      <c r="H172" s="1575"/>
      <c r="I172" s="1575"/>
      <c r="J172" s="1575"/>
      <c r="K172" s="1575"/>
    </row>
    <row r="173" spans="1:11" ht="12.6" customHeight="1" x14ac:dyDescent="0.2">
      <c r="A173" s="436" t="s">
        <v>1034</v>
      </c>
      <c r="B173" s="435">
        <v>4001</v>
      </c>
      <c r="C173" s="1613">
        <v>0</v>
      </c>
      <c r="D173" s="1586">
        <v>0</v>
      </c>
      <c r="E173" s="1574">
        <v>0</v>
      </c>
      <c r="F173" s="1573">
        <v>0</v>
      </c>
      <c r="G173" s="1573">
        <v>0</v>
      </c>
      <c r="H173" s="1574">
        <v>0</v>
      </c>
      <c r="I173" s="1574"/>
      <c r="J173" s="1574">
        <v>0</v>
      </c>
      <c r="K173" s="1574">
        <v>0</v>
      </c>
    </row>
    <row r="174" spans="1:11" ht="22.5" x14ac:dyDescent="0.2">
      <c r="A174" s="479" t="s">
        <v>799</v>
      </c>
      <c r="B174" s="485">
        <v>4009</v>
      </c>
      <c r="C174" s="1632">
        <v>0</v>
      </c>
      <c r="D174" s="1573">
        <v>0</v>
      </c>
      <c r="E174" s="1574">
        <v>0</v>
      </c>
      <c r="F174" s="1573">
        <v>0</v>
      </c>
      <c r="G174" s="1573">
        <v>0</v>
      </c>
      <c r="H174" s="1574">
        <v>0</v>
      </c>
      <c r="I174" s="1574"/>
      <c r="J174" s="1574">
        <v>0</v>
      </c>
      <c r="K174" s="1574">
        <v>0</v>
      </c>
    </row>
    <row r="175" spans="1:11" ht="13.5" thickBot="1" x14ac:dyDescent="0.25">
      <c r="A175" s="2277" t="s">
        <v>1645</v>
      </c>
      <c r="B175" s="227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1" t="s">
        <v>1644</v>
      </c>
      <c r="B176" s="2282"/>
      <c r="C176" s="1659"/>
      <c r="D176" s="1660"/>
      <c r="E176" s="1661"/>
      <c r="F176" s="1662"/>
      <c r="G176" s="1662"/>
      <c r="H176" s="1662"/>
      <c r="I176" s="1662"/>
      <c r="J176" s="1662"/>
      <c r="K176" s="1662"/>
    </row>
    <row r="177" spans="1:11" ht="12.75" customHeight="1" x14ac:dyDescent="0.2">
      <c r="A177" s="427" t="s">
        <v>1035</v>
      </c>
      <c r="B177" s="429">
        <v>4045</v>
      </c>
      <c r="C177" s="1632">
        <v>0</v>
      </c>
      <c r="D177" s="1575"/>
      <c r="E177" s="1640"/>
      <c r="F177" s="1575"/>
      <c r="G177" s="1575"/>
      <c r="H177" s="1575"/>
      <c r="I177" s="1575"/>
      <c r="J177" s="1575"/>
      <c r="K177" s="1575"/>
    </row>
    <row r="178" spans="1:11" ht="12.75" customHeight="1" x14ac:dyDescent="0.2">
      <c r="A178" s="427" t="s">
        <v>1036</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780</v>
      </c>
      <c r="B180" s="485">
        <v>4090</v>
      </c>
      <c r="C180" s="1632">
        <v>12314</v>
      </c>
      <c r="D180" s="1573">
        <v>0</v>
      </c>
      <c r="E180" s="1575"/>
      <c r="F180" s="1573">
        <v>0</v>
      </c>
      <c r="G180" s="1573">
        <v>0</v>
      </c>
      <c r="H180" s="1573">
        <v>0</v>
      </c>
      <c r="I180" s="1575"/>
      <c r="J180" s="1575"/>
      <c r="K180" s="1573">
        <v>0</v>
      </c>
    </row>
    <row r="181" spans="1:11" ht="13.5" thickBot="1" x14ac:dyDescent="0.25">
      <c r="A181" s="2279" t="s">
        <v>779</v>
      </c>
      <c r="B181" s="2280"/>
      <c r="C181" s="1633">
        <f>SUM(C177:C180)</f>
        <v>12314</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5" t="s">
        <v>1779</v>
      </c>
      <c r="B182" s="2276"/>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v>0</v>
      </c>
      <c r="D184" s="1586">
        <v>0</v>
      </c>
      <c r="E184" s="1640"/>
      <c r="F184" s="1586">
        <v>0</v>
      </c>
      <c r="G184" s="1586">
        <v>0</v>
      </c>
      <c r="H184" s="1575"/>
      <c r="I184" s="1575"/>
      <c r="J184" s="1575"/>
      <c r="K184" s="1575"/>
    </row>
    <row r="185" spans="1:11" ht="12.75" customHeight="1" x14ac:dyDescent="0.2">
      <c r="A185" s="427" t="s">
        <v>1586</v>
      </c>
      <c r="B185" s="429">
        <v>4105</v>
      </c>
      <c r="C185" s="1632">
        <v>0</v>
      </c>
      <c r="D185" s="1573">
        <v>0</v>
      </c>
      <c r="E185" s="1640"/>
      <c r="F185" s="1573">
        <v>0</v>
      </c>
      <c r="G185" s="1573">
        <v>0</v>
      </c>
      <c r="H185" s="1575"/>
      <c r="I185" s="1575"/>
      <c r="J185" s="1575"/>
      <c r="K185" s="1575"/>
    </row>
    <row r="186" spans="1:11" ht="12.75" customHeight="1" x14ac:dyDescent="0.2">
      <c r="A186" s="427" t="s">
        <v>1588</v>
      </c>
      <c r="B186" s="429">
        <v>4107</v>
      </c>
      <c r="C186" s="1632">
        <v>0</v>
      </c>
      <c r="D186" s="1573">
        <v>0</v>
      </c>
      <c r="E186" s="1640"/>
      <c r="F186" s="1573">
        <v>0</v>
      </c>
      <c r="G186" s="1573">
        <v>0</v>
      </c>
      <c r="H186" s="1575"/>
      <c r="I186" s="1575"/>
      <c r="J186" s="1575"/>
      <c r="K186" s="1575"/>
    </row>
    <row r="187" spans="1:11" ht="12.75" customHeight="1" x14ac:dyDescent="0.2">
      <c r="A187" s="427" t="s">
        <v>1587</v>
      </c>
      <c r="B187" s="429">
        <v>4199</v>
      </c>
      <c r="C187" s="1632">
        <v>0</v>
      </c>
      <c r="D187" s="1573">
        <v>0</v>
      </c>
      <c r="E187" s="1640"/>
      <c r="F187" s="1573">
        <v>0</v>
      </c>
      <c r="G187" s="1573">
        <v>0</v>
      </c>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v>0</v>
      </c>
      <c r="D190" s="1575"/>
      <c r="E190" s="1640"/>
      <c r="F190" s="1634"/>
      <c r="G190" s="1664">
        <v>0</v>
      </c>
      <c r="H190" s="1575"/>
      <c r="I190" s="1575"/>
      <c r="J190" s="1575"/>
      <c r="K190" s="1575"/>
    </row>
    <row r="191" spans="1:11" ht="12.75" customHeight="1" x14ac:dyDescent="0.2">
      <c r="A191" s="427" t="s">
        <v>1048</v>
      </c>
      <c r="B191" s="429">
        <v>4210</v>
      </c>
      <c r="C191" s="1573">
        <v>22992</v>
      </c>
      <c r="D191" s="1575"/>
      <c r="E191" s="1640"/>
      <c r="F191" s="1575"/>
      <c r="G191" s="1664">
        <v>0</v>
      </c>
      <c r="H191" s="1575"/>
      <c r="I191" s="1575"/>
      <c r="J191" s="1575"/>
      <c r="K191" s="1575"/>
    </row>
    <row r="192" spans="1:11" ht="12.75" customHeight="1" x14ac:dyDescent="0.2">
      <c r="A192" s="427" t="s">
        <v>1037</v>
      </c>
      <c r="B192" s="429">
        <v>4215</v>
      </c>
      <c r="C192" s="1632">
        <v>0</v>
      </c>
      <c r="D192" s="1575"/>
      <c r="E192" s="1640"/>
      <c r="F192" s="1575"/>
      <c r="G192" s="1664">
        <v>0</v>
      </c>
      <c r="H192" s="1575"/>
      <c r="I192" s="1575"/>
      <c r="J192" s="1575"/>
      <c r="K192" s="1575"/>
    </row>
    <row r="193" spans="1:11" ht="12.75" customHeight="1" x14ac:dyDescent="0.2">
      <c r="A193" s="427" t="s">
        <v>1049</v>
      </c>
      <c r="B193" s="429">
        <v>4220</v>
      </c>
      <c r="C193" s="1632">
        <v>0</v>
      </c>
      <c r="D193" s="1575"/>
      <c r="E193" s="1640"/>
      <c r="F193" s="1575"/>
      <c r="G193" s="1664">
        <v>0</v>
      </c>
      <c r="H193" s="1575"/>
      <c r="I193" s="1575"/>
      <c r="J193" s="1575"/>
      <c r="K193" s="1575"/>
    </row>
    <row r="194" spans="1:11" ht="12.75" customHeight="1" x14ac:dyDescent="0.2">
      <c r="A194" s="427" t="s">
        <v>1433</v>
      </c>
      <c r="B194" s="429">
        <v>4225</v>
      </c>
      <c r="C194" s="1632">
        <v>5913</v>
      </c>
      <c r="D194" s="1575"/>
      <c r="E194" s="1640"/>
      <c r="F194" s="1575"/>
      <c r="G194" s="1664">
        <v>0</v>
      </c>
      <c r="H194" s="1575"/>
      <c r="I194" s="1575"/>
      <c r="J194" s="1575"/>
      <c r="K194" s="1575"/>
    </row>
    <row r="195" spans="1:11" ht="12.75" customHeight="1" x14ac:dyDescent="0.2">
      <c r="A195" s="427" t="s">
        <v>1434</v>
      </c>
      <c r="B195" s="429">
        <v>4226</v>
      </c>
      <c r="C195" s="1632">
        <v>0</v>
      </c>
      <c r="D195" s="1575"/>
      <c r="E195" s="1640"/>
      <c r="F195" s="1575"/>
      <c r="G195" s="1664">
        <v>0</v>
      </c>
      <c r="H195" s="1575"/>
      <c r="I195" s="1575"/>
      <c r="J195" s="1575"/>
      <c r="K195" s="1575"/>
    </row>
    <row r="196" spans="1:11" ht="12.75" customHeight="1" x14ac:dyDescent="0.2">
      <c r="A196" s="427" t="s">
        <v>786</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543</v>
      </c>
      <c r="B198" s="1407"/>
      <c r="C198" s="1594">
        <f>SUM(C190:C197)</f>
        <v>28905</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50174</v>
      </c>
      <c r="D200" s="1573">
        <v>0</v>
      </c>
      <c r="E200" s="1575"/>
      <c r="F200" s="1573">
        <v>0</v>
      </c>
      <c r="G200" s="1573">
        <v>0</v>
      </c>
      <c r="H200" s="1575"/>
      <c r="I200" s="1575"/>
      <c r="J200" s="1575"/>
      <c r="K200" s="1575"/>
    </row>
    <row r="201" spans="1:11" ht="12.75" customHeight="1" x14ac:dyDescent="0.2">
      <c r="A201" s="427" t="s">
        <v>912</v>
      </c>
      <c r="B201" s="429">
        <v>4305</v>
      </c>
      <c r="C201" s="1632">
        <v>0</v>
      </c>
      <c r="D201" s="1573">
        <v>0</v>
      </c>
      <c r="E201" s="1575"/>
      <c r="F201" s="1573">
        <v>0</v>
      </c>
      <c r="G201" s="1573">
        <v>0</v>
      </c>
      <c r="H201" s="1575"/>
      <c r="I201" s="1575"/>
      <c r="J201" s="1575"/>
      <c r="K201" s="1575"/>
    </row>
    <row r="202" spans="1:11" ht="12.75" customHeight="1" x14ac:dyDescent="0.2">
      <c r="A202" s="427" t="s">
        <v>1023</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4275</v>
      </c>
      <c r="D203" s="1573">
        <v>0</v>
      </c>
      <c r="E203" s="1575"/>
      <c r="F203" s="1573">
        <v>0</v>
      </c>
      <c r="G203" s="1573">
        <v>0</v>
      </c>
      <c r="H203" s="1575"/>
      <c r="I203" s="1575"/>
      <c r="J203" s="1575"/>
      <c r="K203" s="1575"/>
    </row>
    <row r="204" spans="1:11" ht="12.75" customHeight="1" thickBot="1" x14ac:dyDescent="0.25">
      <c r="A204" s="1406" t="s">
        <v>396</v>
      </c>
      <c r="B204" s="1407"/>
      <c r="C204" s="1633">
        <f>SUM(C200:C203)</f>
        <v>54449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10000</v>
      </c>
      <c r="D206" s="1573">
        <v>0</v>
      </c>
      <c r="E206" s="1575"/>
      <c r="F206" s="1573">
        <v>0</v>
      </c>
      <c r="G206" s="1573">
        <v>0</v>
      </c>
      <c r="H206" s="1575"/>
      <c r="I206" s="1575"/>
      <c r="J206" s="1575"/>
      <c r="K206" s="1575"/>
    </row>
    <row r="207" spans="1:11" ht="12.75" customHeight="1" x14ac:dyDescent="0.2">
      <c r="A207" s="427" t="s">
        <v>1435</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882</v>
      </c>
      <c r="B209" s="1407"/>
      <c r="C209" s="1633">
        <f>SUM(C206:C208)</f>
        <v>10000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0</v>
      </c>
      <c r="D211" s="1573">
        <v>0</v>
      </c>
      <c r="E211" s="1575"/>
      <c r="F211" s="1573">
        <v>0</v>
      </c>
      <c r="G211" s="1573">
        <v>0</v>
      </c>
      <c r="H211" s="1575"/>
      <c r="I211" s="1575"/>
      <c r="J211" s="1575"/>
      <c r="K211" s="1575"/>
    </row>
    <row r="212" spans="1:11" ht="12.75" customHeight="1" x14ac:dyDescent="0.2">
      <c r="A212" s="427" t="s">
        <v>1043</v>
      </c>
      <c r="B212" s="429">
        <v>4605</v>
      </c>
      <c r="C212" s="1632">
        <v>0</v>
      </c>
      <c r="D212" s="1573">
        <v>0</v>
      </c>
      <c r="E212" s="1575"/>
      <c r="F212" s="1573">
        <v>0</v>
      </c>
      <c r="G212" s="1573">
        <v>0</v>
      </c>
      <c r="H212" s="1575"/>
      <c r="I212" s="1575"/>
      <c r="J212" s="1575"/>
      <c r="K212" s="1575"/>
    </row>
    <row r="213" spans="1:11" ht="12.75" customHeight="1" x14ac:dyDescent="0.2">
      <c r="A213" s="427" t="s">
        <v>1436</v>
      </c>
      <c r="B213" s="475">
        <v>4620</v>
      </c>
      <c r="C213" s="1632">
        <v>0</v>
      </c>
      <c r="D213" s="1573">
        <v>0</v>
      </c>
      <c r="E213" s="1575"/>
      <c r="F213" s="1573">
        <v>0</v>
      </c>
      <c r="G213" s="1573">
        <v>0</v>
      </c>
      <c r="H213" s="1575"/>
      <c r="I213" s="1575"/>
      <c r="J213" s="1575"/>
      <c r="K213" s="1575"/>
    </row>
    <row r="214" spans="1:11" ht="12.75" customHeight="1" x14ac:dyDescent="0.2">
      <c r="A214" s="427" t="s">
        <v>1044</v>
      </c>
      <c r="B214" s="429">
        <v>4625</v>
      </c>
      <c r="C214" s="1632">
        <v>0</v>
      </c>
      <c r="D214" s="1573">
        <v>0</v>
      </c>
      <c r="E214" s="1575"/>
      <c r="F214" s="1573">
        <v>0</v>
      </c>
      <c r="G214" s="1573">
        <v>0</v>
      </c>
      <c r="H214" s="1575"/>
      <c r="I214" s="1575"/>
      <c r="J214" s="1575"/>
      <c r="K214" s="1575"/>
    </row>
    <row r="215" spans="1:11" ht="12.75" customHeight="1" x14ac:dyDescent="0.2">
      <c r="A215" s="427" t="s">
        <v>1045</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443</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v>0</v>
      </c>
      <c r="D222" s="1651">
        <v>0</v>
      </c>
      <c r="E222" s="1575"/>
      <c r="F222" s="1575"/>
      <c r="G222" s="1651">
        <v>0</v>
      </c>
      <c r="H222" s="1575"/>
      <c r="I222" s="1575"/>
      <c r="J222" s="1575"/>
      <c r="K222" s="1575"/>
    </row>
    <row r="223" spans="1:11" ht="12.75" customHeight="1" thickTop="1" x14ac:dyDescent="0.2">
      <c r="A223" s="436" t="s">
        <v>346</v>
      </c>
      <c r="B223" s="435">
        <v>4850</v>
      </c>
      <c r="C223" s="1598">
        <v>0</v>
      </c>
      <c r="D223" s="1574">
        <v>0</v>
      </c>
      <c r="E223" s="1574"/>
      <c r="F223" s="1574">
        <v>0</v>
      </c>
      <c r="G223" s="1574">
        <v>0</v>
      </c>
      <c r="H223" s="1574">
        <v>0</v>
      </c>
      <c r="I223" s="1575"/>
      <c r="J223" s="1574"/>
      <c r="K223" s="1574"/>
    </row>
    <row r="224" spans="1:11" ht="12.75" customHeight="1" x14ac:dyDescent="0.2">
      <c r="A224" s="436" t="s">
        <v>347</v>
      </c>
      <c r="B224" s="435">
        <v>4851</v>
      </c>
      <c r="C224" s="1598">
        <v>0</v>
      </c>
      <c r="D224" s="1574">
        <v>0</v>
      </c>
      <c r="E224" s="1575"/>
      <c r="F224" s="1579">
        <v>0</v>
      </c>
      <c r="G224" s="1574">
        <v>0</v>
      </c>
      <c r="H224" s="1575"/>
      <c r="I224" s="1575"/>
      <c r="J224" s="1575"/>
      <c r="K224" s="1575"/>
    </row>
    <row r="225" spans="1:11" ht="12.75" customHeight="1" x14ac:dyDescent="0.2">
      <c r="A225" s="436" t="s">
        <v>348</v>
      </c>
      <c r="B225" s="435">
        <v>4852</v>
      </c>
      <c r="C225" s="1598">
        <v>0</v>
      </c>
      <c r="D225" s="1574">
        <v>0</v>
      </c>
      <c r="E225" s="1574"/>
      <c r="F225" s="1574">
        <v>0</v>
      </c>
      <c r="G225" s="1574">
        <v>0</v>
      </c>
      <c r="H225" s="1574">
        <v>0</v>
      </c>
      <c r="I225" s="1575"/>
      <c r="J225" s="1574"/>
      <c r="K225" s="1574"/>
    </row>
    <row r="226" spans="1:11" ht="12.75" customHeight="1" x14ac:dyDescent="0.2">
      <c r="A226" s="436" t="s">
        <v>349</v>
      </c>
      <c r="B226" s="435">
        <v>4853</v>
      </c>
      <c r="C226" s="1598">
        <v>0</v>
      </c>
      <c r="D226" s="1574">
        <v>0</v>
      </c>
      <c r="E226" s="1574"/>
      <c r="F226" s="1574">
        <v>0</v>
      </c>
      <c r="G226" s="1574">
        <v>0</v>
      </c>
      <c r="H226" s="1574">
        <v>0</v>
      </c>
      <c r="I226" s="1575"/>
      <c r="J226" s="1574"/>
      <c r="K226" s="1574"/>
    </row>
    <row r="227" spans="1:11" ht="12.75" customHeight="1" x14ac:dyDescent="0.2">
      <c r="A227" s="436" t="s">
        <v>350</v>
      </c>
      <c r="B227" s="435">
        <v>4854</v>
      </c>
      <c r="C227" s="1598">
        <v>0</v>
      </c>
      <c r="D227" s="1574">
        <v>0</v>
      </c>
      <c r="E227" s="1574"/>
      <c r="F227" s="1574">
        <v>0</v>
      </c>
      <c r="G227" s="1574">
        <v>0</v>
      </c>
      <c r="H227" s="1574">
        <v>0</v>
      </c>
      <c r="I227" s="1575"/>
      <c r="J227" s="1574"/>
      <c r="K227" s="1574"/>
    </row>
    <row r="228" spans="1:11" ht="12.75" customHeight="1" x14ac:dyDescent="0.2">
      <c r="A228" s="436" t="s">
        <v>460</v>
      </c>
      <c r="B228" s="435">
        <v>4855</v>
      </c>
      <c r="C228" s="1598">
        <v>0</v>
      </c>
      <c r="D228" s="1574">
        <v>0</v>
      </c>
      <c r="E228" s="1574"/>
      <c r="F228" s="1574">
        <v>0</v>
      </c>
      <c r="G228" s="1574">
        <v>0</v>
      </c>
      <c r="H228" s="1574">
        <v>0</v>
      </c>
      <c r="I228" s="1575"/>
      <c r="J228" s="1574"/>
      <c r="K228" s="1574"/>
    </row>
    <row r="229" spans="1:11" ht="12.75" customHeight="1" x14ac:dyDescent="0.2">
      <c r="A229" s="436" t="s">
        <v>351</v>
      </c>
      <c r="B229" s="435">
        <v>4856</v>
      </c>
      <c r="C229" s="1598">
        <v>0</v>
      </c>
      <c r="D229" s="1574">
        <v>0</v>
      </c>
      <c r="E229" s="1574"/>
      <c r="F229" s="1574">
        <v>0</v>
      </c>
      <c r="G229" s="1574">
        <v>0</v>
      </c>
      <c r="H229" s="1574">
        <v>0</v>
      </c>
      <c r="I229" s="1575"/>
      <c r="J229" s="1574"/>
      <c r="K229" s="1574"/>
    </row>
    <row r="230" spans="1:11" ht="12.75" customHeight="1" x14ac:dyDescent="0.2">
      <c r="A230" s="436" t="s">
        <v>352</v>
      </c>
      <c r="B230" s="435">
        <v>4857</v>
      </c>
      <c r="C230" s="1598">
        <v>0</v>
      </c>
      <c r="D230" s="1574">
        <v>0</v>
      </c>
      <c r="E230" s="1574"/>
      <c r="F230" s="1574">
        <v>0</v>
      </c>
      <c r="G230" s="1574">
        <v>0</v>
      </c>
      <c r="H230" s="1574">
        <v>0</v>
      </c>
      <c r="I230" s="1575"/>
      <c r="J230" s="1574"/>
      <c r="K230" s="1574"/>
    </row>
    <row r="231" spans="1:11" ht="12.75" customHeight="1" x14ac:dyDescent="0.2">
      <c r="A231" s="436" t="s">
        <v>353</v>
      </c>
      <c r="B231" s="435">
        <v>4860</v>
      </c>
      <c r="C231" s="1598">
        <v>0</v>
      </c>
      <c r="D231" s="1574">
        <v>0</v>
      </c>
      <c r="E231" s="1574"/>
      <c r="F231" s="1574">
        <v>0</v>
      </c>
      <c r="G231" s="1574">
        <v>0</v>
      </c>
      <c r="H231" s="1574">
        <v>0</v>
      </c>
      <c r="I231" s="1575"/>
      <c r="J231" s="1574"/>
      <c r="K231" s="1574"/>
    </row>
    <row r="232" spans="1:11" ht="12.75" customHeight="1" x14ac:dyDescent="0.2">
      <c r="A232" s="436" t="s">
        <v>354</v>
      </c>
      <c r="B232" s="435">
        <v>4861</v>
      </c>
      <c r="C232" s="1598">
        <v>0</v>
      </c>
      <c r="D232" s="1574">
        <v>0</v>
      </c>
      <c r="E232" s="1574"/>
      <c r="F232" s="1574">
        <v>0</v>
      </c>
      <c r="G232" s="1574">
        <v>0</v>
      </c>
      <c r="H232" s="1574">
        <v>0</v>
      </c>
      <c r="I232" s="1575"/>
      <c r="J232" s="1574"/>
      <c r="K232" s="1574"/>
    </row>
    <row r="233" spans="1:11" ht="12.75" customHeight="1" x14ac:dyDescent="0.2">
      <c r="A233" s="436" t="s">
        <v>355</v>
      </c>
      <c r="B233" s="435">
        <v>4862</v>
      </c>
      <c r="C233" s="1598">
        <v>0</v>
      </c>
      <c r="D233" s="1574">
        <v>0</v>
      </c>
      <c r="E233" s="1580"/>
      <c r="F233" s="1574">
        <v>0</v>
      </c>
      <c r="G233" s="1574">
        <v>0</v>
      </c>
      <c r="H233" s="1580"/>
      <c r="I233" s="1575"/>
      <c r="J233" s="1580"/>
      <c r="K233" s="1580"/>
    </row>
    <row r="234" spans="1:11" ht="12.75" customHeight="1" x14ac:dyDescent="0.2">
      <c r="A234" s="436" t="s">
        <v>356</v>
      </c>
      <c r="B234" s="435">
        <v>4863</v>
      </c>
      <c r="C234" s="1598">
        <v>0</v>
      </c>
      <c r="D234" s="1574">
        <v>0</v>
      </c>
      <c r="E234" s="1575"/>
      <c r="F234" s="1580"/>
      <c r="G234" s="1623"/>
      <c r="H234" s="1575"/>
      <c r="I234" s="1575"/>
      <c r="J234" s="1575"/>
      <c r="K234" s="1575"/>
    </row>
    <row r="235" spans="1:11" ht="12.75" customHeight="1" x14ac:dyDescent="0.2">
      <c r="A235" s="436" t="s">
        <v>465</v>
      </c>
      <c r="B235" s="435">
        <v>4864</v>
      </c>
      <c r="C235" s="1598">
        <v>0</v>
      </c>
      <c r="D235" s="1574">
        <v>0</v>
      </c>
      <c r="E235" s="1574"/>
      <c r="F235" s="1574">
        <v>0</v>
      </c>
      <c r="G235" s="1574">
        <v>0</v>
      </c>
      <c r="H235" s="1574">
        <v>0</v>
      </c>
      <c r="I235" s="1575"/>
      <c r="J235" s="1574"/>
      <c r="K235" s="1574"/>
    </row>
    <row r="236" spans="1:11" ht="12.75" customHeight="1" x14ac:dyDescent="0.2">
      <c r="A236" s="436" t="s">
        <v>466</v>
      </c>
      <c r="B236" s="435">
        <v>4865</v>
      </c>
      <c r="C236" s="1598">
        <v>0</v>
      </c>
      <c r="D236" s="1574">
        <v>0</v>
      </c>
      <c r="E236" s="1574"/>
      <c r="F236" s="1574">
        <v>0</v>
      </c>
      <c r="G236" s="1574">
        <v>0</v>
      </c>
      <c r="H236" s="1574">
        <v>0</v>
      </c>
      <c r="I236" s="1575"/>
      <c r="J236" s="1574"/>
      <c r="K236" s="1574"/>
    </row>
    <row r="237" spans="1:11" ht="12.75" customHeight="1" x14ac:dyDescent="0.2">
      <c r="A237" s="436" t="s">
        <v>464</v>
      </c>
      <c r="B237" s="435">
        <v>4866</v>
      </c>
      <c r="C237" s="1598">
        <v>0</v>
      </c>
      <c r="D237" s="1574">
        <v>0</v>
      </c>
      <c r="E237" s="1574">
        <v>0</v>
      </c>
      <c r="F237" s="1574">
        <v>0</v>
      </c>
      <c r="G237" s="1574">
        <v>0</v>
      </c>
      <c r="H237" s="1574">
        <v>0</v>
      </c>
      <c r="I237" s="1575"/>
      <c r="J237" s="1574"/>
      <c r="K237" s="1574"/>
    </row>
    <row r="238" spans="1:11" ht="12.75" customHeight="1" x14ac:dyDescent="0.2">
      <c r="A238" s="436" t="s">
        <v>463</v>
      </c>
      <c r="B238" s="435">
        <v>4867</v>
      </c>
      <c r="C238" s="1598">
        <v>0</v>
      </c>
      <c r="D238" s="1574">
        <v>0</v>
      </c>
      <c r="E238" s="1574">
        <v>0</v>
      </c>
      <c r="F238" s="1574">
        <v>0</v>
      </c>
      <c r="G238" s="1574">
        <v>0</v>
      </c>
      <c r="H238" s="1574">
        <v>0</v>
      </c>
      <c r="I238" s="1575"/>
      <c r="J238" s="1574"/>
      <c r="K238" s="1574"/>
    </row>
    <row r="239" spans="1:11" ht="12.75" customHeight="1" x14ac:dyDescent="0.2">
      <c r="A239" s="436" t="s">
        <v>462</v>
      </c>
      <c r="B239" s="435">
        <v>4868</v>
      </c>
      <c r="C239" s="1598">
        <v>0</v>
      </c>
      <c r="D239" s="1574">
        <v>0</v>
      </c>
      <c r="E239" s="1574">
        <v>0</v>
      </c>
      <c r="F239" s="1574">
        <v>0</v>
      </c>
      <c r="G239" s="1574">
        <v>0</v>
      </c>
      <c r="H239" s="1574">
        <v>0</v>
      </c>
      <c r="I239" s="1575"/>
      <c r="J239" s="1574"/>
      <c r="K239" s="1574"/>
    </row>
    <row r="240" spans="1:11" ht="12.75" customHeight="1" x14ac:dyDescent="0.2">
      <c r="A240" s="436" t="s">
        <v>461</v>
      </c>
      <c r="B240" s="435">
        <v>4869</v>
      </c>
      <c r="C240" s="1598">
        <v>0</v>
      </c>
      <c r="D240" s="1574">
        <v>0</v>
      </c>
      <c r="E240" s="1574">
        <v>0</v>
      </c>
      <c r="F240" s="1574">
        <v>0</v>
      </c>
      <c r="G240" s="1574">
        <v>0</v>
      </c>
      <c r="H240" s="1574">
        <v>0</v>
      </c>
      <c r="I240" s="1575"/>
      <c r="J240" s="1574"/>
      <c r="K240" s="1574"/>
    </row>
    <row r="241" spans="1:11" ht="12.75" customHeight="1" x14ac:dyDescent="0.2">
      <c r="A241" s="436" t="s">
        <v>1117</v>
      </c>
      <c r="B241" s="435">
        <v>4870</v>
      </c>
      <c r="C241" s="1598">
        <v>0</v>
      </c>
      <c r="D241" s="1574">
        <v>0</v>
      </c>
      <c r="E241" s="1574"/>
      <c r="F241" s="1574">
        <v>0</v>
      </c>
      <c r="G241" s="1574">
        <v>0</v>
      </c>
      <c r="H241" s="1574">
        <v>0</v>
      </c>
      <c r="I241" s="1575"/>
      <c r="J241" s="1574"/>
      <c r="K241" s="1574"/>
    </row>
    <row r="242" spans="1:11" ht="12.75" customHeight="1" x14ac:dyDescent="0.2">
      <c r="A242" s="436" t="s">
        <v>782</v>
      </c>
      <c r="B242" s="435">
        <v>4871</v>
      </c>
      <c r="C242" s="1598">
        <v>0</v>
      </c>
      <c r="D242" s="1574">
        <v>0</v>
      </c>
      <c r="E242" s="1574"/>
      <c r="F242" s="1574">
        <v>0</v>
      </c>
      <c r="G242" s="1574">
        <v>0</v>
      </c>
      <c r="H242" s="1574">
        <v>0</v>
      </c>
      <c r="I242" s="1575"/>
      <c r="J242" s="1574"/>
      <c r="K242" s="1574"/>
    </row>
    <row r="243" spans="1:11" ht="12.75" customHeight="1" x14ac:dyDescent="0.2">
      <c r="A243" s="436" t="s">
        <v>783</v>
      </c>
      <c r="B243" s="435">
        <v>4872</v>
      </c>
      <c r="C243" s="1598">
        <v>0</v>
      </c>
      <c r="D243" s="1574">
        <v>0</v>
      </c>
      <c r="E243" s="1574"/>
      <c r="F243" s="1574">
        <v>0</v>
      </c>
      <c r="G243" s="1574">
        <v>0</v>
      </c>
      <c r="H243" s="1574">
        <v>0</v>
      </c>
      <c r="I243" s="1575"/>
      <c r="J243" s="1574"/>
      <c r="K243" s="1574"/>
    </row>
    <row r="244" spans="1:11" ht="12.75" customHeight="1" x14ac:dyDescent="0.2">
      <c r="A244" s="436" t="s">
        <v>784</v>
      </c>
      <c r="B244" s="435">
        <v>4873</v>
      </c>
      <c r="C244" s="1598">
        <v>0</v>
      </c>
      <c r="D244" s="1574">
        <v>0</v>
      </c>
      <c r="E244" s="1574"/>
      <c r="F244" s="1574">
        <v>0</v>
      </c>
      <c r="G244" s="1574">
        <v>0</v>
      </c>
      <c r="H244" s="1574">
        <v>0</v>
      </c>
      <c r="I244" s="1575"/>
      <c r="J244" s="1574"/>
      <c r="K244" s="1574"/>
    </row>
    <row r="245" spans="1:11" ht="12.75" customHeight="1" x14ac:dyDescent="0.2">
      <c r="A245" s="436" t="s">
        <v>785</v>
      </c>
      <c r="B245" s="435">
        <v>4874</v>
      </c>
      <c r="C245" s="1598">
        <v>0</v>
      </c>
      <c r="D245" s="1574">
        <v>0</v>
      </c>
      <c r="E245" s="1574"/>
      <c r="F245" s="1574">
        <v>0</v>
      </c>
      <c r="G245" s="1574">
        <v>0</v>
      </c>
      <c r="H245" s="1574">
        <v>0</v>
      </c>
      <c r="I245" s="1575"/>
      <c r="J245" s="1574"/>
      <c r="K245" s="1574"/>
    </row>
    <row r="246" spans="1:11" ht="12.75" customHeight="1" x14ac:dyDescent="0.2">
      <c r="A246" s="436" t="s">
        <v>467</v>
      </c>
      <c r="B246" s="435">
        <v>4875</v>
      </c>
      <c r="C246" s="1598">
        <v>0</v>
      </c>
      <c r="D246" s="1574">
        <v>0</v>
      </c>
      <c r="E246" s="1574"/>
      <c r="F246" s="1574">
        <v>0</v>
      </c>
      <c r="G246" s="1574">
        <v>0</v>
      </c>
      <c r="H246" s="1574">
        <v>0</v>
      </c>
      <c r="I246" s="1575"/>
      <c r="J246" s="1574"/>
      <c r="K246" s="1574"/>
    </row>
    <row r="247" spans="1:11" ht="12.75" customHeight="1" x14ac:dyDescent="0.2">
      <c r="A247" s="436" t="s">
        <v>764</v>
      </c>
      <c r="B247" s="435">
        <v>4876</v>
      </c>
      <c r="C247" s="1598">
        <v>0</v>
      </c>
      <c r="D247" s="1574">
        <v>0</v>
      </c>
      <c r="E247" s="1574"/>
      <c r="F247" s="1574">
        <v>0</v>
      </c>
      <c r="G247" s="1574">
        <v>0</v>
      </c>
      <c r="H247" s="1574">
        <v>0</v>
      </c>
      <c r="I247" s="1575"/>
      <c r="J247" s="1574"/>
      <c r="K247" s="1574"/>
    </row>
    <row r="248" spans="1:11" ht="12.75" customHeight="1" x14ac:dyDescent="0.2">
      <c r="A248" s="436" t="s">
        <v>765</v>
      </c>
      <c r="B248" s="435">
        <v>4877</v>
      </c>
      <c r="C248" s="1598">
        <v>0</v>
      </c>
      <c r="D248" s="1574">
        <v>0</v>
      </c>
      <c r="E248" s="1574"/>
      <c r="F248" s="1574">
        <v>0</v>
      </c>
      <c r="G248" s="1574">
        <v>0</v>
      </c>
      <c r="H248" s="1574">
        <v>0</v>
      </c>
      <c r="I248" s="1575"/>
      <c r="J248" s="1574"/>
      <c r="K248" s="1574"/>
    </row>
    <row r="249" spans="1:11" ht="12.75" customHeight="1" x14ac:dyDescent="0.2">
      <c r="A249" s="436" t="s">
        <v>766</v>
      </c>
      <c r="B249" s="435">
        <v>4878</v>
      </c>
      <c r="C249" s="1598">
        <v>0</v>
      </c>
      <c r="D249" s="1574">
        <v>0</v>
      </c>
      <c r="E249" s="1574"/>
      <c r="F249" s="1574">
        <v>0</v>
      </c>
      <c r="G249" s="1574">
        <v>0</v>
      </c>
      <c r="H249" s="1574">
        <v>0</v>
      </c>
      <c r="I249" s="1575"/>
      <c r="J249" s="1574"/>
      <c r="K249" s="1574"/>
    </row>
    <row r="250" spans="1:11" ht="12.75" customHeight="1" x14ac:dyDescent="0.2">
      <c r="A250" s="436" t="s">
        <v>767</v>
      </c>
      <c r="B250" s="435">
        <v>4879</v>
      </c>
      <c r="C250" s="1598">
        <v>0</v>
      </c>
      <c r="D250" s="1574">
        <v>0</v>
      </c>
      <c r="E250" s="1574"/>
      <c r="F250" s="1574">
        <v>0</v>
      </c>
      <c r="G250" s="1574">
        <v>0</v>
      </c>
      <c r="H250" s="1574">
        <v>0</v>
      </c>
      <c r="I250" s="1575"/>
      <c r="J250" s="1574"/>
      <c r="K250" s="1574"/>
    </row>
    <row r="251" spans="1:11" ht="12.75" customHeight="1" x14ac:dyDescent="0.2">
      <c r="A251" s="220" t="s">
        <v>1437</v>
      </c>
      <c r="B251" s="486">
        <v>4880</v>
      </c>
      <c r="C251" s="1598">
        <v>0</v>
      </c>
      <c r="D251" s="1574">
        <v>0</v>
      </c>
      <c r="E251" s="1574"/>
      <c r="F251" s="1574">
        <v>0</v>
      </c>
      <c r="G251" s="1574">
        <v>0</v>
      </c>
      <c r="H251" s="1574">
        <v>0</v>
      </c>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v>0</v>
      </c>
      <c r="D253" s="1576"/>
      <c r="E253" s="1575"/>
      <c r="F253" s="1575"/>
      <c r="G253" s="1575"/>
      <c r="H253" s="1575"/>
      <c r="I253" s="1575"/>
      <c r="J253" s="1575"/>
      <c r="K253" s="1575"/>
    </row>
    <row r="254" spans="1:11" ht="12.75" customHeight="1" thickTop="1" thickBot="1" x14ac:dyDescent="0.25">
      <c r="A254" s="1273" t="s">
        <v>1445</v>
      </c>
      <c r="B254" s="488">
        <v>4902</v>
      </c>
      <c r="C254" s="1667">
        <v>0</v>
      </c>
      <c r="D254" s="1668">
        <v>0</v>
      </c>
      <c r="E254" s="1576"/>
      <c r="F254" s="1668">
        <v>0</v>
      </c>
      <c r="G254" s="1668">
        <v>0</v>
      </c>
      <c r="H254" s="1576"/>
      <c r="I254" s="1575"/>
      <c r="J254" s="1576"/>
      <c r="K254" s="1576"/>
    </row>
    <row r="255" spans="1:11" ht="12.75" customHeight="1" thickTop="1" thickBot="1" x14ac:dyDescent="0.25">
      <c r="A255" s="427" t="s">
        <v>1438</v>
      </c>
      <c r="B255" s="429">
        <v>4905</v>
      </c>
      <c r="C255" s="1649">
        <v>0</v>
      </c>
      <c r="D255" s="1575"/>
      <c r="E255" s="1575"/>
      <c r="F255" s="1653">
        <v>0</v>
      </c>
      <c r="G255" s="1649">
        <v>0</v>
      </c>
      <c r="H255" s="1575"/>
      <c r="I255" s="1575"/>
      <c r="J255" s="1575"/>
      <c r="K255" s="1575"/>
    </row>
    <row r="256" spans="1:11" ht="12.75" customHeight="1" thickTop="1" thickBot="1" x14ac:dyDescent="0.25">
      <c r="A256" s="427" t="s">
        <v>1439</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417</v>
      </c>
      <c r="B258" s="429">
        <v>4930</v>
      </c>
      <c r="C258" s="1651">
        <v>0</v>
      </c>
      <c r="D258" s="1651">
        <v>0</v>
      </c>
      <c r="E258" s="1575"/>
      <c r="F258" s="1651">
        <v>0</v>
      </c>
      <c r="G258" s="1651">
        <v>0</v>
      </c>
      <c r="H258" s="1575"/>
      <c r="I258" s="1575"/>
      <c r="J258" s="1575"/>
      <c r="K258" s="1575"/>
    </row>
    <row r="259" spans="1:11" ht="12.75" customHeight="1" thickTop="1" thickBot="1" x14ac:dyDescent="0.25">
      <c r="A259" s="427" t="s">
        <v>752</v>
      </c>
      <c r="B259" s="429">
        <v>4932</v>
      </c>
      <c r="C259" s="1651">
        <v>8466</v>
      </c>
      <c r="D259" s="1651">
        <v>0</v>
      </c>
      <c r="E259" s="1575"/>
      <c r="F259" s="1651">
        <v>0</v>
      </c>
      <c r="G259" s="1651">
        <v>0</v>
      </c>
      <c r="H259" s="1575"/>
      <c r="I259" s="1575"/>
      <c r="J259" s="1575"/>
      <c r="K259" s="1575"/>
    </row>
    <row r="260" spans="1:11" ht="12.75" customHeight="1" thickTop="1" thickBot="1" x14ac:dyDescent="0.25">
      <c r="A260" s="427" t="s">
        <v>883</v>
      </c>
      <c r="B260" s="429">
        <v>4960</v>
      </c>
      <c r="C260" s="1650">
        <v>0</v>
      </c>
      <c r="D260" s="1651">
        <v>0</v>
      </c>
      <c r="E260" s="1575"/>
      <c r="F260" s="1651">
        <v>0</v>
      </c>
      <c r="G260" s="1651">
        <v>0</v>
      </c>
      <c r="H260" s="1575"/>
      <c r="I260" s="1575"/>
      <c r="J260" s="1575"/>
      <c r="K260" s="1575"/>
    </row>
    <row r="261" spans="1:11" ht="12.75" customHeight="1" thickTop="1" thickBot="1" x14ac:dyDescent="0.25">
      <c r="A261" s="1539" t="s">
        <v>1895</v>
      </c>
      <c r="B261" s="429">
        <v>4981</v>
      </c>
      <c r="C261" s="1650">
        <v>0</v>
      </c>
      <c r="D261" s="1651">
        <v>0</v>
      </c>
      <c r="E261" s="1575"/>
      <c r="F261" s="1651">
        <v>0</v>
      </c>
      <c r="G261" s="1651">
        <v>0</v>
      </c>
      <c r="H261" s="1575"/>
      <c r="I261" s="1575"/>
      <c r="J261" s="1575"/>
      <c r="K261" s="1575"/>
    </row>
    <row r="262" spans="1:11" ht="12.75" customHeight="1" thickTop="1" thickBot="1" x14ac:dyDescent="0.25">
      <c r="A262" s="1540" t="s">
        <v>1896</v>
      </c>
      <c r="B262" s="429">
        <v>4982</v>
      </c>
      <c r="C262" s="1650">
        <v>0</v>
      </c>
      <c r="D262" s="1651">
        <v>0</v>
      </c>
      <c r="E262" s="1575"/>
      <c r="F262" s="1651">
        <v>0</v>
      </c>
      <c r="G262" s="1651">
        <v>0</v>
      </c>
      <c r="H262" s="1575"/>
      <c r="I262" s="1575"/>
      <c r="J262" s="1575"/>
      <c r="K262" s="1575"/>
    </row>
    <row r="263" spans="1:11" ht="12.75" customHeight="1" thickTop="1" thickBot="1" x14ac:dyDescent="0.25">
      <c r="A263" s="427" t="s">
        <v>563</v>
      </c>
      <c r="B263" s="429">
        <v>4991</v>
      </c>
      <c r="C263" s="1650">
        <v>2247</v>
      </c>
      <c r="D263" s="1651">
        <v>0</v>
      </c>
      <c r="E263" s="1575"/>
      <c r="F263" s="1651">
        <v>0</v>
      </c>
      <c r="G263" s="1651">
        <v>0</v>
      </c>
      <c r="H263" s="1575"/>
      <c r="I263" s="1575"/>
      <c r="J263" s="1575"/>
      <c r="K263" s="1575"/>
    </row>
    <row r="264" spans="1:11" ht="12.75" customHeight="1" thickTop="1" thickBot="1" x14ac:dyDescent="0.25">
      <c r="A264" s="427" t="s">
        <v>373</v>
      </c>
      <c r="B264" s="429">
        <v>4992</v>
      </c>
      <c r="C264" s="1650">
        <v>1782</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1646</v>
      </c>
      <c r="B266" s="1419"/>
      <c r="C266" s="1641">
        <f t="shared" ref="C266:H266" si="10">SUM(C188,C198,C204,C209,C217,C221,C222,C252:C265)</f>
        <v>105849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118163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2221719</v>
      </c>
      <c r="D268" s="1641">
        <f t="shared" si="12"/>
        <v>333618</v>
      </c>
      <c r="E268" s="1641">
        <f t="shared" si="12"/>
        <v>544850</v>
      </c>
      <c r="F268" s="1641">
        <f t="shared" si="12"/>
        <v>209530</v>
      </c>
      <c r="G268" s="1641">
        <f t="shared" si="12"/>
        <v>59304</v>
      </c>
      <c r="H268" s="1641">
        <f t="shared" si="12"/>
        <v>89050</v>
      </c>
      <c r="I268" s="1641">
        <f t="shared" si="12"/>
        <v>22714</v>
      </c>
      <c r="J268" s="1641">
        <f t="shared" si="12"/>
        <v>156700</v>
      </c>
      <c r="K268" s="1629">
        <f t="shared" si="12"/>
        <v>7806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24" sqref="A24:E2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9" t="s">
        <v>293</v>
      </c>
      <c r="B3" s="229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528405</v>
      </c>
      <c r="D5" s="1573">
        <v>76100</v>
      </c>
      <c r="E5" s="1573">
        <v>18563</v>
      </c>
      <c r="F5" s="1573">
        <v>18483</v>
      </c>
      <c r="G5" s="1573">
        <v>0</v>
      </c>
      <c r="H5" s="1573">
        <v>0</v>
      </c>
      <c r="I5" s="1574">
        <v>0</v>
      </c>
      <c r="J5" s="1574">
        <v>0</v>
      </c>
      <c r="K5" s="1672">
        <f>SUM(C5:J5)</f>
        <v>641551</v>
      </c>
      <c r="L5" s="1573">
        <v>648900</v>
      </c>
    </row>
    <row r="6" spans="1:14" x14ac:dyDescent="0.2">
      <c r="A6" s="1274" t="s">
        <v>1415</v>
      </c>
      <c r="B6" s="503" t="s">
        <v>1413</v>
      </c>
      <c r="C6" s="1582"/>
      <c r="D6" s="1582"/>
      <c r="E6" s="1573">
        <v>0</v>
      </c>
      <c r="F6" s="1582"/>
      <c r="G6" s="1582"/>
      <c r="H6" s="1582"/>
      <c r="I6" s="1582"/>
      <c r="J6" s="1582"/>
      <c r="K6" s="1672">
        <f>SUM(C6,E6)</f>
        <v>0</v>
      </c>
      <c r="L6" s="1573">
        <v>0</v>
      </c>
    </row>
    <row r="7" spans="1:14" x14ac:dyDescent="0.2">
      <c r="A7" s="1274" t="s">
        <v>162</v>
      </c>
      <c r="B7" s="503" t="s">
        <v>960</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136349</v>
      </c>
      <c r="D8" s="1573">
        <v>8956</v>
      </c>
      <c r="E8" s="1573">
        <v>10161</v>
      </c>
      <c r="F8" s="1573">
        <v>1525</v>
      </c>
      <c r="G8" s="1573">
        <v>0</v>
      </c>
      <c r="H8" s="1573">
        <v>0</v>
      </c>
      <c r="I8" s="1574">
        <v>0</v>
      </c>
      <c r="J8" s="1574">
        <v>0</v>
      </c>
      <c r="K8" s="1672">
        <f t="shared" si="0"/>
        <v>156991</v>
      </c>
      <c r="L8" s="1573">
        <v>140600</v>
      </c>
    </row>
    <row r="9" spans="1:14" x14ac:dyDescent="0.2">
      <c r="A9" s="1274" t="s">
        <v>715</v>
      </c>
      <c r="B9" s="503" t="s">
        <v>961</v>
      </c>
      <c r="C9" s="1574">
        <v>0</v>
      </c>
      <c r="D9" s="1574">
        <v>0</v>
      </c>
      <c r="E9" s="1574">
        <v>0</v>
      </c>
      <c r="F9" s="1574">
        <v>0</v>
      </c>
      <c r="G9" s="1574">
        <v>0</v>
      </c>
      <c r="H9" s="1574">
        <v>0</v>
      </c>
      <c r="I9" s="1574">
        <v>0</v>
      </c>
      <c r="J9" s="1574">
        <v>0</v>
      </c>
      <c r="K9" s="1672">
        <f t="shared" si="0"/>
        <v>0</v>
      </c>
      <c r="L9" s="1573">
        <v>0</v>
      </c>
    </row>
    <row r="10" spans="1:14" x14ac:dyDescent="0.2">
      <c r="A10" s="1274" t="s">
        <v>716</v>
      </c>
      <c r="B10" s="503">
        <v>1250</v>
      </c>
      <c r="C10" s="1573">
        <v>60737</v>
      </c>
      <c r="D10" s="1573">
        <v>17124</v>
      </c>
      <c r="E10" s="1573">
        <v>535</v>
      </c>
      <c r="F10" s="1573">
        <v>2390</v>
      </c>
      <c r="G10" s="1573">
        <v>0</v>
      </c>
      <c r="H10" s="1573">
        <v>0</v>
      </c>
      <c r="I10" s="1574">
        <v>0</v>
      </c>
      <c r="J10" s="1574">
        <v>0</v>
      </c>
      <c r="K10" s="1672">
        <f t="shared" si="0"/>
        <v>80786</v>
      </c>
      <c r="L10" s="1573">
        <v>81350</v>
      </c>
    </row>
    <row r="11" spans="1:14" x14ac:dyDescent="0.2">
      <c r="A11" s="1274" t="s">
        <v>1119</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717</v>
      </c>
      <c r="B13" s="503">
        <v>1400</v>
      </c>
      <c r="C13" s="1573">
        <v>9777</v>
      </c>
      <c r="D13" s="1573">
        <v>65</v>
      </c>
      <c r="E13" s="1573">
        <v>0</v>
      </c>
      <c r="F13" s="1573">
        <v>0</v>
      </c>
      <c r="G13" s="1573">
        <v>0</v>
      </c>
      <c r="H13" s="1573">
        <v>0</v>
      </c>
      <c r="I13" s="1574">
        <v>0</v>
      </c>
      <c r="J13" s="1574">
        <v>0</v>
      </c>
      <c r="K13" s="1672">
        <f t="shared" si="0"/>
        <v>9842</v>
      </c>
      <c r="L13" s="1573">
        <v>0</v>
      </c>
    </row>
    <row r="14" spans="1:14" x14ac:dyDescent="0.2">
      <c r="A14" s="1274" t="s">
        <v>956</v>
      </c>
      <c r="B14" s="503">
        <v>1500</v>
      </c>
      <c r="C14" s="1573">
        <v>12467</v>
      </c>
      <c r="D14" s="1573">
        <v>44</v>
      </c>
      <c r="E14" s="1573">
        <v>3170</v>
      </c>
      <c r="F14" s="1573">
        <v>6198</v>
      </c>
      <c r="G14" s="1573">
        <v>0</v>
      </c>
      <c r="H14" s="1573">
        <v>80</v>
      </c>
      <c r="I14" s="1574">
        <v>0</v>
      </c>
      <c r="J14" s="1574">
        <v>0</v>
      </c>
      <c r="K14" s="1672">
        <f t="shared" si="0"/>
        <v>21959</v>
      </c>
      <c r="L14" s="1573">
        <v>22750</v>
      </c>
    </row>
    <row r="15" spans="1:14" x14ac:dyDescent="0.2">
      <c r="A15" s="1274" t="s">
        <v>957</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979</v>
      </c>
      <c r="B16" s="503" t="s">
        <v>420</v>
      </c>
      <c r="C16" s="1573">
        <v>0</v>
      </c>
      <c r="D16" s="1573">
        <v>0</v>
      </c>
      <c r="E16" s="1573">
        <v>0</v>
      </c>
      <c r="F16" s="1573">
        <v>0</v>
      </c>
      <c r="G16" s="1573">
        <v>0</v>
      </c>
      <c r="H16" s="1573">
        <v>0</v>
      </c>
      <c r="I16" s="1574">
        <v>0</v>
      </c>
      <c r="J16" s="1574">
        <v>0</v>
      </c>
      <c r="K16" s="1672">
        <f t="shared" si="0"/>
        <v>0</v>
      </c>
      <c r="L16" s="1573">
        <v>0</v>
      </c>
    </row>
    <row r="17" spans="1:12" x14ac:dyDescent="0.2">
      <c r="A17" s="1274" t="s">
        <v>718</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1077</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732</v>
      </c>
      <c r="B20" s="494" t="s">
        <v>719</v>
      </c>
      <c r="C20" s="1582"/>
      <c r="D20" s="1582"/>
      <c r="E20" s="1582"/>
      <c r="F20" s="1582"/>
      <c r="G20" s="1582"/>
      <c r="H20" s="1579">
        <v>0</v>
      </c>
      <c r="I20" s="1673"/>
      <c r="J20" s="1580"/>
      <c r="K20" s="1672">
        <f t="shared" si="0"/>
        <v>0</v>
      </c>
      <c r="L20" s="1577">
        <v>0</v>
      </c>
    </row>
    <row r="21" spans="1:12" x14ac:dyDescent="0.2">
      <c r="A21" s="1275" t="s">
        <v>733</v>
      </c>
      <c r="B21" s="494" t="s">
        <v>720</v>
      </c>
      <c r="C21" s="1582"/>
      <c r="D21" s="1582"/>
      <c r="E21" s="1582"/>
      <c r="F21" s="1582"/>
      <c r="G21" s="1582"/>
      <c r="H21" s="1579">
        <v>0</v>
      </c>
      <c r="I21" s="1673"/>
      <c r="J21" s="1582"/>
      <c r="K21" s="1672">
        <f t="shared" si="0"/>
        <v>0</v>
      </c>
      <c r="L21" s="1577">
        <v>0</v>
      </c>
    </row>
    <row r="22" spans="1:12" x14ac:dyDescent="0.2">
      <c r="A22" s="1275" t="s">
        <v>734</v>
      </c>
      <c r="B22" s="494" t="s">
        <v>721</v>
      </c>
      <c r="C22" s="1582"/>
      <c r="D22" s="1582"/>
      <c r="E22" s="1582"/>
      <c r="F22" s="1582"/>
      <c r="G22" s="1582"/>
      <c r="H22" s="1579">
        <v>0</v>
      </c>
      <c r="I22" s="1673"/>
      <c r="J22" s="1582"/>
      <c r="K22" s="1672">
        <f t="shared" si="0"/>
        <v>0</v>
      </c>
      <c r="L22" s="1577">
        <v>0</v>
      </c>
    </row>
    <row r="23" spans="1:12" x14ac:dyDescent="0.2">
      <c r="A23" s="1275" t="s">
        <v>735</v>
      </c>
      <c r="B23" s="494" t="s">
        <v>722</v>
      </c>
      <c r="C23" s="1582"/>
      <c r="D23" s="1582"/>
      <c r="E23" s="1582"/>
      <c r="F23" s="1582"/>
      <c r="G23" s="1582"/>
      <c r="H23" s="1579">
        <v>0</v>
      </c>
      <c r="I23" s="1673"/>
      <c r="J23" s="1582"/>
      <c r="K23" s="1672">
        <f t="shared" si="0"/>
        <v>0</v>
      </c>
      <c r="L23" s="1577">
        <v>0</v>
      </c>
    </row>
    <row r="24" spans="1:12" ht="12.75" customHeight="1" x14ac:dyDescent="0.2">
      <c r="A24" s="1275" t="s">
        <v>736</v>
      </c>
      <c r="B24" s="494" t="s">
        <v>723</v>
      </c>
      <c r="C24" s="1582"/>
      <c r="D24" s="1582"/>
      <c r="E24" s="1582"/>
      <c r="F24" s="1582"/>
      <c r="G24" s="1582"/>
      <c r="H24" s="1579">
        <v>0</v>
      </c>
      <c r="I24" s="1673"/>
      <c r="J24" s="1582"/>
      <c r="K24" s="1672">
        <f t="shared" si="0"/>
        <v>0</v>
      </c>
      <c r="L24" s="1577">
        <v>0</v>
      </c>
    </row>
    <row r="25" spans="1:12" ht="12.75" customHeight="1" x14ac:dyDescent="0.2">
      <c r="A25" s="1275" t="s">
        <v>796</v>
      </c>
      <c r="B25" s="494" t="s">
        <v>724</v>
      </c>
      <c r="C25" s="1582"/>
      <c r="D25" s="1582"/>
      <c r="E25" s="1582"/>
      <c r="F25" s="1582"/>
      <c r="G25" s="1582"/>
      <c r="H25" s="1579">
        <v>0</v>
      </c>
      <c r="I25" s="1673"/>
      <c r="J25" s="1582"/>
      <c r="K25" s="1672">
        <f t="shared" si="0"/>
        <v>0</v>
      </c>
      <c r="L25" s="1577">
        <v>0</v>
      </c>
    </row>
    <row r="26" spans="1:12" x14ac:dyDescent="0.2">
      <c r="A26" s="1275" t="s">
        <v>617</v>
      </c>
      <c r="B26" s="494" t="s">
        <v>725</v>
      </c>
      <c r="C26" s="1582"/>
      <c r="D26" s="1582"/>
      <c r="E26" s="1582"/>
      <c r="F26" s="1582"/>
      <c r="G26" s="1582"/>
      <c r="H26" s="1579">
        <v>0</v>
      </c>
      <c r="I26" s="1673"/>
      <c r="J26" s="1582"/>
      <c r="K26" s="1672">
        <f t="shared" si="0"/>
        <v>0</v>
      </c>
      <c r="L26" s="1577">
        <v>0</v>
      </c>
    </row>
    <row r="27" spans="1:12" x14ac:dyDescent="0.2">
      <c r="A27" s="1275" t="s">
        <v>618</v>
      </c>
      <c r="B27" s="494" t="s">
        <v>726</v>
      </c>
      <c r="C27" s="1582"/>
      <c r="D27" s="1582"/>
      <c r="E27" s="1582"/>
      <c r="F27" s="1582"/>
      <c r="G27" s="1582"/>
      <c r="H27" s="1579">
        <v>0</v>
      </c>
      <c r="I27" s="1673"/>
      <c r="J27" s="1582"/>
      <c r="K27" s="1672">
        <f t="shared" si="0"/>
        <v>0</v>
      </c>
      <c r="L27" s="1577">
        <v>0</v>
      </c>
    </row>
    <row r="28" spans="1:12" x14ac:dyDescent="0.2">
      <c r="A28" s="1275" t="s">
        <v>149</v>
      </c>
      <c r="B28" s="494" t="s">
        <v>727</v>
      </c>
      <c r="C28" s="1582"/>
      <c r="D28" s="1582"/>
      <c r="E28" s="1582"/>
      <c r="F28" s="1582"/>
      <c r="G28" s="1582"/>
      <c r="H28" s="1579">
        <v>0</v>
      </c>
      <c r="I28" s="1673"/>
      <c r="J28" s="1582"/>
      <c r="K28" s="1672">
        <f t="shared" si="0"/>
        <v>0</v>
      </c>
      <c r="L28" s="1577">
        <v>0</v>
      </c>
    </row>
    <row r="29" spans="1:12" x14ac:dyDescent="0.2">
      <c r="A29" s="1275" t="s">
        <v>150</v>
      </c>
      <c r="B29" s="494" t="s">
        <v>728</v>
      </c>
      <c r="C29" s="1582"/>
      <c r="D29" s="1582"/>
      <c r="E29" s="1582"/>
      <c r="F29" s="1582"/>
      <c r="G29" s="1582"/>
      <c r="H29" s="1579">
        <v>0</v>
      </c>
      <c r="I29" s="1673"/>
      <c r="J29" s="1582"/>
      <c r="K29" s="1672">
        <f t="shared" si="0"/>
        <v>0</v>
      </c>
      <c r="L29" s="1577">
        <v>0</v>
      </c>
    </row>
    <row r="30" spans="1:12" x14ac:dyDescent="0.2">
      <c r="A30" s="1275" t="s">
        <v>151</v>
      </c>
      <c r="B30" s="494" t="s">
        <v>729</v>
      </c>
      <c r="C30" s="1582"/>
      <c r="D30" s="1582"/>
      <c r="E30" s="1582"/>
      <c r="F30" s="1582"/>
      <c r="G30" s="1582"/>
      <c r="H30" s="1579">
        <v>0</v>
      </c>
      <c r="I30" s="1673"/>
      <c r="J30" s="1582"/>
      <c r="K30" s="1672">
        <f t="shared" si="0"/>
        <v>0</v>
      </c>
      <c r="L30" s="1577">
        <v>0</v>
      </c>
    </row>
    <row r="31" spans="1:12" x14ac:dyDescent="0.2">
      <c r="A31" s="1275" t="s">
        <v>152</v>
      </c>
      <c r="B31" s="494" t="s">
        <v>730</v>
      </c>
      <c r="C31" s="1582"/>
      <c r="D31" s="1582"/>
      <c r="E31" s="1582"/>
      <c r="F31" s="1582"/>
      <c r="G31" s="1582"/>
      <c r="H31" s="1579">
        <v>0</v>
      </c>
      <c r="I31" s="1673"/>
      <c r="J31" s="1582"/>
      <c r="K31" s="1672">
        <f t="shared" si="0"/>
        <v>0</v>
      </c>
      <c r="L31" s="1577">
        <v>0</v>
      </c>
    </row>
    <row r="32" spans="1:12" x14ac:dyDescent="0.2">
      <c r="A32" s="1276" t="s">
        <v>1118</v>
      </c>
      <c r="B32" s="503" t="s">
        <v>731</v>
      </c>
      <c r="C32" s="1582"/>
      <c r="D32" s="1582"/>
      <c r="E32" s="1582"/>
      <c r="F32" s="1582"/>
      <c r="G32" s="1582"/>
      <c r="H32" s="1579">
        <v>0</v>
      </c>
      <c r="I32" s="1673"/>
      <c r="J32" s="1585"/>
      <c r="K32" s="1672">
        <f t="shared" si="0"/>
        <v>0</v>
      </c>
      <c r="L32" s="1577">
        <v>0</v>
      </c>
    </row>
    <row r="33" spans="1:14" ht="12.75" customHeight="1" thickBot="1" x14ac:dyDescent="0.25">
      <c r="A33" s="1380" t="s">
        <v>1648</v>
      </c>
      <c r="B33" s="1381" t="s">
        <v>565</v>
      </c>
      <c r="C33" s="1674">
        <f>SUM(C5:C32)</f>
        <v>747735</v>
      </c>
      <c r="D33" s="1674">
        <f t="shared" ref="D33:L33" si="1">SUM(D5:D32)</f>
        <v>102289</v>
      </c>
      <c r="E33" s="1674">
        <f t="shared" si="1"/>
        <v>32429</v>
      </c>
      <c r="F33" s="1674">
        <f t="shared" si="1"/>
        <v>28596</v>
      </c>
      <c r="G33" s="1674">
        <f t="shared" si="1"/>
        <v>0</v>
      </c>
      <c r="H33" s="1674">
        <f t="shared" si="1"/>
        <v>80</v>
      </c>
      <c r="I33" s="1674">
        <f t="shared" si="1"/>
        <v>0</v>
      </c>
      <c r="J33" s="1674">
        <f t="shared" si="1"/>
        <v>0</v>
      </c>
      <c r="K33" s="1674">
        <f t="shared" si="1"/>
        <v>911129</v>
      </c>
      <c r="L33" s="1674">
        <f t="shared" si="1"/>
        <v>893600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49742</v>
      </c>
      <c r="D36" s="1586">
        <v>6506</v>
      </c>
      <c r="E36" s="1586">
        <v>193</v>
      </c>
      <c r="F36" s="1586">
        <v>153</v>
      </c>
      <c r="G36" s="1586">
        <v>0</v>
      </c>
      <c r="H36" s="1586">
        <v>0</v>
      </c>
      <c r="I36" s="1574">
        <v>0</v>
      </c>
      <c r="J36" s="1574">
        <v>0</v>
      </c>
      <c r="K36" s="1672">
        <f t="shared" ref="K36:K41" si="2">SUM(C36:J36)</f>
        <v>56594</v>
      </c>
      <c r="L36" s="1573">
        <v>62600</v>
      </c>
    </row>
    <row r="37" spans="1:14" x14ac:dyDescent="0.2">
      <c r="A37" s="1274" t="s">
        <v>1080</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206</v>
      </c>
      <c r="F38" s="1573">
        <v>1103</v>
      </c>
      <c r="G38" s="1573">
        <v>0</v>
      </c>
      <c r="H38" s="1573">
        <v>0</v>
      </c>
      <c r="I38" s="1573">
        <v>0</v>
      </c>
      <c r="J38" s="1573">
        <v>0</v>
      </c>
      <c r="K38" s="1672">
        <f t="shared" si="2"/>
        <v>1309</v>
      </c>
      <c r="L38" s="1573">
        <v>950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1823</v>
      </c>
      <c r="E40" s="1573">
        <v>14625</v>
      </c>
      <c r="F40" s="1573">
        <v>59</v>
      </c>
      <c r="G40" s="1573">
        <v>0</v>
      </c>
      <c r="H40" s="1573">
        <v>0</v>
      </c>
      <c r="I40" s="1574">
        <v>0</v>
      </c>
      <c r="J40" s="1574">
        <v>0</v>
      </c>
      <c r="K40" s="1672">
        <f t="shared" si="2"/>
        <v>16507</v>
      </c>
      <c r="L40" s="1573">
        <v>19000</v>
      </c>
    </row>
    <row r="41" spans="1:14" x14ac:dyDescent="0.2">
      <c r="A41" s="1274" t="s">
        <v>1649</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555</v>
      </c>
      <c r="B42" s="1381" t="s">
        <v>710</v>
      </c>
      <c r="C42" s="1674">
        <f>SUM(C36:C41)</f>
        <v>49742</v>
      </c>
      <c r="D42" s="1674">
        <f t="shared" ref="D42:L42" si="3">SUM(D36:D41)</f>
        <v>8329</v>
      </c>
      <c r="E42" s="1674">
        <f t="shared" si="3"/>
        <v>15024</v>
      </c>
      <c r="F42" s="1674">
        <f t="shared" si="3"/>
        <v>1315</v>
      </c>
      <c r="G42" s="1674">
        <f t="shared" si="3"/>
        <v>0</v>
      </c>
      <c r="H42" s="1674">
        <f t="shared" si="3"/>
        <v>0</v>
      </c>
      <c r="I42" s="1674">
        <f t="shared" si="3"/>
        <v>0</v>
      </c>
      <c r="J42" s="1674">
        <f t="shared" si="3"/>
        <v>0</v>
      </c>
      <c r="K42" s="1674">
        <f t="shared" si="3"/>
        <v>74410</v>
      </c>
      <c r="L42" s="1674">
        <f t="shared" si="3"/>
        <v>82550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1187</v>
      </c>
      <c r="D44" s="1586">
        <v>18</v>
      </c>
      <c r="E44" s="1586">
        <v>0</v>
      </c>
      <c r="F44" s="1586">
        <v>0</v>
      </c>
      <c r="G44" s="1586">
        <v>0</v>
      </c>
      <c r="H44" s="1586">
        <v>0</v>
      </c>
      <c r="I44" s="1574">
        <v>0</v>
      </c>
      <c r="J44" s="1574">
        <v>0</v>
      </c>
      <c r="K44" s="1678">
        <f>SUM(C44:J44)</f>
        <v>1205</v>
      </c>
      <c r="L44" s="1586">
        <v>0</v>
      </c>
    </row>
    <row r="45" spans="1:14" x14ac:dyDescent="0.2">
      <c r="A45" s="1274" t="s">
        <v>809</v>
      </c>
      <c r="B45" s="503">
        <v>2220</v>
      </c>
      <c r="C45" s="1573">
        <v>31799</v>
      </c>
      <c r="D45" s="1573">
        <v>16</v>
      </c>
      <c r="E45" s="1573">
        <v>898</v>
      </c>
      <c r="F45" s="1573">
        <v>1918</v>
      </c>
      <c r="G45" s="1573">
        <v>0</v>
      </c>
      <c r="H45" s="1573">
        <v>100</v>
      </c>
      <c r="I45" s="1574">
        <v>0</v>
      </c>
      <c r="J45" s="1574">
        <v>0</v>
      </c>
      <c r="K45" s="1678">
        <f>SUM(C45:J45)</f>
        <v>34731</v>
      </c>
      <c r="L45" s="1573">
        <v>35500</v>
      </c>
    </row>
    <row r="46" spans="1:14" x14ac:dyDescent="0.2">
      <c r="A46" s="1274" t="s">
        <v>810</v>
      </c>
      <c r="B46" s="503">
        <v>2230</v>
      </c>
      <c r="C46" s="1573">
        <v>0</v>
      </c>
      <c r="D46" s="1573">
        <v>0</v>
      </c>
      <c r="E46" s="1573">
        <v>0</v>
      </c>
      <c r="F46" s="1573">
        <v>4791</v>
      </c>
      <c r="G46" s="1573">
        <v>0</v>
      </c>
      <c r="H46" s="1573">
        <v>0</v>
      </c>
      <c r="I46" s="1574">
        <v>0</v>
      </c>
      <c r="J46" s="1574">
        <v>0</v>
      </c>
      <c r="K46" s="1678">
        <f>SUM(C46:J46)</f>
        <v>4791</v>
      </c>
      <c r="L46" s="1573">
        <v>7300</v>
      </c>
    </row>
    <row r="47" spans="1:14" ht="12.75" customHeight="1" thickBot="1" x14ac:dyDescent="0.25">
      <c r="A47" s="1380" t="s">
        <v>556</v>
      </c>
      <c r="B47" s="1381" t="s">
        <v>32</v>
      </c>
      <c r="C47" s="1674">
        <f>SUM(C44:C46)</f>
        <v>32986</v>
      </c>
      <c r="D47" s="1674">
        <f t="shared" ref="D47:K47" si="4">SUM(D44:D46)</f>
        <v>34</v>
      </c>
      <c r="E47" s="1674">
        <f t="shared" si="4"/>
        <v>898</v>
      </c>
      <c r="F47" s="1674">
        <f t="shared" si="4"/>
        <v>6709</v>
      </c>
      <c r="G47" s="1674">
        <f t="shared" si="4"/>
        <v>0</v>
      </c>
      <c r="H47" s="1674">
        <f t="shared" si="4"/>
        <v>100</v>
      </c>
      <c r="I47" s="1674">
        <f t="shared" si="4"/>
        <v>0</v>
      </c>
      <c r="J47" s="1674">
        <f t="shared" si="4"/>
        <v>0</v>
      </c>
      <c r="K47" s="1674">
        <f t="shared" si="4"/>
        <v>40727</v>
      </c>
      <c r="L47" s="1674">
        <f>SUM(L44:L46)</f>
        <v>42800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22708</v>
      </c>
      <c r="D49" s="1586">
        <v>0</v>
      </c>
      <c r="E49" s="1586">
        <v>49403</v>
      </c>
      <c r="F49" s="1586">
        <v>2623</v>
      </c>
      <c r="G49" s="1586">
        <v>0</v>
      </c>
      <c r="H49" s="1586">
        <v>3686</v>
      </c>
      <c r="I49" s="1574">
        <v>0</v>
      </c>
      <c r="J49" s="1574">
        <v>0</v>
      </c>
      <c r="K49" s="1678">
        <f>SUM(C49:J49)</f>
        <v>78420</v>
      </c>
      <c r="L49" s="1586">
        <v>158200</v>
      </c>
    </row>
    <row r="50" spans="1:14" x14ac:dyDescent="0.2">
      <c r="A50" s="1274" t="s">
        <v>812</v>
      </c>
      <c r="B50" s="503">
        <v>2320</v>
      </c>
      <c r="C50" s="1574">
        <v>87251</v>
      </c>
      <c r="D50" s="1573">
        <v>1254</v>
      </c>
      <c r="E50" s="1573">
        <v>7644</v>
      </c>
      <c r="F50" s="1573">
        <v>1097</v>
      </c>
      <c r="G50" s="1573">
        <v>0</v>
      </c>
      <c r="H50" s="1573">
        <v>357</v>
      </c>
      <c r="I50" s="1574">
        <v>0</v>
      </c>
      <c r="J50" s="1574">
        <v>0</v>
      </c>
      <c r="K50" s="1678">
        <f>SUM(C50:J50)</f>
        <v>97603</v>
      </c>
      <c r="L50" s="1573">
        <v>100900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711</v>
      </c>
      <c r="B53" s="1381" t="s">
        <v>33</v>
      </c>
      <c r="C53" s="1674">
        <f>SUM(C49:C52)</f>
        <v>109959</v>
      </c>
      <c r="D53" s="1674">
        <f t="shared" ref="D53:L53" si="5">SUM(D49:D52)</f>
        <v>1254</v>
      </c>
      <c r="E53" s="1674">
        <f t="shared" si="5"/>
        <v>57047</v>
      </c>
      <c r="F53" s="1674">
        <f t="shared" si="5"/>
        <v>3720</v>
      </c>
      <c r="G53" s="1674">
        <f t="shared" si="5"/>
        <v>0</v>
      </c>
      <c r="H53" s="1674">
        <f t="shared" si="5"/>
        <v>4043</v>
      </c>
      <c r="I53" s="1674">
        <f t="shared" si="5"/>
        <v>0</v>
      </c>
      <c r="J53" s="1674">
        <f t="shared" si="5"/>
        <v>0</v>
      </c>
      <c r="K53" s="1674">
        <f t="shared" si="5"/>
        <v>176023</v>
      </c>
      <c r="L53" s="1674">
        <f t="shared" si="5"/>
        <v>259100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98233</v>
      </c>
      <c r="D55" s="1586">
        <v>55474</v>
      </c>
      <c r="E55" s="1586">
        <v>9078</v>
      </c>
      <c r="F55" s="1586">
        <v>886</v>
      </c>
      <c r="G55" s="1586">
        <v>0</v>
      </c>
      <c r="H55" s="1586">
        <v>302</v>
      </c>
      <c r="I55" s="1574">
        <v>0</v>
      </c>
      <c r="J55" s="1574">
        <v>0</v>
      </c>
      <c r="K55" s="1678">
        <f>SUM(C55:J55)</f>
        <v>163973</v>
      </c>
      <c r="L55" s="1586">
        <v>122350</v>
      </c>
    </row>
    <row r="56" spans="1:14" ht="12.75" customHeight="1" x14ac:dyDescent="0.2">
      <c r="A56" s="1278" t="s">
        <v>372</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98233</v>
      </c>
      <c r="D57" s="1679">
        <f t="shared" ref="D57:K57" si="6">SUM(D55:D56)</f>
        <v>55474</v>
      </c>
      <c r="E57" s="1679">
        <f t="shared" si="6"/>
        <v>9078</v>
      </c>
      <c r="F57" s="1679">
        <f t="shared" si="6"/>
        <v>886</v>
      </c>
      <c r="G57" s="1679">
        <f t="shared" si="6"/>
        <v>0</v>
      </c>
      <c r="H57" s="1679">
        <f t="shared" si="6"/>
        <v>302</v>
      </c>
      <c r="I57" s="1679">
        <f t="shared" si="6"/>
        <v>0</v>
      </c>
      <c r="J57" s="1679">
        <f t="shared" si="6"/>
        <v>0</v>
      </c>
      <c r="K57" s="1679">
        <f t="shared" si="6"/>
        <v>163973</v>
      </c>
      <c r="L57" s="1674">
        <f>SUM(L55:L56)</f>
        <v>122350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459</v>
      </c>
      <c r="B60" s="503">
        <v>2520</v>
      </c>
      <c r="C60" s="1573">
        <v>39977</v>
      </c>
      <c r="D60" s="1573">
        <v>6154</v>
      </c>
      <c r="E60" s="1573">
        <v>445</v>
      </c>
      <c r="F60" s="1573">
        <v>296</v>
      </c>
      <c r="G60" s="1573">
        <v>0</v>
      </c>
      <c r="H60" s="1573">
        <v>0</v>
      </c>
      <c r="I60" s="1574">
        <v>0</v>
      </c>
      <c r="J60" s="1574">
        <v>0</v>
      </c>
      <c r="K60" s="1678">
        <f t="shared" si="7"/>
        <v>46872</v>
      </c>
      <c r="L60" s="1573">
        <v>50700</v>
      </c>
      <c r="M60" s="501"/>
      <c r="N60" s="501"/>
    </row>
    <row r="61" spans="1:14" s="321" customFormat="1" x14ac:dyDescent="0.2">
      <c r="A61" s="1274" t="s">
        <v>195</v>
      </c>
      <c r="B61" s="503">
        <v>2540</v>
      </c>
      <c r="C61" s="1573">
        <v>0</v>
      </c>
      <c r="D61" s="1573">
        <v>0</v>
      </c>
      <c r="E61" s="1573">
        <v>17028</v>
      </c>
      <c r="F61" s="1573">
        <v>0</v>
      </c>
      <c r="G61" s="1573">
        <v>0</v>
      </c>
      <c r="H61" s="1573">
        <v>0</v>
      </c>
      <c r="I61" s="1574">
        <v>0</v>
      </c>
      <c r="J61" s="1574">
        <v>0</v>
      </c>
      <c r="K61" s="1678">
        <f t="shared" si="7"/>
        <v>17028</v>
      </c>
      <c r="L61" s="1573">
        <v>16500</v>
      </c>
      <c r="M61" s="501"/>
      <c r="N61" s="501"/>
    </row>
    <row r="62" spans="1:14" s="321" customFormat="1" x14ac:dyDescent="0.2">
      <c r="A62" s="1274" t="s">
        <v>946</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23590</v>
      </c>
      <c r="D63" s="1573">
        <v>470</v>
      </c>
      <c r="E63" s="1573">
        <v>1391</v>
      </c>
      <c r="F63" s="1573">
        <v>26459</v>
      </c>
      <c r="G63" s="1573">
        <v>0</v>
      </c>
      <c r="H63" s="1573">
        <v>0</v>
      </c>
      <c r="I63" s="1574">
        <v>0</v>
      </c>
      <c r="J63" s="1574">
        <v>0</v>
      </c>
      <c r="K63" s="1678">
        <f t="shared" si="7"/>
        <v>51910</v>
      </c>
      <c r="L63" s="1573">
        <v>77900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713</v>
      </c>
      <c r="B65" s="1381" t="s">
        <v>35</v>
      </c>
      <c r="C65" s="1674">
        <f>SUM(C59:C64)</f>
        <v>63567</v>
      </c>
      <c r="D65" s="1674">
        <f t="shared" ref="D65:L65" si="8">SUM(D59:D64)</f>
        <v>6624</v>
      </c>
      <c r="E65" s="1674">
        <f t="shared" si="8"/>
        <v>18864</v>
      </c>
      <c r="F65" s="1674">
        <f t="shared" si="8"/>
        <v>26755</v>
      </c>
      <c r="G65" s="1674">
        <f t="shared" si="8"/>
        <v>0</v>
      </c>
      <c r="H65" s="1674">
        <f t="shared" si="8"/>
        <v>0</v>
      </c>
      <c r="I65" s="1674">
        <f t="shared" si="8"/>
        <v>0</v>
      </c>
      <c r="J65" s="1674">
        <f t="shared" si="8"/>
        <v>0</v>
      </c>
      <c r="K65" s="1674">
        <f t="shared" si="8"/>
        <v>115810</v>
      </c>
      <c r="L65" s="1674">
        <f t="shared" si="8"/>
        <v>145100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1051</v>
      </c>
      <c r="B69" s="503">
        <v>2630</v>
      </c>
      <c r="C69" s="1573">
        <v>33283</v>
      </c>
      <c r="D69" s="1573">
        <v>338</v>
      </c>
      <c r="E69" s="1573">
        <v>31665</v>
      </c>
      <c r="F69" s="1573">
        <v>22700</v>
      </c>
      <c r="G69" s="1573">
        <v>0</v>
      </c>
      <c r="H69" s="1573">
        <v>0</v>
      </c>
      <c r="I69" s="1574">
        <v>0</v>
      </c>
      <c r="J69" s="1574">
        <v>0</v>
      </c>
      <c r="K69" s="1678">
        <f>SUM(C69:J69)</f>
        <v>87986</v>
      </c>
      <c r="L69" s="1573">
        <v>92200</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33283</v>
      </c>
      <c r="D72" s="1674">
        <f t="shared" ref="D72:K72" si="9">SUM(D67:D71)</f>
        <v>338</v>
      </c>
      <c r="E72" s="1674">
        <f t="shared" si="9"/>
        <v>31665</v>
      </c>
      <c r="F72" s="1674">
        <f t="shared" si="9"/>
        <v>22700</v>
      </c>
      <c r="G72" s="1674">
        <f t="shared" si="9"/>
        <v>0</v>
      </c>
      <c r="H72" s="1674">
        <f t="shared" si="9"/>
        <v>0</v>
      </c>
      <c r="I72" s="1674">
        <f t="shared" si="9"/>
        <v>0</v>
      </c>
      <c r="J72" s="1674">
        <f t="shared" si="9"/>
        <v>0</v>
      </c>
      <c r="K72" s="1674">
        <f t="shared" si="9"/>
        <v>87986</v>
      </c>
      <c r="L72" s="1674">
        <f>SUM(L67:L71)</f>
        <v>92200</v>
      </c>
      <c r="M72" s="501"/>
      <c r="N72" s="501"/>
    </row>
    <row r="73" spans="1:14" s="321" customFormat="1" ht="14.25" thickTop="1" thickBot="1" x14ac:dyDescent="0.25">
      <c r="A73" s="1280" t="s">
        <v>972</v>
      </c>
      <c r="B73" s="515" t="s">
        <v>569</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805</v>
      </c>
      <c r="B74" s="1384">
        <v>2000</v>
      </c>
      <c r="C74" s="1681">
        <f>SUM(C42,C47,C53,C57,C65,C72,C73)</f>
        <v>387770</v>
      </c>
      <c r="D74" s="1681">
        <f t="shared" ref="D74:K74" si="10">SUM(D42,D47,D53,D57,D65,D72,D73)</f>
        <v>72053</v>
      </c>
      <c r="E74" s="1681">
        <f t="shared" si="10"/>
        <v>132576</v>
      </c>
      <c r="F74" s="1681">
        <f t="shared" si="10"/>
        <v>62085</v>
      </c>
      <c r="G74" s="1681">
        <f t="shared" si="10"/>
        <v>0</v>
      </c>
      <c r="H74" s="1681">
        <f t="shared" si="10"/>
        <v>4445</v>
      </c>
      <c r="I74" s="1681">
        <f t="shared" si="10"/>
        <v>0</v>
      </c>
      <c r="J74" s="1681">
        <f t="shared" si="10"/>
        <v>0</v>
      </c>
      <c r="K74" s="1681">
        <f t="shared" si="10"/>
        <v>658929</v>
      </c>
      <c r="L74" s="1681">
        <f>SUM(L42,L47,L53,L57,L65,L72,L73)</f>
        <v>744100</v>
      </c>
    </row>
    <row r="75" spans="1:14" s="254" customFormat="1" ht="15.75" customHeight="1" thickTop="1" thickBot="1" x14ac:dyDescent="0.25">
      <c r="A75" s="1348" t="s">
        <v>47</v>
      </c>
      <c r="B75" s="1349" t="s">
        <v>570</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v>826</v>
      </c>
      <c r="F78" s="1673"/>
      <c r="G78" s="1673"/>
      <c r="H78" s="1682">
        <v>0</v>
      </c>
      <c r="I78" s="1582"/>
      <c r="J78" s="1582"/>
      <c r="K78" s="1672">
        <f t="shared" ref="K78:K83" si="11">SUM(C78:J78)</f>
        <v>826</v>
      </c>
      <c r="L78" s="1586">
        <v>1300</v>
      </c>
    </row>
    <row r="79" spans="1:14" x14ac:dyDescent="0.2">
      <c r="A79" s="1274" t="s">
        <v>300</v>
      </c>
      <c r="B79" s="503">
        <v>4120</v>
      </c>
      <c r="C79" s="1673"/>
      <c r="D79" s="1673"/>
      <c r="E79" s="1573">
        <v>40542</v>
      </c>
      <c r="F79" s="1673"/>
      <c r="G79" s="1673"/>
      <c r="H79" s="1573">
        <v>0</v>
      </c>
      <c r="I79" s="1582"/>
      <c r="J79" s="1582"/>
      <c r="K79" s="1672">
        <f t="shared" si="11"/>
        <v>40542</v>
      </c>
      <c r="L79" s="1573">
        <v>45000</v>
      </c>
    </row>
    <row r="80" spans="1:14" x14ac:dyDescent="0.2">
      <c r="A80" s="1274" t="s">
        <v>301</v>
      </c>
      <c r="B80" s="503">
        <v>4130</v>
      </c>
      <c r="C80" s="1673"/>
      <c r="D80" s="1673"/>
      <c r="E80" s="1573">
        <v>0</v>
      </c>
      <c r="F80" s="1673"/>
      <c r="G80" s="1673"/>
      <c r="H80" s="1573">
        <v>0</v>
      </c>
      <c r="I80" s="1582"/>
      <c r="J80" s="1582"/>
      <c r="K80" s="1672">
        <f t="shared" si="11"/>
        <v>0</v>
      </c>
      <c r="L80" s="1573">
        <v>0</v>
      </c>
    </row>
    <row r="81" spans="1:12" x14ac:dyDescent="0.2">
      <c r="A81" s="1274" t="s">
        <v>691</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692</v>
      </c>
      <c r="B83" s="512">
        <v>4190</v>
      </c>
      <c r="C83" s="1673"/>
      <c r="D83" s="1673"/>
      <c r="E83" s="1573">
        <v>0</v>
      </c>
      <c r="F83" s="1673"/>
      <c r="G83" s="1673"/>
      <c r="H83" s="1573">
        <v>0</v>
      </c>
      <c r="I83" s="1582"/>
      <c r="J83" s="1582"/>
      <c r="K83" s="1672">
        <f t="shared" si="11"/>
        <v>0</v>
      </c>
      <c r="L83" s="1573">
        <v>0</v>
      </c>
    </row>
    <row r="84" spans="1:12" ht="13.5" thickBot="1" x14ac:dyDescent="0.25">
      <c r="A84" s="1380" t="s">
        <v>1467</v>
      </c>
      <c r="B84" s="1385">
        <v>4100</v>
      </c>
      <c r="C84" s="1673"/>
      <c r="D84" s="1673"/>
      <c r="E84" s="1674">
        <f>SUM(E78:E83)</f>
        <v>41368</v>
      </c>
      <c r="F84" s="1673"/>
      <c r="G84" s="1673"/>
      <c r="H84" s="1674">
        <f>SUM(H78:H83)</f>
        <v>0</v>
      </c>
      <c r="I84" s="1582"/>
      <c r="J84" s="1582"/>
      <c r="K84" s="1674">
        <f>SUM(K78:K83)</f>
        <v>41368</v>
      </c>
      <c r="L84" s="1674">
        <f>SUM(L78:L83)</f>
        <v>46300</v>
      </c>
    </row>
    <row r="85" spans="1:12" ht="12.75" customHeight="1" thickTop="1" thickBot="1" x14ac:dyDescent="0.25">
      <c r="A85" s="1281" t="s">
        <v>253</v>
      </c>
      <c r="B85" s="517">
        <v>4210</v>
      </c>
      <c r="C85" s="1673"/>
      <c r="D85" s="1673"/>
      <c r="E85" s="1683"/>
      <c r="F85" s="1673"/>
      <c r="G85" s="1673"/>
      <c r="H85" s="1630">
        <v>502022</v>
      </c>
      <c r="I85" s="1582"/>
      <c r="J85" s="1582"/>
      <c r="K85" s="1681">
        <f>H85</f>
        <v>502022</v>
      </c>
      <c r="L85" s="1626">
        <v>520000</v>
      </c>
    </row>
    <row r="86" spans="1:12" ht="12.75" customHeight="1" thickTop="1" thickBot="1" x14ac:dyDescent="0.25">
      <c r="A86" s="1282" t="s">
        <v>693</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694</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759</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695</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680</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681</v>
      </c>
      <c r="B91" s="519">
        <v>4290</v>
      </c>
      <c r="C91" s="1673"/>
      <c r="D91" s="1673"/>
      <c r="E91" s="1684"/>
      <c r="F91" s="1673"/>
      <c r="G91" s="1673"/>
      <c r="H91" s="1574">
        <v>0</v>
      </c>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502022</v>
      </c>
      <c r="I92" s="1582"/>
      <c r="J92" s="1582"/>
      <c r="K92" s="1681">
        <f t="shared" si="12"/>
        <v>502022</v>
      </c>
      <c r="L92" s="1674">
        <f>SUM(L85:L91)</f>
        <v>520000</v>
      </c>
    </row>
    <row r="93" spans="1:12" ht="14.25" thickTop="1" thickBot="1" x14ac:dyDescent="0.25">
      <c r="A93" s="1282" t="s">
        <v>682</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683</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v>0</v>
      </c>
      <c r="I95" s="1582"/>
      <c r="J95" s="1582"/>
      <c r="K95" s="1681">
        <f t="shared" si="12"/>
        <v>0</v>
      </c>
      <c r="L95" s="1626">
        <v>0</v>
      </c>
    </row>
    <row r="96" spans="1:12" ht="14.25" thickTop="1" thickBot="1" x14ac:dyDescent="0.25">
      <c r="A96" s="1283" t="s">
        <v>684</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757</v>
      </c>
      <c r="B97" s="519">
        <v>4370</v>
      </c>
      <c r="C97" s="1673"/>
      <c r="D97" s="1673"/>
      <c r="E97" s="1684"/>
      <c r="F97" s="1673"/>
      <c r="G97" s="1673"/>
      <c r="H97" s="1574">
        <v>0</v>
      </c>
      <c r="I97" s="1582"/>
      <c r="J97" s="1582"/>
      <c r="K97" s="1681">
        <f t="shared" si="12"/>
        <v>0</v>
      </c>
      <c r="L97" s="1626">
        <v>0</v>
      </c>
    </row>
    <row r="98" spans="1:14" ht="14.25" thickTop="1" thickBot="1" x14ac:dyDescent="0.25">
      <c r="A98" s="1283" t="s">
        <v>758</v>
      </c>
      <c r="B98" s="519">
        <v>4380</v>
      </c>
      <c r="C98" s="1673"/>
      <c r="D98" s="1673"/>
      <c r="E98" s="1686"/>
      <c r="F98" s="1673"/>
      <c r="G98" s="1673"/>
      <c r="H98" s="1574">
        <v>0</v>
      </c>
      <c r="I98" s="1582"/>
      <c r="J98" s="1582"/>
      <c r="K98" s="1681">
        <f t="shared" si="12"/>
        <v>0</v>
      </c>
      <c r="L98" s="1626">
        <v>0</v>
      </c>
    </row>
    <row r="99" spans="1:14" ht="14.25" thickTop="1" thickBot="1" x14ac:dyDescent="0.25">
      <c r="A99" s="1283" t="s">
        <v>363</v>
      </c>
      <c r="B99" s="519">
        <v>4390</v>
      </c>
      <c r="C99" s="1673"/>
      <c r="D99" s="1673"/>
      <c r="E99" s="1628">
        <v>0</v>
      </c>
      <c r="F99" s="1673"/>
      <c r="G99" s="1673"/>
      <c r="H99" s="1574">
        <v>0</v>
      </c>
      <c r="I99" s="1582"/>
      <c r="J99" s="1582"/>
      <c r="K99" s="1681">
        <f>SUM(E99,H99)</f>
        <v>0</v>
      </c>
      <c r="L99" s="1626">
        <v>0</v>
      </c>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1469</v>
      </c>
      <c r="B102" s="1385">
        <v>4000</v>
      </c>
      <c r="C102" s="1673"/>
      <c r="D102" s="1673"/>
      <c r="E102" s="1681">
        <f>SUM(E84,E92,E100,E101)</f>
        <v>41368</v>
      </c>
      <c r="F102" s="1673"/>
      <c r="G102" s="1673"/>
      <c r="H102" s="1681">
        <f>SUM(H84,H92,H100,H101)</f>
        <v>502022</v>
      </c>
      <c r="I102" s="1582"/>
      <c r="J102" s="1582"/>
      <c r="K102" s="1681">
        <f>SUM(K84,K92,K100,K101)</f>
        <v>543390</v>
      </c>
      <c r="L102" s="1681">
        <f>SUM(L84,L92,L100,L101)</f>
        <v>566300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1159</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584</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100000</v>
      </c>
      <c r="M113" s="502"/>
      <c r="N113" s="502"/>
    </row>
    <row r="114" spans="1:14" ht="12.75" customHeight="1" thickTop="1" thickBot="1" x14ac:dyDescent="0.25">
      <c r="A114" s="1380" t="s">
        <v>48</v>
      </c>
      <c r="B114" s="1388"/>
      <c r="C114" s="1674">
        <f>SUM(C33,C74,C75,C102,C112,C113)</f>
        <v>1135505</v>
      </c>
      <c r="D114" s="1674">
        <f t="shared" ref="D114:K114" si="13">SUM(D33,D74,D75,D102,D112,D113)</f>
        <v>174342</v>
      </c>
      <c r="E114" s="1674">
        <f t="shared" si="13"/>
        <v>206373</v>
      </c>
      <c r="F114" s="1674">
        <f t="shared" si="13"/>
        <v>90681</v>
      </c>
      <c r="G114" s="1674">
        <f t="shared" si="13"/>
        <v>0</v>
      </c>
      <c r="H114" s="1674">
        <f>SUM(H33,H74,H75,H102,H112,H113)</f>
        <v>506547</v>
      </c>
      <c r="I114" s="1674">
        <f t="shared" si="13"/>
        <v>0</v>
      </c>
      <c r="J114" s="1674">
        <f t="shared" si="13"/>
        <v>0</v>
      </c>
      <c r="K114" s="1674">
        <f t="shared" si="13"/>
        <v>2113448</v>
      </c>
      <c r="L114" s="1674">
        <f>SUM(L33,L74,L75,L102,L112,L113)</f>
        <v>2304000</v>
      </c>
    </row>
    <row r="115" spans="1:14" ht="13.5" thickTop="1" x14ac:dyDescent="0.2">
      <c r="A115" s="2308" t="s">
        <v>988</v>
      </c>
      <c r="B115" s="2309"/>
      <c r="C115" s="1675"/>
      <c r="D115" s="1675"/>
      <c r="E115" s="1675"/>
      <c r="F115" s="1675"/>
      <c r="G115" s="1675"/>
      <c r="H115" s="1675"/>
      <c r="I115" s="1675"/>
      <c r="J115" s="1675"/>
      <c r="K115" s="1689">
        <f>'Revenues 9-14'!C268-'Expenditures 15-22'!K114</f>
        <v>108271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6" t="s">
        <v>292</v>
      </c>
      <c r="B117" s="228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86769</v>
      </c>
      <c r="D124" s="1573">
        <v>11606</v>
      </c>
      <c r="E124" s="1573">
        <v>72084</v>
      </c>
      <c r="F124" s="1573">
        <v>112100</v>
      </c>
      <c r="G124" s="1573">
        <v>0</v>
      </c>
      <c r="H124" s="1573">
        <v>0</v>
      </c>
      <c r="I124" s="1574">
        <v>0</v>
      </c>
      <c r="J124" s="1574">
        <v>0</v>
      </c>
      <c r="K124" s="1674">
        <f>SUM(C124:J124)</f>
        <v>282559</v>
      </c>
      <c r="L124" s="1573">
        <v>303050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713</v>
      </c>
      <c r="B127" s="1381" t="s">
        <v>35</v>
      </c>
      <c r="C127" s="1674">
        <f>SUM(C122:C126)</f>
        <v>86769</v>
      </c>
      <c r="D127" s="1674">
        <f t="shared" ref="D127:L127" si="14">SUM(D122:D126)</f>
        <v>11606</v>
      </c>
      <c r="E127" s="1674">
        <f t="shared" si="14"/>
        <v>72084</v>
      </c>
      <c r="F127" s="1674">
        <f t="shared" si="14"/>
        <v>112100</v>
      </c>
      <c r="G127" s="1674">
        <f t="shared" si="14"/>
        <v>0</v>
      </c>
      <c r="H127" s="1674">
        <f t="shared" si="14"/>
        <v>0</v>
      </c>
      <c r="I127" s="1674">
        <f t="shared" si="14"/>
        <v>0</v>
      </c>
      <c r="J127" s="1674">
        <f t="shared" si="14"/>
        <v>0</v>
      </c>
      <c r="K127" s="1674">
        <f t="shared" si="14"/>
        <v>282559</v>
      </c>
      <c r="L127" s="1674">
        <f t="shared" si="14"/>
        <v>303050</v>
      </c>
    </row>
    <row r="128" spans="1:14" ht="12.75" customHeight="1" thickTop="1" x14ac:dyDescent="0.2">
      <c r="A128" s="1281" t="s">
        <v>972</v>
      </c>
      <c r="B128" s="531" t="s">
        <v>569</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805</v>
      </c>
      <c r="B129" s="1390" t="s">
        <v>564</v>
      </c>
      <c r="C129" s="1681">
        <f>SUM(C120,C127,C128)</f>
        <v>86769</v>
      </c>
      <c r="D129" s="1681">
        <f t="shared" ref="D129:L129" si="15">SUM(D120,D127,D128)</f>
        <v>11606</v>
      </c>
      <c r="E129" s="1681">
        <f t="shared" si="15"/>
        <v>72084</v>
      </c>
      <c r="F129" s="1681">
        <f t="shared" si="15"/>
        <v>112100</v>
      </c>
      <c r="G129" s="1681">
        <f t="shared" si="15"/>
        <v>0</v>
      </c>
      <c r="H129" s="1681">
        <f t="shared" si="15"/>
        <v>0</v>
      </c>
      <c r="I129" s="1681">
        <f t="shared" si="15"/>
        <v>0</v>
      </c>
      <c r="J129" s="1681">
        <f t="shared" si="15"/>
        <v>0</v>
      </c>
      <c r="K129" s="1681">
        <f t="shared" si="15"/>
        <v>282559</v>
      </c>
      <c r="L129" s="1681">
        <f t="shared" si="15"/>
        <v>303050</v>
      </c>
    </row>
    <row r="130" spans="1:14" ht="15.75" customHeight="1" thickTop="1" thickBot="1" x14ac:dyDescent="0.25">
      <c r="A130" s="1348" t="s">
        <v>1028</v>
      </c>
      <c r="B130" s="1349" t="s">
        <v>570</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v>0</v>
      </c>
      <c r="F133" s="1575"/>
      <c r="G133" s="1575"/>
      <c r="H133" s="1685">
        <v>0</v>
      </c>
      <c r="I133" s="1575"/>
      <c r="J133" s="1575"/>
      <c r="K133" s="1697">
        <f>SUM(E133,H133)</f>
        <v>0</v>
      </c>
      <c r="L133" s="1685">
        <v>0</v>
      </c>
      <c r="M133" s="201"/>
      <c r="N133" s="201"/>
    </row>
    <row r="134" spans="1:14" x14ac:dyDescent="0.2">
      <c r="A134" s="1274" t="s">
        <v>300</v>
      </c>
      <c r="B134" s="503">
        <v>4120</v>
      </c>
      <c r="C134" s="1673"/>
      <c r="D134" s="1673"/>
      <c r="E134" s="1583">
        <v>0</v>
      </c>
      <c r="F134" s="1673"/>
      <c r="G134" s="1673"/>
      <c r="H134" s="1586">
        <v>0</v>
      </c>
      <c r="I134" s="1582"/>
      <c r="J134" s="1673"/>
      <c r="K134" s="1678">
        <f>SUM(E134,H134)</f>
        <v>0</v>
      </c>
      <c r="L134" s="1586">
        <v>0</v>
      </c>
    </row>
    <row r="135" spans="1:14" x14ac:dyDescent="0.2">
      <c r="A135" s="1274" t="s">
        <v>691</v>
      </c>
      <c r="B135" s="503">
        <v>4140</v>
      </c>
      <c r="C135" s="1673"/>
      <c r="D135" s="1673"/>
      <c r="E135" s="1574">
        <v>0</v>
      </c>
      <c r="F135" s="1673"/>
      <c r="G135" s="1673"/>
      <c r="H135" s="1573">
        <v>0</v>
      </c>
      <c r="I135" s="1582"/>
      <c r="J135" s="1673"/>
      <c r="K135" s="1678">
        <f>SUM(E135,H135)</f>
        <v>0</v>
      </c>
      <c r="L135" s="1573">
        <v>0</v>
      </c>
    </row>
    <row r="136" spans="1:14" x14ac:dyDescent="0.2">
      <c r="A136" s="1278" t="s">
        <v>692</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v>0</v>
      </c>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1159</v>
      </c>
      <c r="B144" s="512" t="s">
        <v>612</v>
      </c>
      <c r="C144" s="1673"/>
      <c r="D144" s="1673"/>
      <c r="E144" s="1673"/>
      <c r="F144" s="1673"/>
      <c r="G144" s="1673"/>
      <c r="H144" s="1573">
        <v>0</v>
      </c>
      <c r="I144" s="1575"/>
      <c r="J144" s="1673"/>
      <c r="K144" s="1678">
        <f>SUM(H144)</f>
        <v>0</v>
      </c>
      <c r="L144" s="1573">
        <v>0</v>
      </c>
    </row>
    <row r="145" spans="1:14" x14ac:dyDescent="0.2">
      <c r="A145" s="1274" t="s">
        <v>89</v>
      </c>
      <c r="B145" s="503" t="s">
        <v>584</v>
      </c>
      <c r="C145" s="1673"/>
      <c r="D145" s="1673"/>
      <c r="E145" s="1673"/>
      <c r="F145" s="1673"/>
      <c r="G145" s="1673"/>
      <c r="H145" s="1573">
        <v>0</v>
      </c>
      <c r="I145" s="1575"/>
      <c r="J145" s="1673"/>
      <c r="K145" s="1678">
        <f>SUM(H145)</f>
        <v>0</v>
      </c>
      <c r="L145" s="1573">
        <v>0</v>
      </c>
    </row>
    <row r="146" spans="1:14" ht="12.75" customHeight="1" x14ac:dyDescent="0.2">
      <c r="A146" s="1274" t="s">
        <v>614</v>
      </c>
      <c r="B146" s="503" t="s">
        <v>613</v>
      </c>
      <c r="C146" s="1673"/>
      <c r="D146" s="1673"/>
      <c r="E146" s="1673"/>
      <c r="F146" s="1673"/>
      <c r="G146" s="1673"/>
      <c r="H146" s="1573">
        <v>0</v>
      </c>
      <c r="I146" s="1575"/>
      <c r="J146" s="1673"/>
      <c r="K146" s="1678">
        <f>SUM(H146)</f>
        <v>0</v>
      </c>
      <c r="L146" s="1573">
        <v>0</v>
      </c>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10000</v>
      </c>
    </row>
    <row r="151" spans="1:14" ht="12.75" customHeight="1" thickTop="1" thickBot="1" x14ac:dyDescent="0.25">
      <c r="A151" s="2298" t="s">
        <v>615</v>
      </c>
      <c r="B151" s="2280"/>
      <c r="C151" s="1674">
        <f>SUM(C129,C130,C139,C149,C150)</f>
        <v>86769</v>
      </c>
      <c r="D151" s="1674">
        <f t="shared" ref="D151:K151" si="16">SUM(D129,D130,D139,D149,D150)</f>
        <v>11606</v>
      </c>
      <c r="E151" s="1674">
        <f t="shared" si="16"/>
        <v>72084</v>
      </c>
      <c r="F151" s="1674">
        <f t="shared" si="16"/>
        <v>112100</v>
      </c>
      <c r="G151" s="1674">
        <f t="shared" si="16"/>
        <v>0</v>
      </c>
      <c r="H151" s="1674">
        <f t="shared" si="16"/>
        <v>0</v>
      </c>
      <c r="I151" s="1674">
        <f t="shared" si="16"/>
        <v>0</v>
      </c>
      <c r="J151" s="1674">
        <f t="shared" si="16"/>
        <v>0</v>
      </c>
      <c r="K151" s="1674">
        <f t="shared" si="16"/>
        <v>282559</v>
      </c>
      <c r="L151" s="1674">
        <f>SUM(L129,L130,L139,L149,L150)</f>
        <v>313050</v>
      </c>
    </row>
    <row r="152" spans="1:14" ht="12.75" customHeight="1" thickTop="1" x14ac:dyDescent="0.2">
      <c r="A152" s="2301" t="s">
        <v>1167</v>
      </c>
      <c r="B152" s="2302"/>
      <c r="C152" s="1675"/>
      <c r="D152" s="1675"/>
      <c r="E152" s="1675"/>
      <c r="F152" s="1675"/>
      <c r="G152" s="1675"/>
      <c r="H152" s="1675"/>
      <c r="I152" s="1675"/>
      <c r="J152" s="1673"/>
      <c r="K152" s="1689">
        <f>'Revenues 9-14'!D268-'Expenditures 15-22'!K151</f>
        <v>51059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6" t="s">
        <v>616</v>
      </c>
      <c r="B154" s="228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v>0</v>
      </c>
      <c r="I157" s="1673"/>
      <c r="J157" s="1673"/>
      <c r="K157" s="1672">
        <f>H157</f>
        <v>0</v>
      </c>
      <c r="L157" s="1574">
        <v>0</v>
      </c>
      <c r="M157" s="505"/>
      <c r="N157" s="505"/>
    </row>
    <row r="158" spans="1:14" s="506" customFormat="1" ht="12" x14ac:dyDescent="0.2">
      <c r="A158" s="1462" t="s">
        <v>300</v>
      </c>
      <c r="B158" s="1463" t="s">
        <v>1817</v>
      </c>
      <c r="C158" s="1673"/>
      <c r="D158" s="1673"/>
      <c r="E158" s="1673"/>
      <c r="F158" s="1673"/>
      <c r="G158" s="1673"/>
      <c r="H158" s="1574">
        <v>0</v>
      </c>
      <c r="I158" s="1673"/>
      <c r="J158" s="1673"/>
      <c r="K158" s="1672">
        <f>H158</f>
        <v>0</v>
      </c>
      <c r="L158" s="1574">
        <v>0</v>
      </c>
      <c r="M158" s="505"/>
      <c r="N158" s="505"/>
    </row>
    <row r="159" spans="1:14" s="506" customFormat="1" ht="12" x14ac:dyDescent="0.2">
      <c r="A159" s="1462" t="s">
        <v>1818</v>
      </c>
      <c r="B159" s="1463" t="s">
        <v>553</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1159</v>
      </c>
      <c r="B165" s="503" t="s">
        <v>612</v>
      </c>
      <c r="C165" s="1673"/>
      <c r="D165" s="1673"/>
      <c r="E165" s="1673"/>
      <c r="F165" s="1673"/>
      <c r="G165" s="1673"/>
      <c r="H165" s="1573">
        <v>0</v>
      </c>
      <c r="I165" s="1673"/>
      <c r="J165" s="1673"/>
      <c r="K165" s="1672">
        <f>SUM(C165:J165)</f>
        <v>0</v>
      </c>
      <c r="L165" s="1573">
        <v>0</v>
      </c>
    </row>
    <row r="166" spans="1:14" x14ac:dyDescent="0.2">
      <c r="A166" s="1274" t="s">
        <v>89</v>
      </c>
      <c r="B166" s="512" t="s">
        <v>584</v>
      </c>
      <c r="C166" s="1673"/>
      <c r="D166" s="1673"/>
      <c r="E166" s="1673"/>
      <c r="F166" s="1673"/>
      <c r="G166" s="1673"/>
      <c r="H166" s="1573">
        <v>0</v>
      </c>
      <c r="I166" s="1673"/>
      <c r="J166" s="1673"/>
      <c r="K166" s="1672">
        <f>SUM(C166:J166)</f>
        <v>0</v>
      </c>
      <c r="L166" s="1573">
        <v>0</v>
      </c>
    </row>
    <row r="167" spans="1:14" ht="12.75" customHeight="1" x14ac:dyDescent="0.2">
      <c r="A167" s="1274" t="s">
        <v>614</v>
      </c>
      <c r="B167" s="503" t="s">
        <v>613</v>
      </c>
      <c r="C167" s="1673"/>
      <c r="D167" s="1673"/>
      <c r="E167" s="1673"/>
      <c r="F167" s="1673"/>
      <c r="G167" s="1673"/>
      <c r="H167" s="1573">
        <v>0</v>
      </c>
      <c r="I167" s="1673"/>
      <c r="J167" s="1673"/>
      <c r="K167" s="1672">
        <f>SUM(C167:J167)</f>
        <v>0</v>
      </c>
      <c r="L167" s="1573">
        <v>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112449</v>
      </c>
      <c r="I169" s="1673"/>
      <c r="J169" s="1673"/>
      <c r="K169" s="1672">
        <f>SUM(C169:H169)</f>
        <v>112449</v>
      </c>
      <c r="L169" s="1695">
        <v>231395</v>
      </c>
    </row>
    <row r="170" spans="1:14" ht="33.75" customHeight="1" x14ac:dyDescent="0.2">
      <c r="A170" s="543" t="s">
        <v>1650</v>
      </c>
      <c r="B170" s="545" t="s">
        <v>31</v>
      </c>
      <c r="C170" s="1673"/>
      <c r="D170" s="1673"/>
      <c r="E170" s="1673"/>
      <c r="F170" s="1673"/>
      <c r="G170" s="1673"/>
      <c r="H170" s="1646">
        <v>432976</v>
      </c>
      <c r="I170" s="1673"/>
      <c r="J170" s="1673"/>
      <c r="K170" s="1672">
        <f>SUM(C170:J170)</f>
        <v>432976</v>
      </c>
      <c r="L170" s="1646">
        <v>314030</v>
      </c>
    </row>
    <row r="171" spans="1:14" ht="15.75" customHeight="1" x14ac:dyDescent="0.2">
      <c r="A171" s="507" t="s">
        <v>760</v>
      </c>
      <c r="B171" s="546" t="s">
        <v>84</v>
      </c>
      <c r="C171" s="1673"/>
      <c r="D171" s="1673"/>
      <c r="E171" s="1573">
        <v>0</v>
      </c>
      <c r="F171" s="1673"/>
      <c r="G171" s="1673"/>
      <c r="H171" s="1646">
        <v>2900</v>
      </c>
      <c r="I171" s="1582"/>
      <c r="J171" s="1673"/>
      <c r="K171" s="1672">
        <f>SUM(C171:J171)</f>
        <v>2900</v>
      </c>
      <c r="L171" s="1646">
        <v>3300</v>
      </c>
    </row>
    <row r="172" spans="1:14" ht="12.75" customHeight="1" thickBot="1" x14ac:dyDescent="0.25">
      <c r="A172" s="1380" t="s">
        <v>632</v>
      </c>
      <c r="B172" s="1381" t="s">
        <v>488</v>
      </c>
      <c r="C172" s="1673"/>
      <c r="D172" s="1673"/>
      <c r="E172" s="1681">
        <f>SUM(E168,E169,E170,E171)</f>
        <v>0</v>
      </c>
      <c r="F172" s="1673"/>
      <c r="G172" s="1673"/>
      <c r="H172" s="1681">
        <f>SUM(H168,H169,H170,H171)</f>
        <v>548325</v>
      </c>
      <c r="I172" s="1684"/>
      <c r="J172" s="1673"/>
      <c r="K172" s="1681">
        <f>SUM(K168,K169,K170,K171)</f>
        <v>548325</v>
      </c>
      <c r="L172" s="1681">
        <f>SUM(L168,L169,L170,L171)</f>
        <v>548725</v>
      </c>
    </row>
    <row r="173" spans="1:14" ht="15.75" customHeight="1" thickTop="1" thickBot="1" x14ac:dyDescent="0.25">
      <c r="A173" s="1357" t="s">
        <v>85</v>
      </c>
      <c r="B173" s="1349" t="s">
        <v>855</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548325</v>
      </c>
      <c r="I174" s="1684"/>
      <c r="J174" s="1673"/>
      <c r="K174" s="1681">
        <f>SUM(K160,K172,K173)</f>
        <v>548325</v>
      </c>
      <c r="L174" s="1681">
        <f>SUM(L160,L172,L173)</f>
        <v>548725</v>
      </c>
    </row>
    <row r="175" spans="1:14" ht="13.5" thickTop="1" x14ac:dyDescent="0.2">
      <c r="A175" s="2308" t="s">
        <v>988</v>
      </c>
      <c r="B175" s="2309"/>
      <c r="C175" s="1673"/>
      <c r="D175" s="1673"/>
      <c r="E175" s="1673"/>
      <c r="F175" s="1673"/>
      <c r="G175" s="1673"/>
      <c r="H175" s="1675"/>
      <c r="I175" s="1673"/>
      <c r="J175" s="1673"/>
      <c r="K175" s="1689">
        <f>'Revenues 9-14'!E268-'Expenditures 15-22'!K174</f>
        <v>-3475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80580</v>
      </c>
      <c r="D182" s="1573">
        <v>0</v>
      </c>
      <c r="E182" s="1573">
        <v>80706</v>
      </c>
      <c r="F182" s="1573">
        <v>28806</v>
      </c>
      <c r="G182" s="1573">
        <v>6550</v>
      </c>
      <c r="H182" s="1573">
        <v>0</v>
      </c>
      <c r="I182" s="1574">
        <v>0</v>
      </c>
      <c r="J182" s="1574">
        <v>0</v>
      </c>
      <c r="K182" s="1672">
        <f>SUM(C182:J182)</f>
        <v>196642</v>
      </c>
      <c r="L182" s="1573">
        <v>206600</v>
      </c>
    </row>
    <row r="183" spans="1:14" ht="12.75" customHeight="1" thickBot="1" x14ac:dyDescent="0.25">
      <c r="A183" s="1279" t="s">
        <v>972</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805</v>
      </c>
      <c r="B184" s="1381" t="s">
        <v>564</v>
      </c>
      <c r="C184" s="1681">
        <f>SUM(C180,C182,C183)</f>
        <v>80580</v>
      </c>
      <c r="D184" s="1681">
        <f t="shared" ref="D184:J184" si="17">SUM(D180,D182,D183)</f>
        <v>0</v>
      </c>
      <c r="E184" s="1681">
        <f t="shared" si="17"/>
        <v>80706</v>
      </c>
      <c r="F184" s="1681">
        <f t="shared" si="17"/>
        <v>28806</v>
      </c>
      <c r="G184" s="1681">
        <f t="shared" si="17"/>
        <v>6550</v>
      </c>
      <c r="H184" s="1681">
        <f t="shared" si="17"/>
        <v>0</v>
      </c>
      <c r="I184" s="1681">
        <f t="shared" si="17"/>
        <v>0</v>
      </c>
      <c r="J184" s="1681">
        <f t="shared" si="17"/>
        <v>0</v>
      </c>
      <c r="K184" s="1681">
        <f>SUM(K180,K182,K183)</f>
        <v>196642</v>
      </c>
      <c r="L184" s="1681">
        <f>SUM(L180, L182:L183)</f>
        <v>206600</v>
      </c>
    </row>
    <row r="185" spans="1:14" ht="15.75" customHeight="1" thickTop="1" thickBot="1" x14ac:dyDescent="0.25">
      <c r="A185" s="1360" t="s">
        <v>932</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300</v>
      </c>
      <c r="B189" s="503">
        <v>4120</v>
      </c>
      <c r="C189" s="1673"/>
      <c r="D189" s="1673"/>
      <c r="E189" s="1573">
        <v>0</v>
      </c>
      <c r="F189" s="1673"/>
      <c r="G189" s="1673"/>
      <c r="H189" s="1573">
        <v>0</v>
      </c>
      <c r="I189" s="1582"/>
      <c r="J189" s="1673"/>
      <c r="K189" s="1672">
        <f t="shared" si="18"/>
        <v>0</v>
      </c>
      <c r="L189" s="1573">
        <v>0</v>
      </c>
    </row>
    <row r="190" spans="1:14" x14ac:dyDescent="0.2">
      <c r="A190" s="1274" t="s">
        <v>301</v>
      </c>
      <c r="B190" s="512">
        <v>4130</v>
      </c>
      <c r="C190" s="1673"/>
      <c r="D190" s="1673"/>
      <c r="E190" s="1573">
        <v>0</v>
      </c>
      <c r="F190" s="1673"/>
      <c r="G190" s="1673"/>
      <c r="H190" s="1573">
        <v>0</v>
      </c>
      <c r="I190" s="1582"/>
      <c r="J190" s="1673"/>
      <c r="K190" s="1672">
        <f t="shared" si="18"/>
        <v>0</v>
      </c>
      <c r="L190" s="1573">
        <v>0</v>
      </c>
    </row>
    <row r="191" spans="1:14" x14ac:dyDescent="0.2">
      <c r="A191" s="1274" t="s">
        <v>691</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692</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v>0</v>
      </c>
      <c r="F195" s="1673"/>
      <c r="G195" s="1673"/>
      <c r="H195" s="1695">
        <v>0</v>
      </c>
      <c r="I195" s="1582"/>
      <c r="J195" s="1673"/>
      <c r="K195" s="1696">
        <f>SUM(E195,H195)</f>
        <v>0</v>
      </c>
      <c r="L195" s="1695">
        <v>0</v>
      </c>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1159</v>
      </c>
      <c r="B201" s="512" t="s">
        <v>612</v>
      </c>
      <c r="C201" s="1673"/>
      <c r="D201" s="1673"/>
      <c r="E201" s="1673"/>
      <c r="F201" s="1673"/>
      <c r="G201" s="1673"/>
      <c r="H201" s="1573">
        <v>0</v>
      </c>
      <c r="I201" s="1673"/>
      <c r="J201" s="1673"/>
      <c r="K201" s="1672">
        <f>SUM(H201)</f>
        <v>0</v>
      </c>
      <c r="L201" s="1573">
        <v>0</v>
      </c>
    </row>
    <row r="202" spans="1:14" x14ac:dyDescent="0.2">
      <c r="A202" s="1274" t="s">
        <v>89</v>
      </c>
      <c r="B202" s="503" t="s">
        <v>584</v>
      </c>
      <c r="C202" s="1673"/>
      <c r="D202" s="1673"/>
      <c r="E202" s="1673"/>
      <c r="F202" s="1673"/>
      <c r="G202" s="1673"/>
      <c r="H202" s="1573">
        <v>0</v>
      </c>
      <c r="I202" s="1673"/>
      <c r="J202" s="1673"/>
      <c r="K202" s="1672">
        <f>SUM(H202)</f>
        <v>0</v>
      </c>
      <c r="L202" s="1573">
        <v>0</v>
      </c>
    </row>
    <row r="203" spans="1:14" x14ac:dyDescent="0.2">
      <c r="A203" s="1286" t="s">
        <v>614</v>
      </c>
      <c r="B203" s="503" t="s">
        <v>613</v>
      </c>
      <c r="C203" s="1673"/>
      <c r="D203" s="1673"/>
      <c r="E203" s="1673"/>
      <c r="F203" s="1673"/>
      <c r="G203" s="1673"/>
      <c r="H203" s="1577">
        <v>0</v>
      </c>
      <c r="I203" s="1673"/>
      <c r="J203" s="1673"/>
      <c r="K203" s="1672">
        <f>SUM(H203)</f>
        <v>0</v>
      </c>
      <c r="L203" s="1577">
        <v>0</v>
      </c>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1651</v>
      </c>
      <c r="B206" s="546" t="s">
        <v>31</v>
      </c>
      <c r="C206" s="1673"/>
      <c r="D206" s="1673"/>
      <c r="E206" s="1673"/>
      <c r="F206" s="1673"/>
      <c r="G206" s="1673"/>
      <c r="H206" s="1573">
        <v>0</v>
      </c>
      <c r="I206" s="1673"/>
      <c r="J206" s="1673"/>
      <c r="K206" s="1672">
        <f>SUM(H206)</f>
        <v>0</v>
      </c>
      <c r="L206" s="1573">
        <v>0</v>
      </c>
    </row>
    <row r="207" spans="1:14" ht="15.75" customHeight="1" x14ac:dyDescent="0.2">
      <c r="A207" s="507" t="s">
        <v>760</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v>10000</v>
      </c>
    </row>
    <row r="210" spans="1:14" ht="12.75" customHeight="1" thickTop="1" thickBot="1" x14ac:dyDescent="0.25">
      <c r="A210" s="1394" t="s">
        <v>274</v>
      </c>
      <c r="B210" s="1395"/>
      <c r="C210" s="1674">
        <f>SUM(C184,C185)</f>
        <v>80580</v>
      </c>
      <c r="D210" s="1674">
        <f>SUM(D184,D185)</f>
        <v>0</v>
      </c>
      <c r="E210" s="1674">
        <f>SUM(E184,E185,E196)</f>
        <v>80706</v>
      </c>
      <c r="F210" s="1674">
        <f>SUM(F184,F185)</f>
        <v>28806</v>
      </c>
      <c r="G210" s="1674">
        <f>SUM(G184,G185)</f>
        <v>6550</v>
      </c>
      <c r="H210" s="1674">
        <f>SUM(H184,H185,H196,H208,H209)</f>
        <v>0</v>
      </c>
      <c r="I210" s="1674">
        <f>SUM(I184,I185)</f>
        <v>0</v>
      </c>
      <c r="J210" s="1674">
        <f>SUM(J184,J185)</f>
        <v>0</v>
      </c>
      <c r="K210" s="1672">
        <f>SUM(K184,K185,K196,K208,K209)</f>
        <v>196642</v>
      </c>
      <c r="L210" s="1674">
        <f>SUM(L184,L185,L196,L208,L209)</f>
        <v>216600</v>
      </c>
    </row>
    <row r="211" spans="1:14" ht="13.5" thickTop="1" x14ac:dyDescent="0.2">
      <c r="A211" s="2308" t="s">
        <v>988</v>
      </c>
      <c r="B211" s="2309"/>
      <c r="C211" s="1675"/>
      <c r="D211" s="1675"/>
      <c r="E211" s="1675"/>
      <c r="F211" s="1675"/>
      <c r="G211" s="1675"/>
      <c r="H211" s="1675"/>
      <c r="I211" s="1673"/>
      <c r="J211" s="1673"/>
      <c r="K211" s="1689">
        <f>'Revenues 9-14'!F268-'Expenditures 15-22'!K210</f>
        <v>12888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3" t="s">
        <v>958</v>
      </c>
      <c r="B213" s="230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7056</v>
      </c>
      <c r="E215" s="1673"/>
      <c r="F215" s="1673"/>
      <c r="G215" s="1673"/>
      <c r="H215" s="1673"/>
      <c r="I215" s="1673"/>
      <c r="J215" s="1673"/>
      <c r="K215" s="1672">
        <f>D215</f>
        <v>7056</v>
      </c>
      <c r="L215" s="1573">
        <v>6500</v>
      </c>
    </row>
    <row r="216" spans="1:14" x14ac:dyDescent="0.2">
      <c r="A216" s="1274" t="s">
        <v>162</v>
      </c>
      <c r="B216" s="503" t="s">
        <v>960</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6226</v>
      </c>
      <c r="E217" s="1673"/>
      <c r="F217" s="1673"/>
      <c r="G217" s="1673"/>
      <c r="H217" s="1673"/>
      <c r="I217" s="1673"/>
      <c r="J217" s="1673"/>
      <c r="K217" s="1672">
        <f t="shared" si="19"/>
        <v>6226</v>
      </c>
      <c r="L217" s="1573">
        <v>5600</v>
      </c>
    </row>
    <row r="218" spans="1:14" x14ac:dyDescent="0.2">
      <c r="A218" s="1274" t="s">
        <v>275</v>
      </c>
      <c r="B218" s="503" t="s">
        <v>961</v>
      </c>
      <c r="C218" s="1673"/>
      <c r="D218" s="1574">
        <v>0</v>
      </c>
      <c r="E218" s="1673"/>
      <c r="F218" s="1673"/>
      <c r="G218" s="1673"/>
      <c r="H218" s="1673"/>
      <c r="I218" s="1673"/>
      <c r="J218" s="1673"/>
      <c r="K218" s="1672">
        <f t="shared" si="19"/>
        <v>0</v>
      </c>
      <c r="L218" s="1573">
        <v>0</v>
      </c>
    </row>
    <row r="219" spans="1:14" x14ac:dyDescent="0.2">
      <c r="A219" s="1274" t="s">
        <v>276</v>
      </c>
      <c r="B219" s="503">
        <v>1250</v>
      </c>
      <c r="C219" s="1673"/>
      <c r="D219" s="1573">
        <v>805</v>
      </c>
      <c r="E219" s="1673"/>
      <c r="F219" s="1673"/>
      <c r="G219" s="1673"/>
      <c r="H219" s="1673"/>
      <c r="I219" s="1673"/>
      <c r="J219" s="1673"/>
      <c r="K219" s="1672">
        <f t="shared" si="19"/>
        <v>805</v>
      </c>
      <c r="L219" s="1573">
        <v>800</v>
      </c>
    </row>
    <row r="220" spans="1:14" x14ac:dyDescent="0.2">
      <c r="A220" s="1274" t="s">
        <v>277</v>
      </c>
      <c r="B220" s="503" t="s">
        <v>160</v>
      </c>
      <c r="C220" s="1673"/>
      <c r="D220" s="1574">
        <v>0</v>
      </c>
      <c r="E220" s="1673"/>
      <c r="F220" s="1673"/>
      <c r="G220" s="1673"/>
      <c r="H220" s="1673"/>
      <c r="I220" s="1673"/>
      <c r="J220" s="1673"/>
      <c r="K220" s="1672">
        <f t="shared" si="19"/>
        <v>0</v>
      </c>
      <c r="L220" s="1573">
        <v>0</v>
      </c>
    </row>
    <row r="221" spans="1:14" x14ac:dyDescent="0.2">
      <c r="A221" s="1274" t="s">
        <v>955</v>
      </c>
      <c r="B221" s="503">
        <v>1300</v>
      </c>
      <c r="C221" s="1673"/>
      <c r="D221" s="1573">
        <v>0</v>
      </c>
      <c r="E221" s="1673"/>
      <c r="F221" s="1673"/>
      <c r="G221" s="1673"/>
      <c r="H221" s="1673"/>
      <c r="I221" s="1673"/>
      <c r="J221" s="1673"/>
      <c r="K221" s="1672">
        <f t="shared" si="19"/>
        <v>0</v>
      </c>
      <c r="L221" s="1573">
        <v>0</v>
      </c>
    </row>
    <row r="222" spans="1:14" x14ac:dyDescent="0.2">
      <c r="A222" s="1274" t="s">
        <v>717</v>
      </c>
      <c r="B222" s="503">
        <v>1400</v>
      </c>
      <c r="C222" s="1673"/>
      <c r="D222" s="1573">
        <v>136</v>
      </c>
      <c r="E222" s="1673"/>
      <c r="F222" s="1673"/>
      <c r="G222" s="1673"/>
      <c r="H222" s="1673"/>
      <c r="I222" s="1673"/>
      <c r="J222" s="1673"/>
      <c r="K222" s="1672">
        <f t="shared" si="19"/>
        <v>136</v>
      </c>
      <c r="L222" s="1573">
        <v>0</v>
      </c>
    </row>
    <row r="223" spans="1:14" x14ac:dyDescent="0.2">
      <c r="A223" s="1274" t="s">
        <v>956</v>
      </c>
      <c r="B223" s="503">
        <v>1500</v>
      </c>
      <c r="C223" s="1673"/>
      <c r="D223" s="1573">
        <v>827</v>
      </c>
      <c r="E223" s="1673"/>
      <c r="F223" s="1673"/>
      <c r="G223" s="1673"/>
      <c r="H223" s="1673"/>
      <c r="I223" s="1673"/>
      <c r="J223" s="1673"/>
      <c r="K223" s="1672">
        <f t="shared" si="19"/>
        <v>827</v>
      </c>
      <c r="L223" s="1573">
        <v>2950</v>
      </c>
    </row>
    <row r="224" spans="1:14" x14ac:dyDescent="0.2">
      <c r="A224" s="1274" t="s">
        <v>957</v>
      </c>
      <c r="B224" s="503">
        <v>1600</v>
      </c>
      <c r="C224" s="1673"/>
      <c r="D224" s="1573">
        <v>0</v>
      </c>
      <c r="E224" s="1673"/>
      <c r="F224" s="1673"/>
      <c r="G224" s="1673"/>
      <c r="H224" s="1673"/>
      <c r="I224" s="1673"/>
      <c r="J224" s="1673"/>
      <c r="K224" s="1672">
        <f t="shared" si="19"/>
        <v>0</v>
      </c>
      <c r="L224" s="1573">
        <v>0</v>
      </c>
    </row>
    <row r="225" spans="1:12" x14ac:dyDescent="0.2">
      <c r="A225" s="1274" t="s">
        <v>979</v>
      </c>
      <c r="B225" s="503">
        <v>1650</v>
      </c>
      <c r="C225" s="1673"/>
      <c r="D225" s="1573">
        <v>0</v>
      </c>
      <c r="E225" s="1673"/>
      <c r="F225" s="1673"/>
      <c r="G225" s="1673"/>
      <c r="H225" s="1673"/>
      <c r="I225" s="1673"/>
      <c r="J225" s="1673"/>
      <c r="K225" s="1672">
        <f t="shared" si="19"/>
        <v>0</v>
      </c>
      <c r="L225" s="1573">
        <v>0</v>
      </c>
    </row>
    <row r="226" spans="1:12" x14ac:dyDescent="0.2">
      <c r="A226" s="1274" t="s">
        <v>718</v>
      </c>
      <c r="B226" s="503" t="s">
        <v>161</v>
      </c>
      <c r="C226" s="1673"/>
      <c r="D226" s="1574">
        <v>0</v>
      </c>
      <c r="E226" s="1673"/>
      <c r="F226" s="1673"/>
      <c r="G226" s="1673"/>
      <c r="H226" s="1673"/>
      <c r="I226" s="1673"/>
      <c r="J226" s="1673"/>
      <c r="K226" s="1672">
        <f t="shared" si="19"/>
        <v>0</v>
      </c>
      <c r="L226" s="1573">
        <v>0</v>
      </c>
    </row>
    <row r="227" spans="1:12" x14ac:dyDescent="0.2">
      <c r="A227" s="1274" t="s">
        <v>1077</v>
      </c>
      <c r="B227" s="503">
        <v>1800</v>
      </c>
      <c r="C227" s="1673"/>
      <c r="D227" s="1573">
        <v>0</v>
      </c>
      <c r="E227" s="1673"/>
      <c r="F227" s="1673"/>
      <c r="G227" s="1673"/>
      <c r="H227" s="1673"/>
      <c r="I227" s="1673"/>
      <c r="J227" s="1673"/>
      <c r="K227" s="1672">
        <f t="shared" si="19"/>
        <v>0</v>
      </c>
      <c r="L227" s="1573">
        <v>0</v>
      </c>
    </row>
    <row r="228" spans="1:12" x14ac:dyDescent="0.2">
      <c r="A228" s="1274" t="s">
        <v>1078</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709</v>
      </c>
      <c r="B229" s="1383" t="s">
        <v>565</v>
      </c>
      <c r="C229" s="1673"/>
      <c r="D229" s="1674">
        <f>SUM(D215:D228)</f>
        <v>15050</v>
      </c>
      <c r="E229" s="1673"/>
      <c r="F229" s="1673"/>
      <c r="G229" s="1673"/>
      <c r="H229" s="1673"/>
      <c r="I229" s="1673"/>
      <c r="J229" s="1673"/>
      <c r="K229" s="1674">
        <f>SUM(K215:K228)</f>
        <v>15050</v>
      </c>
      <c r="L229" s="1674">
        <f>SUM(L215:L228)</f>
        <v>15850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645</v>
      </c>
      <c r="E232" s="1673"/>
      <c r="F232" s="1673"/>
      <c r="G232" s="1673"/>
      <c r="H232" s="1673"/>
      <c r="I232" s="1673"/>
      <c r="J232" s="1673"/>
      <c r="K232" s="1672">
        <f t="shared" ref="K232:K237" si="20">D232</f>
        <v>645</v>
      </c>
      <c r="L232" s="1573">
        <v>1800</v>
      </c>
    </row>
    <row r="233" spans="1:12" x14ac:dyDescent="0.2">
      <c r="A233" s="1274" t="s">
        <v>1080</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555</v>
      </c>
      <c r="B238" s="1383" t="s">
        <v>710</v>
      </c>
      <c r="C238" s="1673"/>
      <c r="D238" s="1674">
        <f>SUM(D232:D237)</f>
        <v>645</v>
      </c>
      <c r="E238" s="1673"/>
      <c r="F238" s="1673"/>
      <c r="G238" s="1673"/>
      <c r="H238" s="1673"/>
      <c r="I238" s="1673"/>
      <c r="J238" s="1673"/>
      <c r="K238" s="1674">
        <f>SUM(K232:K237)</f>
        <v>645</v>
      </c>
      <c r="L238" s="1674">
        <f>SUM(L232:L237)</f>
        <v>1800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15</v>
      </c>
      <c r="E240" s="1673"/>
      <c r="F240" s="1673"/>
      <c r="G240" s="1673"/>
      <c r="H240" s="1673"/>
      <c r="I240" s="1673"/>
      <c r="J240" s="1673"/>
      <c r="K240" s="1678">
        <f>D240</f>
        <v>15</v>
      </c>
      <c r="L240" s="1586">
        <v>0</v>
      </c>
    </row>
    <row r="241" spans="1:12" x14ac:dyDescent="0.2">
      <c r="A241" s="1274" t="s">
        <v>809</v>
      </c>
      <c r="B241" s="503">
        <v>2220</v>
      </c>
      <c r="C241" s="1673"/>
      <c r="D241" s="1573">
        <v>4211</v>
      </c>
      <c r="E241" s="1673"/>
      <c r="F241" s="1673"/>
      <c r="G241" s="1673"/>
      <c r="H241" s="1673"/>
      <c r="I241" s="1673"/>
      <c r="J241" s="1673"/>
      <c r="K241" s="1678">
        <f>D241</f>
        <v>4211</v>
      </c>
      <c r="L241" s="1573">
        <v>3700</v>
      </c>
    </row>
    <row r="242" spans="1:12" x14ac:dyDescent="0.2">
      <c r="A242" s="1274" t="s">
        <v>810</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556</v>
      </c>
      <c r="B243" s="1397">
        <v>2200</v>
      </c>
      <c r="C243" s="1673"/>
      <c r="D243" s="1674">
        <f>SUM(D240:D242)</f>
        <v>4226</v>
      </c>
      <c r="E243" s="1673"/>
      <c r="F243" s="1673"/>
      <c r="G243" s="1673"/>
      <c r="H243" s="1673"/>
      <c r="I243" s="1673"/>
      <c r="J243" s="1673"/>
      <c r="K243" s="1674">
        <f>SUM(K240:K242)</f>
        <v>4226</v>
      </c>
      <c r="L243" s="1674">
        <f>SUM(L240:L242)</f>
        <v>3700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356</v>
      </c>
      <c r="E245" s="1673"/>
      <c r="F245" s="1673"/>
      <c r="G245" s="1673"/>
      <c r="H245" s="1673"/>
      <c r="I245" s="1673"/>
      <c r="J245" s="1673"/>
      <c r="K245" s="1678">
        <f>D245</f>
        <v>356</v>
      </c>
      <c r="L245" s="1586">
        <v>350</v>
      </c>
    </row>
    <row r="246" spans="1:12" x14ac:dyDescent="0.2">
      <c r="A246" s="1274" t="s">
        <v>812</v>
      </c>
      <c r="B246" s="503">
        <v>2320</v>
      </c>
      <c r="C246" s="1673"/>
      <c r="D246" s="1573">
        <v>1729</v>
      </c>
      <c r="E246" s="1673"/>
      <c r="F246" s="1673"/>
      <c r="G246" s="1673"/>
      <c r="H246" s="1673"/>
      <c r="I246" s="1673"/>
      <c r="J246" s="1673"/>
      <c r="K246" s="1678">
        <f t="shared" ref="K246:K256" si="21">D246</f>
        <v>1729</v>
      </c>
      <c r="L246" s="1573">
        <v>0</v>
      </c>
    </row>
    <row r="247" spans="1:12" x14ac:dyDescent="0.2">
      <c r="A247" s="1274" t="s">
        <v>813</v>
      </c>
      <c r="B247" s="503">
        <v>2330</v>
      </c>
      <c r="C247" s="1673"/>
      <c r="D247" s="1573">
        <v>0</v>
      </c>
      <c r="E247" s="1673"/>
      <c r="F247" s="1673"/>
      <c r="G247" s="1673"/>
      <c r="H247" s="1673"/>
      <c r="I247" s="1673"/>
      <c r="J247" s="1673"/>
      <c r="K247" s="1678">
        <f t="shared" si="21"/>
        <v>0</v>
      </c>
      <c r="L247" s="1573">
        <v>0</v>
      </c>
    </row>
    <row r="248" spans="1:12" x14ac:dyDescent="0.2">
      <c r="A248" s="1275" t="s">
        <v>295</v>
      </c>
      <c r="B248" s="494" t="s">
        <v>278</v>
      </c>
      <c r="C248" s="1673"/>
      <c r="D248" s="1579">
        <v>0</v>
      </c>
      <c r="E248" s="1673"/>
      <c r="F248" s="1673"/>
      <c r="G248" s="1673"/>
      <c r="H248" s="1673"/>
      <c r="I248" s="1673"/>
      <c r="J248" s="1673"/>
      <c r="K248" s="1678">
        <f t="shared" si="21"/>
        <v>0</v>
      </c>
      <c r="L248" s="1573">
        <v>0</v>
      </c>
    </row>
    <row r="249" spans="1:12" x14ac:dyDescent="0.2">
      <c r="A249" s="1276" t="s">
        <v>1781</v>
      </c>
      <c r="B249" s="557" t="s">
        <v>279</v>
      </c>
      <c r="C249" s="1673"/>
      <c r="D249" s="1579">
        <v>0</v>
      </c>
      <c r="E249" s="1673"/>
      <c r="F249" s="1673"/>
      <c r="G249" s="1673"/>
      <c r="H249" s="1673"/>
      <c r="I249" s="1673"/>
      <c r="J249" s="1673"/>
      <c r="K249" s="1678">
        <f t="shared" si="21"/>
        <v>0</v>
      </c>
      <c r="L249" s="1573">
        <v>0</v>
      </c>
    </row>
    <row r="250" spans="1:12" x14ac:dyDescent="0.2">
      <c r="A250" s="1275" t="s">
        <v>1782</v>
      </c>
      <c r="B250" s="494" t="s">
        <v>280</v>
      </c>
      <c r="C250" s="1673"/>
      <c r="D250" s="1579">
        <v>0</v>
      </c>
      <c r="E250" s="1673"/>
      <c r="F250" s="1673"/>
      <c r="G250" s="1673"/>
      <c r="H250" s="1673"/>
      <c r="I250" s="1673"/>
      <c r="J250" s="1673"/>
      <c r="K250" s="1678">
        <f t="shared" si="21"/>
        <v>0</v>
      </c>
      <c r="L250" s="1573">
        <v>0</v>
      </c>
    </row>
    <row r="251" spans="1:12" x14ac:dyDescent="0.2">
      <c r="A251" s="1275" t="s">
        <v>236</v>
      </c>
      <c r="B251" s="494" t="s">
        <v>281</v>
      </c>
      <c r="C251" s="1673"/>
      <c r="D251" s="1579">
        <v>0</v>
      </c>
      <c r="E251" s="1673"/>
      <c r="F251" s="1673"/>
      <c r="G251" s="1673"/>
      <c r="H251" s="1673"/>
      <c r="I251" s="1673"/>
      <c r="J251" s="1673"/>
      <c r="K251" s="1678">
        <f t="shared" si="21"/>
        <v>0</v>
      </c>
      <c r="L251" s="1573">
        <v>0</v>
      </c>
    </row>
    <row r="252" spans="1:12" x14ac:dyDescent="0.2">
      <c r="A252" s="1275" t="s">
        <v>696</v>
      </c>
      <c r="B252" s="494" t="s">
        <v>282</v>
      </c>
      <c r="C252" s="1673"/>
      <c r="D252" s="1579">
        <v>0</v>
      </c>
      <c r="E252" s="1673"/>
      <c r="F252" s="1673"/>
      <c r="G252" s="1673"/>
      <c r="H252" s="1673"/>
      <c r="I252" s="1673"/>
      <c r="J252" s="1673"/>
      <c r="K252" s="1678">
        <f t="shared" si="21"/>
        <v>0</v>
      </c>
      <c r="L252" s="1573">
        <v>0</v>
      </c>
    </row>
    <row r="253" spans="1:12" x14ac:dyDescent="0.2">
      <c r="A253" s="1275" t="s">
        <v>237</v>
      </c>
      <c r="B253" s="494" t="s">
        <v>283</v>
      </c>
      <c r="C253" s="1673"/>
      <c r="D253" s="1579">
        <v>0</v>
      </c>
      <c r="E253" s="1673"/>
      <c r="F253" s="1673"/>
      <c r="G253" s="1673"/>
      <c r="H253" s="1673"/>
      <c r="I253" s="1673"/>
      <c r="J253" s="1673"/>
      <c r="K253" s="1678">
        <f t="shared" si="21"/>
        <v>0</v>
      </c>
      <c r="L253" s="1573">
        <v>0</v>
      </c>
    </row>
    <row r="254" spans="1:12" ht="22.5" x14ac:dyDescent="0.2">
      <c r="A254" s="1275" t="s">
        <v>1021</v>
      </c>
      <c r="B254" s="557" t="s">
        <v>284</v>
      </c>
      <c r="C254" s="1673"/>
      <c r="D254" s="1579">
        <v>3367</v>
      </c>
      <c r="E254" s="1673"/>
      <c r="F254" s="1673"/>
      <c r="G254" s="1673"/>
      <c r="H254" s="1673"/>
      <c r="I254" s="1673"/>
      <c r="J254" s="1673"/>
      <c r="K254" s="1678">
        <f t="shared" si="21"/>
        <v>3367</v>
      </c>
      <c r="L254" s="1573">
        <v>4600</v>
      </c>
    </row>
    <row r="255" spans="1:12" x14ac:dyDescent="0.2">
      <c r="A255" s="1275" t="s">
        <v>1022</v>
      </c>
      <c r="B255" s="494" t="s">
        <v>285</v>
      </c>
      <c r="C255" s="1673"/>
      <c r="D255" s="1579">
        <v>0</v>
      </c>
      <c r="E255" s="1673"/>
      <c r="F255" s="1673"/>
      <c r="G255" s="1673"/>
      <c r="H255" s="1673"/>
      <c r="I255" s="1673"/>
      <c r="J255" s="1673"/>
      <c r="K255" s="1678">
        <f t="shared" si="21"/>
        <v>0</v>
      </c>
      <c r="L255" s="1573">
        <v>0</v>
      </c>
    </row>
    <row r="256" spans="1:12" x14ac:dyDescent="0.2">
      <c r="A256" s="1275" t="s">
        <v>964</v>
      </c>
      <c r="B256" s="503" t="s">
        <v>286</v>
      </c>
      <c r="C256" s="1673"/>
      <c r="D256" s="1579">
        <v>0</v>
      </c>
      <c r="E256" s="1673"/>
      <c r="F256" s="1673"/>
      <c r="G256" s="1673"/>
      <c r="H256" s="1673"/>
      <c r="I256" s="1673"/>
      <c r="J256" s="1673"/>
      <c r="K256" s="1678">
        <f t="shared" si="21"/>
        <v>0</v>
      </c>
      <c r="L256" s="1573">
        <v>0</v>
      </c>
    </row>
    <row r="257" spans="1:14" ht="12.75" customHeight="1" thickBot="1" x14ac:dyDescent="0.25">
      <c r="A257" s="1380" t="s">
        <v>711</v>
      </c>
      <c r="B257" s="1398">
        <v>2300</v>
      </c>
      <c r="C257" s="1673"/>
      <c r="D257" s="1674">
        <f>SUM(D245:D256)</f>
        <v>5452</v>
      </c>
      <c r="E257" s="1673"/>
      <c r="F257" s="1673"/>
      <c r="G257" s="1673"/>
      <c r="H257" s="1673"/>
      <c r="I257" s="1673"/>
      <c r="J257" s="1673"/>
      <c r="K257" s="1674">
        <f>SUM(K245:K256)</f>
        <v>5452</v>
      </c>
      <c r="L257" s="1674">
        <f>SUM(L245:L256)</f>
        <v>4950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3962</v>
      </c>
      <c r="E259" s="1673"/>
      <c r="F259" s="1673"/>
      <c r="G259" s="1673"/>
      <c r="H259" s="1673"/>
      <c r="I259" s="1673"/>
      <c r="J259" s="1673"/>
      <c r="K259" s="1678">
        <f>D259</f>
        <v>3962</v>
      </c>
      <c r="L259" s="1586">
        <v>6300</v>
      </c>
    </row>
    <row r="260" spans="1:14" s="493" customFormat="1" x14ac:dyDescent="0.2">
      <c r="A260" s="1292" t="s">
        <v>1780</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3962</v>
      </c>
      <c r="E261" s="1673"/>
      <c r="F261" s="1673"/>
      <c r="G261" s="1673"/>
      <c r="H261" s="1673"/>
      <c r="I261" s="1673"/>
      <c r="J261" s="1673"/>
      <c r="K261" s="1674">
        <f>SUM(K259:K260)</f>
        <v>3962</v>
      </c>
      <c r="L261" s="1674">
        <f>SUM(L259:L260)</f>
        <v>6300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0</v>
      </c>
      <c r="E263" s="1673"/>
      <c r="F263" s="1673"/>
      <c r="G263" s="1673"/>
      <c r="H263" s="1673"/>
      <c r="I263" s="1673"/>
      <c r="J263" s="1673"/>
      <c r="K263" s="1678">
        <f>D263</f>
        <v>0</v>
      </c>
      <c r="L263" s="1586">
        <v>0</v>
      </c>
    </row>
    <row r="264" spans="1:14" x14ac:dyDescent="0.2">
      <c r="A264" s="1274" t="s">
        <v>459</v>
      </c>
      <c r="B264" s="559">
        <v>2520</v>
      </c>
      <c r="C264" s="1673"/>
      <c r="D264" s="1573">
        <v>5150</v>
      </c>
      <c r="E264" s="1673"/>
      <c r="F264" s="1673"/>
      <c r="G264" s="1673"/>
      <c r="H264" s="1673"/>
      <c r="I264" s="1673"/>
      <c r="J264" s="1673"/>
      <c r="K264" s="1678">
        <f t="shared" ref="K264:K269" si="22">D264</f>
        <v>5150</v>
      </c>
      <c r="L264" s="1573">
        <v>4800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9364</v>
      </c>
      <c r="E266" s="1673"/>
      <c r="F266" s="1673"/>
      <c r="G266" s="1673"/>
      <c r="H266" s="1673"/>
      <c r="I266" s="1673"/>
      <c r="J266" s="1673"/>
      <c r="K266" s="1678">
        <f t="shared" si="22"/>
        <v>9364</v>
      </c>
      <c r="L266" s="1573">
        <v>9300</v>
      </c>
    </row>
    <row r="267" spans="1:14" x14ac:dyDescent="0.2">
      <c r="A267" s="1274" t="s">
        <v>946</v>
      </c>
      <c r="B267" s="503">
        <v>2550</v>
      </c>
      <c r="C267" s="1673"/>
      <c r="D267" s="1573">
        <v>7970</v>
      </c>
      <c r="E267" s="1673"/>
      <c r="F267" s="1673"/>
      <c r="G267" s="1673"/>
      <c r="H267" s="1673"/>
      <c r="I267" s="1673"/>
      <c r="J267" s="1673"/>
      <c r="K267" s="1678">
        <f t="shared" si="22"/>
        <v>7970</v>
      </c>
      <c r="L267" s="1573">
        <v>6700</v>
      </c>
    </row>
    <row r="268" spans="1:14" x14ac:dyDescent="0.2">
      <c r="A268" s="1274" t="s">
        <v>100</v>
      </c>
      <c r="B268" s="503">
        <v>2560</v>
      </c>
      <c r="C268" s="1673"/>
      <c r="D268" s="1573">
        <v>3125</v>
      </c>
      <c r="E268" s="1673"/>
      <c r="F268" s="1673"/>
      <c r="G268" s="1673"/>
      <c r="H268" s="1673"/>
      <c r="I268" s="1673"/>
      <c r="J268" s="1673"/>
      <c r="K268" s="1678">
        <f t="shared" si="22"/>
        <v>3125</v>
      </c>
      <c r="L268" s="1573">
        <v>3700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713</v>
      </c>
      <c r="B270" s="1383" t="s">
        <v>35</v>
      </c>
      <c r="C270" s="1673"/>
      <c r="D270" s="1674">
        <f>SUM(D263:D269)</f>
        <v>25609</v>
      </c>
      <c r="E270" s="1673"/>
      <c r="F270" s="1673"/>
      <c r="G270" s="1673"/>
      <c r="H270" s="1673"/>
      <c r="I270" s="1673"/>
      <c r="J270" s="1673"/>
      <c r="K270" s="1674">
        <f>SUM(K263:K269)</f>
        <v>25609</v>
      </c>
      <c r="L270" s="1674">
        <f>SUM(L263:L269)</f>
        <v>24500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v>0</v>
      </c>
      <c r="E272" s="1673"/>
      <c r="F272" s="1673"/>
      <c r="G272" s="1673"/>
      <c r="H272" s="1673"/>
      <c r="I272" s="1673"/>
      <c r="J272" s="1673"/>
      <c r="K272" s="1678">
        <f>D272</f>
        <v>0</v>
      </c>
      <c r="L272" s="1586">
        <v>0</v>
      </c>
    </row>
    <row r="273" spans="1:12" x14ac:dyDescent="0.2">
      <c r="A273" s="1274" t="s">
        <v>602</v>
      </c>
      <c r="B273" s="512">
        <v>2620</v>
      </c>
      <c r="C273" s="1673"/>
      <c r="D273" s="1573">
        <v>0</v>
      </c>
      <c r="E273" s="1673"/>
      <c r="F273" s="1673"/>
      <c r="G273" s="1673"/>
      <c r="H273" s="1673"/>
      <c r="I273" s="1673"/>
      <c r="J273" s="1673"/>
      <c r="K273" s="1678">
        <f>D273</f>
        <v>0</v>
      </c>
      <c r="L273" s="1573">
        <v>0</v>
      </c>
    </row>
    <row r="274" spans="1:12" ht="12" customHeight="1" x14ac:dyDescent="0.2">
      <c r="A274" s="1274" t="s">
        <v>1051</v>
      </c>
      <c r="B274" s="503">
        <v>2630</v>
      </c>
      <c r="C274" s="1673"/>
      <c r="D274" s="1573">
        <v>4332</v>
      </c>
      <c r="E274" s="1673"/>
      <c r="F274" s="1673"/>
      <c r="G274" s="1673"/>
      <c r="H274" s="1673"/>
      <c r="I274" s="1673"/>
      <c r="J274" s="1673"/>
      <c r="K274" s="1678">
        <f>D274</f>
        <v>4332</v>
      </c>
      <c r="L274" s="1573">
        <v>4400</v>
      </c>
    </row>
    <row r="275" spans="1:12" x14ac:dyDescent="0.2">
      <c r="A275" s="1274" t="s">
        <v>399</v>
      </c>
      <c r="B275" s="503">
        <v>2640</v>
      </c>
      <c r="C275" s="1673"/>
      <c r="D275" s="1573">
        <v>0</v>
      </c>
      <c r="E275" s="1673"/>
      <c r="F275" s="1673"/>
      <c r="G275" s="1673"/>
      <c r="H275" s="1673"/>
      <c r="I275" s="1673"/>
      <c r="J275" s="1673"/>
      <c r="K275" s="1678">
        <f>D275</f>
        <v>0</v>
      </c>
      <c r="L275" s="1573">
        <v>0</v>
      </c>
    </row>
    <row r="276" spans="1:12" x14ac:dyDescent="0.2">
      <c r="A276" s="1274" t="s">
        <v>400</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4332</v>
      </c>
      <c r="E277" s="1673"/>
      <c r="F277" s="1673"/>
      <c r="G277" s="1673"/>
      <c r="H277" s="1673"/>
      <c r="I277" s="1673"/>
      <c r="J277" s="1673"/>
      <c r="K277" s="1674">
        <f>SUM(K272:K276)</f>
        <v>4332</v>
      </c>
      <c r="L277" s="1674">
        <f>SUM(L272:L276)</f>
        <v>4400</v>
      </c>
    </row>
    <row r="278" spans="1:12" ht="13.5" customHeight="1" thickTop="1" x14ac:dyDescent="0.2">
      <c r="A278" s="1280" t="s">
        <v>972</v>
      </c>
      <c r="B278" s="531" t="s">
        <v>569</v>
      </c>
      <c r="C278" s="1673"/>
      <c r="D278" s="1695">
        <v>0</v>
      </c>
      <c r="E278" s="1673"/>
      <c r="F278" s="1673"/>
      <c r="G278" s="1673"/>
      <c r="H278" s="1673"/>
      <c r="I278" s="1673"/>
      <c r="J278" s="1673"/>
      <c r="K278" s="1696">
        <f>D278</f>
        <v>0</v>
      </c>
      <c r="L278" s="1695">
        <v>0</v>
      </c>
    </row>
    <row r="279" spans="1:12" ht="12.75" customHeight="1" thickBot="1" x14ac:dyDescent="0.25">
      <c r="A279" s="1400" t="s">
        <v>805</v>
      </c>
      <c r="B279" s="1387">
        <v>2000</v>
      </c>
      <c r="C279" s="1673"/>
      <c r="D279" s="1681">
        <f>SUM(D238,D243,D257,D261,D270,D277,D278)</f>
        <v>44226</v>
      </c>
      <c r="E279" s="1673"/>
      <c r="F279" s="1673"/>
      <c r="G279" s="1673"/>
      <c r="H279" s="1673"/>
      <c r="I279" s="1673"/>
      <c r="J279" s="1673"/>
      <c r="K279" s="1681">
        <f>SUM(K238,K243,K257,K261,K270,K277,K278)</f>
        <v>44226</v>
      </c>
      <c r="L279" s="1681">
        <f>SUM(L238,L243,L257,L261,L270,L277,L278)</f>
        <v>45650</v>
      </c>
    </row>
    <row r="280" spans="1:12" ht="15.75" customHeight="1" thickTop="1" thickBot="1" x14ac:dyDescent="0.25">
      <c r="A280" s="1362" t="s">
        <v>869</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v>0</v>
      </c>
      <c r="E282" s="1673"/>
      <c r="F282" s="1673"/>
      <c r="G282" s="1673"/>
      <c r="H282" s="1673"/>
      <c r="I282" s="1673"/>
      <c r="J282" s="1673"/>
      <c r="K282" s="1672">
        <f>D282</f>
        <v>0</v>
      </c>
      <c r="L282" s="1574">
        <v>0</v>
      </c>
    </row>
    <row r="283" spans="1:12" x14ac:dyDescent="0.2">
      <c r="A283" s="1274" t="s">
        <v>300</v>
      </c>
      <c r="B283" s="503">
        <v>4120</v>
      </c>
      <c r="C283" s="1673"/>
      <c r="D283" s="1573">
        <v>0</v>
      </c>
      <c r="E283" s="1673"/>
      <c r="F283" s="1673"/>
      <c r="G283" s="1673"/>
      <c r="H283" s="1673"/>
      <c r="I283" s="1673"/>
      <c r="J283" s="1673"/>
      <c r="K283" s="1672">
        <f>D283</f>
        <v>0</v>
      </c>
      <c r="L283" s="1573">
        <v>0</v>
      </c>
    </row>
    <row r="284" spans="1:12" x14ac:dyDescent="0.2">
      <c r="A284" s="1274" t="s">
        <v>691</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1159</v>
      </c>
      <c r="B290" s="512" t="s">
        <v>612</v>
      </c>
      <c r="C290" s="1673"/>
      <c r="D290" s="1673"/>
      <c r="E290" s="1673"/>
      <c r="F290" s="1673"/>
      <c r="G290" s="1673"/>
      <c r="H290" s="1573">
        <v>0</v>
      </c>
      <c r="I290" s="1673"/>
      <c r="J290" s="1673"/>
      <c r="K290" s="1672">
        <f>H290</f>
        <v>0</v>
      </c>
      <c r="L290" s="1573">
        <v>0</v>
      </c>
    </row>
    <row r="291" spans="1:14" x14ac:dyDescent="0.2">
      <c r="A291" s="1274" t="s">
        <v>89</v>
      </c>
      <c r="B291" s="503" t="s">
        <v>584</v>
      </c>
      <c r="C291" s="1673"/>
      <c r="D291" s="1673"/>
      <c r="E291" s="1673"/>
      <c r="F291" s="1673"/>
      <c r="G291" s="1673"/>
      <c r="H291" s="1573">
        <v>0</v>
      </c>
      <c r="I291" s="1673"/>
      <c r="J291" s="1673"/>
      <c r="K291" s="1672">
        <f>H291</f>
        <v>0</v>
      </c>
      <c r="L291" s="1573">
        <v>0</v>
      </c>
    </row>
    <row r="292" spans="1:14" x14ac:dyDescent="0.2">
      <c r="A292" s="1274" t="s">
        <v>756</v>
      </c>
      <c r="B292" s="503" t="s">
        <v>613</v>
      </c>
      <c r="C292" s="1673"/>
      <c r="D292" s="1673"/>
      <c r="E292" s="1673"/>
      <c r="F292" s="1673"/>
      <c r="G292" s="1673"/>
      <c r="H292" s="1573">
        <v>0</v>
      </c>
      <c r="I292" s="1673"/>
      <c r="J292" s="1673"/>
      <c r="K292" s="1672">
        <f>H292</f>
        <v>0</v>
      </c>
      <c r="L292" s="1573">
        <v>0</v>
      </c>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v>5000</v>
      </c>
    </row>
    <row r="295" spans="1:14" ht="12.75" customHeight="1" thickTop="1" thickBot="1" x14ac:dyDescent="0.25">
      <c r="A295" s="2299" t="s">
        <v>501</v>
      </c>
      <c r="B295" s="2300"/>
      <c r="C295" s="1673"/>
      <c r="D295" s="1674">
        <f>SUM(D229,D279,D280,D285)</f>
        <v>59276</v>
      </c>
      <c r="E295" s="1673"/>
      <c r="F295" s="1673"/>
      <c r="G295" s="1673"/>
      <c r="H295" s="1674">
        <f>H293</f>
        <v>0</v>
      </c>
      <c r="I295" s="1673"/>
      <c r="J295" s="1673"/>
      <c r="K295" s="1674">
        <f>SUM(K229,K279,K280,K285,K293,K294)</f>
        <v>59276</v>
      </c>
      <c r="L295" s="1674">
        <f>SUM(L229,L279,L280,L285,L293,L294)</f>
        <v>66500</v>
      </c>
    </row>
    <row r="296" spans="1:14" ht="13.5" thickTop="1" x14ac:dyDescent="0.2">
      <c r="A296" s="2308" t="s">
        <v>988</v>
      </c>
      <c r="B296" s="2309"/>
      <c r="C296" s="1673"/>
      <c r="D296" s="1675"/>
      <c r="E296" s="1673"/>
      <c r="F296" s="1673"/>
      <c r="G296" s="1673"/>
      <c r="H296" s="1707"/>
      <c r="I296" s="1673"/>
      <c r="J296" s="1673"/>
      <c r="K296" s="1689">
        <f>'Revenues 9-14'!G268-'Expenditures 15-22'!K295</f>
        <v>28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1" t="s">
        <v>142</v>
      </c>
      <c r="B298" s="228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v>0</v>
      </c>
      <c r="D301" s="1573">
        <v>0</v>
      </c>
      <c r="E301" s="1573">
        <v>52597</v>
      </c>
      <c r="F301" s="1573">
        <v>0</v>
      </c>
      <c r="G301" s="1573">
        <v>502649</v>
      </c>
      <c r="H301" s="1573">
        <v>0</v>
      </c>
      <c r="I301" s="1574">
        <v>0</v>
      </c>
      <c r="J301" s="1574">
        <v>0</v>
      </c>
      <c r="K301" s="1672">
        <f>SUM(C301:J301)</f>
        <v>555246</v>
      </c>
      <c r="L301" s="1574">
        <v>555000</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805</v>
      </c>
      <c r="B303" s="1381" t="s">
        <v>564</v>
      </c>
      <c r="C303" s="1681">
        <f>SUM(C301:C302)</f>
        <v>0</v>
      </c>
      <c r="D303" s="1681">
        <f t="shared" ref="D303:L303" si="23">SUM(D301:D302)</f>
        <v>0</v>
      </c>
      <c r="E303" s="1681">
        <f t="shared" si="23"/>
        <v>52597</v>
      </c>
      <c r="F303" s="1681">
        <f t="shared" si="23"/>
        <v>0</v>
      </c>
      <c r="G303" s="1681">
        <f t="shared" si="23"/>
        <v>502649</v>
      </c>
      <c r="H303" s="1681">
        <f t="shared" si="23"/>
        <v>0</v>
      </c>
      <c r="I303" s="1681">
        <f t="shared" si="23"/>
        <v>0</v>
      </c>
      <c r="J303" s="1681">
        <f t="shared" si="23"/>
        <v>0</v>
      </c>
      <c r="K303" s="1681">
        <f t="shared" si="23"/>
        <v>555246</v>
      </c>
      <c r="L303" s="1681">
        <f t="shared" si="23"/>
        <v>555000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v>0</v>
      </c>
      <c r="F306" s="1673"/>
      <c r="G306" s="1673"/>
      <c r="H306" s="1574">
        <v>0</v>
      </c>
      <c r="I306" s="1673"/>
      <c r="J306" s="1673"/>
      <c r="K306" s="1672">
        <f>SUM(E306,H306)</f>
        <v>0</v>
      </c>
      <c r="L306" s="1574">
        <v>0</v>
      </c>
    </row>
    <row r="307" spans="1:14" x14ac:dyDescent="0.2">
      <c r="A307" s="1274" t="s">
        <v>300</v>
      </c>
      <c r="B307" s="503">
        <v>4120</v>
      </c>
      <c r="C307" s="1673"/>
      <c r="D307" s="1673"/>
      <c r="E307" s="1574">
        <v>0</v>
      </c>
      <c r="F307" s="1673"/>
      <c r="G307" s="1673"/>
      <c r="H307" s="1574">
        <v>0</v>
      </c>
      <c r="I307" s="1582"/>
      <c r="J307" s="1673"/>
      <c r="K307" s="1672">
        <f>SUM(E307,H307)</f>
        <v>0</v>
      </c>
      <c r="L307" s="1573">
        <v>0</v>
      </c>
    </row>
    <row r="308" spans="1:14" x14ac:dyDescent="0.2">
      <c r="A308" s="1274" t="s">
        <v>691</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692</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v>0</v>
      </c>
    </row>
    <row r="312" spans="1:14" s="548" customFormat="1" ht="12.75" customHeight="1" thickTop="1" thickBot="1" x14ac:dyDescent="0.25">
      <c r="A312" s="2296" t="s">
        <v>274</v>
      </c>
      <c r="B312" s="2297"/>
      <c r="C312" s="1674">
        <f>SUM(C303)</f>
        <v>0</v>
      </c>
      <c r="D312" s="1674">
        <f>SUM(D303)</f>
        <v>0</v>
      </c>
      <c r="E312" s="1674">
        <f>SUM(E303,E310)</f>
        <v>52597</v>
      </c>
      <c r="F312" s="1674">
        <f>SUM(F303)</f>
        <v>0</v>
      </c>
      <c r="G312" s="1674">
        <f>SUM(G303)</f>
        <v>502649</v>
      </c>
      <c r="H312" s="1674">
        <f>SUM(H303,H310)</f>
        <v>0</v>
      </c>
      <c r="I312" s="1674">
        <f>SUM(I303)</f>
        <v>0</v>
      </c>
      <c r="J312" s="1674">
        <f>SUM(J303)</f>
        <v>0</v>
      </c>
      <c r="K312" s="1674">
        <f>SUM(K303,K310,K311)</f>
        <v>555246</v>
      </c>
      <c r="L312" s="1674">
        <f>SUM(L303,L310,L311)</f>
        <v>555000</v>
      </c>
      <c r="M312" s="539"/>
      <c r="N312" s="539"/>
    </row>
    <row r="313" spans="1:14" ht="13.5" thickTop="1" x14ac:dyDescent="0.2">
      <c r="A313" s="2292" t="s">
        <v>988</v>
      </c>
      <c r="B313" s="2293"/>
      <c r="C313" s="1677"/>
      <c r="D313" s="1677"/>
      <c r="E313" s="1677"/>
      <c r="F313" s="1677"/>
      <c r="G313" s="1677"/>
      <c r="H313" s="1677"/>
      <c r="I313" s="1677"/>
      <c r="J313" s="1677"/>
      <c r="K313" s="1696">
        <f>'Revenues 9-14'!H268-'Expenditures 15-22'!K312</f>
        <v>-466196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5" t="s">
        <v>148</v>
      </c>
      <c r="B315" s="230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7" t="s">
        <v>891</v>
      </c>
      <c r="B317" s="230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1781</v>
      </c>
      <c r="B320" s="568" t="s">
        <v>279</v>
      </c>
      <c r="C320" s="1574">
        <v>0</v>
      </c>
      <c r="D320" s="1574">
        <v>0</v>
      </c>
      <c r="E320" s="1574">
        <v>19784</v>
      </c>
      <c r="F320" s="1574">
        <v>0</v>
      </c>
      <c r="G320" s="1574">
        <v>0</v>
      </c>
      <c r="H320" s="1574">
        <v>0</v>
      </c>
      <c r="I320" s="1574">
        <v>0</v>
      </c>
      <c r="J320" s="1574">
        <v>0</v>
      </c>
      <c r="K320" s="1672">
        <f t="shared" ref="K320:K327" si="24">SUM(C320:J320)</f>
        <v>19784</v>
      </c>
      <c r="L320" s="1574">
        <v>20000</v>
      </c>
      <c r="M320" s="539"/>
      <c r="N320" s="539"/>
    </row>
    <row r="321" spans="1:14" s="548" customFormat="1" x14ac:dyDescent="0.2">
      <c r="A321" s="1289" t="s">
        <v>296</v>
      </c>
      <c r="B321" s="567" t="s">
        <v>280</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281</v>
      </c>
      <c r="C322" s="1574">
        <v>0</v>
      </c>
      <c r="D322" s="1574">
        <v>0</v>
      </c>
      <c r="E322" s="1574">
        <v>30812</v>
      </c>
      <c r="F322" s="1574">
        <v>0</v>
      </c>
      <c r="G322" s="1574">
        <v>0</v>
      </c>
      <c r="H322" s="1574">
        <v>0</v>
      </c>
      <c r="I322" s="1574">
        <v>0</v>
      </c>
      <c r="J322" s="1574">
        <v>0</v>
      </c>
      <c r="K322" s="1672">
        <f t="shared" si="24"/>
        <v>30812</v>
      </c>
      <c r="L322" s="1574">
        <v>32000</v>
      </c>
      <c r="M322" s="539"/>
      <c r="N322" s="539"/>
    </row>
    <row r="323" spans="1:14" s="548" customFormat="1" x14ac:dyDescent="0.2">
      <c r="A323" s="1289" t="s">
        <v>696</v>
      </c>
      <c r="B323" s="567" t="s">
        <v>282</v>
      </c>
      <c r="C323" s="1574">
        <v>0</v>
      </c>
      <c r="D323" s="1574">
        <v>0</v>
      </c>
      <c r="E323" s="1574">
        <v>11355</v>
      </c>
      <c r="F323" s="1574">
        <v>1152</v>
      </c>
      <c r="G323" s="1574">
        <v>0</v>
      </c>
      <c r="H323" s="1574">
        <v>0</v>
      </c>
      <c r="I323" s="1574">
        <v>0</v>
      </c>
      <c r="J323" s="1574">
        <v>0</v>
      </c>
      <c r="K323" s="1672">
        <f t="shared" si="24"/>
        <v>12507</v>
      </c>
      <c r="L323" s="1574">
        <v>13700</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1021</v>
      </c>
      <c r="B325" s="568" t="s">
        <v>284</v>
      </c>
      <c r="C325" s="1574">
        <v>59490</v>
      </c>
      <c r="D325" s="1574">
        <v>4777</v>
      </c>
      <c r="E325" s="1574">
        <v>0</v>
      </c>
      <c r="F325" s="1574">
        <v>0</v>
      </c>
      <c r="G325" s="1574">
        <v>0</v>
      </c>
      <c r="H325" s="1574">
        <v>0</v>
      </c>
      <c r="I325" s="1574">
        <v>0</v>
      </c>
      <c r="J325" s="1574">
        <v>0</v>
      </c>
      <c r="K325" s="1672">
        <f t="shared" si="24"/>
        <v>64267</v>
      </c>
      <c r="L325" s="1574">
        <v>74000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964</v>
      </c>
      <c r="B327" s="567" t="s">
        <v>286</v>
      </c>
      <c r="C327" s="1574">
        <v>0</v>
      </c>
      <c r="D327" s="1574">
        <v>0</v>
      </c>
      <c r="E327" s="1574">
        <v>7545</v>
      </c>
      <c r="F327" s="1574">
        <v>0</v>
      </c>
      <c r="G327" s="1574">
        <v>0</v>
      </c>
      <c r="H327" s="1574">
        <v>0</v>
      </c>
      <c r="I327" s="1574">
        <v>0</v>
      </c>
      <c r="J327" s="1574">
        <v>0</v>
      </c>
      <c r="K327" s="1672">
        <f t="shared" si="24"/>
        <v>7545</v>
      </c>
      <c r="L327" s="1574">
        <v>8000</v>
      </c>
      <c r="M327" s="539"/>
      <c r="N327" s="539"/>
    </row>
    <row r="328" spans="1:14" s="548" customFormat="1" x14ac:dyDescent="0.2">
      <c r="A328" s="1290" t="s">
        <v>468</v>
      </c>
      <c r="B328" s="562" t="s">
        <v>1121</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1122</v>
      </c>
      <c r="B329" s="562" t="s">
        <v>1123</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711</v>
      </c>
      <c r="B330" s="1381" t="s">
        <v>564</v>
      </c>
      <c r="C330" s="1674">
        <f>SUM(C319:C329)</f>
        <v>59490</v>
      </c>
      <c r="D330" s="1674">
        <f t="shared" ref="D330:J330" si="25">SUM(D319:D329)</f>
        <v>4777</v>
      </c>
      <c r="E330" s="1674">
        <f t="shared" si="25"/>
        <v>69496</v>
      </c>
      <c r="F330" s="1674">
        <f t="shared" si="25"/>
        <v>1152</v>
      </c>
      <c r="G330" s="1674">
        <f t="shared" si="25"/>
        <v>0</v>
      </c>
      <c r="H330" s="1674">
        <f t="shared" si="25"/>
        <v>0</v>
      </c>
      <c r="I330" s="1674">
        <f t="shared" si="25"/>
        <v>0</v>
      </c>
      <c r="J330" s="1674">
        <f t="shared" si="25"/>
        <v>0</v>
      </c>
      <c r="K330" s="1674">
        <f>SUM(K319:K329)</f>
        <v>134915</v>
      </c>
      <c r="L330" s="1674">
        <f>SUM(L319:L329)</f>
        <v>147700</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300</v>
      </c>
      <c r="B333" s="1463" t="s">
        <v>1817</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v>0</v>
      </c>
      <c r="I337" s="1684"/>
      <c r="J337" s="1684"/>
      <c r="K337" s="1672">
        <f>H337</f>
        <v>0</v>
      </c>
      <c r="L337" s="1583">
        <v>0</v>
      </c>
    </row>
    <row r="338" spans="1:14" ht="12.75" customHeight="1" x14ac:dyDescent="0.2">
      <c r="A338" s="1288" t="s">
        <v>1159</v>
      </c>
      <c r="B338" s="562" t="s">
        <v>612</v>
      </c>
      <c r="C338" s="1684"/>
      <c r="D338" s="1684"/>
      <c r="E338" s="1684"/>
      <c r="F338" s="1684"/>
      <c r="G338" s="1684"/>
      <c r="H338" s="1583">
        <v>0</v>
      </c>
      <c r="I338" s="1684"/>
      <c r="J338" s="1684"/>
      <c r="K338" s="1672">
        <f>H338</f>
        <v>0</v>
      </c>
      <c r="L338" s="1583">
        <v>0</v>
      </c>
    </row>
    <row r="339" spans="1:14" x14ac:dyDescent="0.2">
      <c r="A339" s="1274" t="s">
        <v>894</v>
      </c>
      <c r="B339" s="512">
        <v>5150</v>
      </c>
      <c r="C339" s="1684"/>
      <c r="D339" s="1684"/>
      <c r="E339" s="1684"/>
      <c r="F339" s="1684"/>
      <c r="G339" s="1684"/>
      <c r="H339" s="1574">
        <v>0</v>
      </c>
      <c r="I339" s="1684"/>
      <c r="J339" s="1684"/>
      <c r="K339" s="1672">
        <f>H339</f>
        <v>0</v>
      </c>
      <c r="L339" s="1574">
        <v>0</v>
      </c>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v>0</v>
      </c>
    </row>
    <row r="342" spans="1:14" ht="12.75" customHeight="1" thickTop="1" thickBot="1" x14ac:dyDescent="0.25">
      <c r="A342" s="1389" t="s">
        <v>501</v>
      </c>
      <c r="B342" s="1402"/>
      <c r="C342" s="1674">
        <f>SUM(C330)</f>
        <v>59490</v>
      </c>
      <c r="D342" s="1674">
        <f>SUM(D330)</f>
        <v>4777</v>
      </c>
      <c r="E342" s="1674">
        <f>SUM(E330)</f>
        <v>69496</v>
      </c>
      <c r="F342" s="1674">
        <f>SUM(F330)</f>
        <v>1152</v>
      </c>
      <c r="G342" s="1674">
        <f>SUM(G330)</f>
        <v>0</v>
      </c>
      <c r="H342" s="1674">
        <f>SUM(H330,H334,H340)</f>
        <v>0</v>
      </c>
      <c r="I342" s="1674">
        <f>SUM(I330)</f>
        <v>0</v>
      </c>
      <c r="J342" s="1674">
        <f>SUM(J330)</f>
        <v>0</v>
      </c>
      <c r="K342" s="1674">
        <f>SUM(K330,K334,K340)</f>
        <v>134915</v>
      </c>
      <c r="L342" s="1681">
        <f>SUM(L330,L334,L340,L341)</f>
        <v>147700</v>
      </c>
    </row>
    <row r="343" spans="1:14" ht="12.75" customHeight="1" thickTop="1" x14ac:dyDescent="0.2">
      <c r="A343" s="2294" t="s">
        <v>988</v>
      </c>
      <c r="B343" s="2295"/>
      <c r="C343" s="1673"/>
      <c r="D343" s="1673"/>
      <c r="E343" s="1673"/>
      <c r="F343" s="1673"/>
      <c r="G343" s="1673"/>
      <c r="H343" s="1673"/>
      <c r="I343" s="1673"/>
      <c r="J343" s="1673"/>
      <c r="K343" s="1689">
        <f>'Revenues 9-14'!J268-'Expenditures 15-22'!K342</f>
        <v>21785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4" t="s">
        <v>959</v>
      </c>
      <c r="B345" s="228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v>0</v>
      </c>
      <c r="I354" s="1716"/>
      <c r="J354" s="1673"/>
      <c r="K354" s="1713">
        <f>H354</f>
        <v>0</v>
      </c>
      <c r="L354" s="1577">
        <v>0</v>
      </c>
    </row>
    <row r="355" spans="1:14" ht="12.75" customHeight="1" x14ac:dyDescent="0.2">
      <c r="A355" s="1283" t="s">
        <v>1824</v>
      </c>
      <c r="B355" s="562" t="s">
        <v>1817</v>
      </c>
      <c r="C355" s="1673"/>
      <c r="D355" s="1673"/>
      <c r="E355" s="1673"/>
      <c r="F355" s="1673"/>
      <c r="G355" s="1673"/>
      <c r="H355" s="1574">
        <v>0</v>
      </c>
      <c r="I355" s="1716"/>
      <c r="J355" s="1673"/>
      <c r="K355" s="1607">
        <f>H355</f>
        <v>0</v>
      </c>
      <c r="L355" s="1574">
        <v>0</v>
      </c>
    </row>
    <row r="356" spans="1:14" ht="12.75" customHeight="1" x14ac:dyDescent="0.2">
      <c r="A356" s="1469" t="s">
        <v>692</v>
      </c>
      <c r="B356" s="557" t="s">
        <v>553</v>
      </c>
      <c r="C356" s="1673"/>
      <c r="D356" s="1673"/>
      <c r="E356" s="1673"/>
      <c r="F356" s="1673"/>
      <c r="G356" s="1673"/>
      <c r="H356" s="1584">
        <v>0</v>
      </c>
      <c r="I356" s="1716"/>
      <c r="J356" s="1673"/>
      <c r="K356" s="1600">
        <f>H356</f>
        <v>0</v>
      </c>
      <c r="L356" s="1584">
        <v>0</v>
      </c>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614</v>
      </c>
      <c r="B361" s="494" t="s">
        <v>613</v>
      </c>
      <c r="C361" s="1673"/>
      <c r="D361" s="1673"/>
      <c r="E361" s="1673"/>
      <c r="F361" s="1673"/>
      <c r="G361" s="1673"/>
      <c r="H361" s="1574">
        <v>0</v>
      </c>
      <c r="I361" s="1673"/>
      <c r="J361" s="1673"/>
      <c r="K361" s="1672">
        <f>SUM(C361:J361)</f>
        <v>0</v>
      </c>
      <c r="L361" s="1573">
        <v>0</v>
      </c>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1652</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v>0</v>
      </c>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08" t="s">
        <v>988</v>
      </c>
      <c r="B368" s="2309"/>
      <c r="C368" s="1694"/>
      <c r="D368" s="1694"/>
      <c r="E368" s="1677"/>
      <c r="F368" s="1677"/>
      <c r="G368" s="1677"/>
      <c r="H368" s="1677"/>
      <c r="I368" s="1677"/>
      <c r="J368" s="1676"/>
      <c r="K368" s="1672">
        <f>'Revenues 9-14'!K268-'Expenditures 15-22'!K367</f>
        <v>7806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verticalCentered="1" headings="1" gridLinesSet="0"/>
  <pageMargins left="0.2"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zoomScaleSheetLayoutView="10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0"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1"/>
      <c r="B3" s="1294"/>
      <c r="C3" s="1295"/>
      <c r="D3" s="1296" t="s">
        <v>254</v>
      </c>
      <c r="E3" s="1295"/>
      <c r="F3" s="1296" t="s">
        <v>255</v>
      </c>
    </row>
    <row r="4" spans="1:8" ht="13.7" customHeight="1" x14ac:dyDescent="0.2">
      <c r="A4" s="579" t="s">
        <v>1144</v>
      </c>
      <c r="B4" s="1721">
        <f>'Revenues 9-14'!C5</f>
        <v>1665042</v>
      </c>
      <c r="C4" s="1722">
        <v>29464</v>
      </c>
      <c r="D4" s="1723">
        <f>B4-C4</f>
        <v>1635578</v>
      </c>
      <c r="E4" s="1722">
        <v>2096947</v>
      </c>
      <c r="F4" s="1723">
        <f>E4-C4</f>
        <v>2067483</v>
      </c>
    </row>
    <row r="5" spans="1:8" ht="13.7" customHeight="1" x14ac:dyDescent="0.2">
      <c r="A5" s="579" t="s">
        <v>864</v>
      </c>
      <c r="B5" s="1724">
        <f>'Revenues 9-14'!D5</f>
        <v>234574</v>
      </c>
      <c r="C5" s="1664">
        <v>4404</v>
      </c>
      <c r="D5" s="1725">
        <f t="shared" ref="D5:D18" si="0">B5-C5</f>
        <v>230170</v>
      </c>
      <c r="E5" s="1664">
        <v>313447</v>
      </c>
      <c r="F5" s="1725">
        <f>E5-C5</f>
        <v>309043</v>
      </c>
    </row>
    <row r="6" spans="1:8" ht="13.7" customHeight="1" x14ac:dyDescent="0.2">
      <c r="A6" s="579" t="s">
        <v>407</v>
      </c>
      <c r="B6" s="1724">
        <f>'Revenues 9-14'!E5</f>
        <v>543857</v>
      </c>
      <c r="C6" s="1664">
        <v>7657</v>
      </c>
      <c r="D6" s="1725">
        <f t="shared" si="0"/>
        <v>536200</v>
      </c>
      <c r="E6" s="1664">
        <v>544917</v>
      </c>
      <c r="F6" s="1725">
        <f t="shared" ref="F6:F18" si="1">E6-C6</f>
        <v>537260</v>
      </c>
    </row>
    <row r="7" spans="1:8" ht="13.7" customHeight="1" x14ac:dyDescent="0.2">
      <c r="A7" s="579" t="s">
        <v>154</v>
      </c>
      <c r="B7" s="1724">
        <f>'Revenues 9-14'!F5</f>
        <v>112986</v>
      </c>
      <c r="C7" s="1664">
        <v>3165</v>
      </c>
      <c r="D7" s="1725">
        <f t="shared" si="0"/>
        <v>109821</v>
      </c>
      <c r="E7" s="1664">
        <v>225278</v>
      </c>
      <c r="F7" s="1725">
        <f t="shared" si="1"/>
        <v>222113</v>
      </c>
    </row>
    <row r="8" spans="1:8" ht="13.7" customHeight="1" x14ac:dyDescent="0.2">
      <c r="A8" s="579" t="s">
        <v>1168</v>
      </c>
      <c r="B8" s="1724">
        <f>'Revenues 9-14'!G5</f>
        <v>90</v>
      </c>
      <c r="C8" s="1664">
        <v>14</v>
      </c>
      <c r="D8" s="1725">
        <f t="shared" si="0"/>
        <v>76</v>
      </c>
      <c r="E8" s="1664">
        <v>991</v>
      </c>
      <c r="F8" s="1725">
        <f t="shared" si="1"/>
        <v>977</v>
      </c>
    </row>
    <row r="9" spans="1:8" ht="13.7" customHeight="1" x14ac:dyDescent="0.2">
      <c r="A9" s="579" t="s">
        <v>404</v>
      </c>
      <c r="B9" s="1724">
        <f>'Revenues 9-14'!H5</f>
        <v>0</v>
      </c>
      <c r="C9" s="1664">
        <v>0</v>
      </c>
      <c r="D9" s="1725">
        <f t="shared" si="0"/>
        <v>0</v>
      </c>
      <c r="E9" s="1664">
        <v>0</v>
      </c>
      <c r="F9" s="1725">
        <f t="shared" si="1"/>
        <v>0</v>
      </c>
    </row>
    <row r="10" spans="1:8" ht="13.7" customHeight="1" x14ac:dyDescent="0.2">
      <c r="A10" s="579" t="s">
        <v>403</v>
      </c>
      <c r="B10" s="1724">
        <f>'Revenues 9-14'!I5</f>
        <v>20421</v>
      </c>
      <c r="C10" s="1664">
        <v>341</v>
      </c>
      <c r="D10" s="1725">
        <f t="shared" si="0"/>
        <v>20080</v>
      </c>
      <c r="E10" s="1664">
        <v>24271</v>
      </c>
      <c r="F10" s="1725">
        <f t="shared" si="1"/>
        <v>23930</v>
      </c>
    </row>
    <row r="11" spans="1:8" x14ac:dyDescent="0.2">
      <c r="A11" s="579" t="s">
        <v>405</v>
      </c>
      <c r="B11" s="1724">
        <f>'Revenues 9-14'!J5</f>
        <v>153734</v>
      </c>
      <c r="C11" s="1664">
        <v>413</v>
      </c>
      <c r="D11" s="1725">
        <f t="shared" si="0"/>
        <v>153321</v>
      </c>
      <c r="E11" s="1664">
        <v>29423</v>
      </c>
      <c r="F11" s="1725">
        <f t="shared" si="1"/>
        <v>29010</v>
      </c>
    </row>
    <row r="12" spans="1:8" ht="13.7" customHeight="1" x14ac:dyDescent="0.2">
      <c r="A12" s="579" t="s">
        <v>156</v>
      </c>
      <c r="B12" s="1724">
        <f>'Revenues 9-14'!K5</f>
        <v>7663</v>
      </c>
      <c r="C12" s="1664">
        <v>14</v>
      </c>
      <c r="D12" s="1725">
        <f t="shared" si="0"/>
        <v>7649</v>
      </c>
      <c r="E12" s="1664">
        <v>991</v>
      </c>
      <c r="F12" s="1725">
        <f t="shared" si="1"/>
        <v>977</v>
      </c>
    </row>
    <row r="13" spans="1:8" ht="13.7" customHeight="1" x14ac:dyDescent="0.2">
      <c r="A13" s="579" t="s">
        <v>929</v>
      </c>
      <c r="B13" s="1724">
        <f>SUM('Revenues 9-14'!C6:D6)</f>
        <v>14417</v>
      </c>
      <c r="C13" s="1664">
        <v>14</v>
      </c>
      <c r="D13" s="1725">
        <f t="shared" si="0"/>
        <v>14403</v>
      </c>
      <c r="E13" s="1664">
        <v>991</v>
      </c>
      <c r="F13" s="1725">
        <f t="shared" si="1"/>
        <v>977</v>
      </c>
    </row>
    <row r="14" spans="1:8" ht="13.7" customHeight="1" x14ac:dyDescent="0.2">
      <c r="A14" s="579" t="s">
        <v>406</v>
      </c>
      <c r="B14" s="1724">
        <f>SUM('Revenues 9-14'!C7:D7,'Revenues 9-14'!F7:H7)</f>
        <v>16873</v>
      </c>
      <c r="C14" s="1664">
        <v>14</v>
      </c>
      <c r="D14" s="1725">
        <f t="shared" si="0"/>
        <v>16859</v>
      </c>
      <c r="E14" s="1664">
        <v>991</v>
      </c>
      <c r="F14" s="1725">
        <f t="shared" si="1"/>
        <v>977</v>
      </c>
    </row>
    <row r="15" spans="1:8" ht="13.7" customHeight="1" x14ac:dyDescent="0.2">
      <c r="A15" s="579" t="s">
        <v>1147</v>
      </c>
      <c r="B15" s="1724">
        <f>SUM('Revenues 9-14'!D9:E9,'Revenues 9-14'!H9)</f>
        <v>0</v>
      </c>
      <c r="C15" s="1664">
        <v>0</v>
      </c>
      <c r="D15" s="1725">
        <f t="shared" si="0"/>
        <v>0</v>
      </c>
      <c r="E15" s="1664">
        <v>0</v>
      </c>
      <c r="F15" s="1725">
        <f t="shared" si="1"/>
        <v>0</v>
      </c>
    </row>
    <row r="16" spans="1:8" ht="13.7" customHeight="1" x14ac:dyDescent="0.2">
      <c r="A16" s="579" t="s">
        <v>1148</v>
      </c>
      <c r="B16" s="1724">
        <f>'Revenues 9-14'!G8</f>
        <v>48591</v>
      </c>
      <c r="C16" s="1664">
        <v>688</v>
      </c>
      <c r="D16" s="1725">
        <f t="shared" si="0"/>
        <v>47903</v>
      </c>
      <c r="E16" s="1664">
        <v>48939</v>
      </c>
      <c r="F16" s="1725">
        <f t="shared" si="1"/>
        <v>48251</v>
      </c>
    </row>
    <row r="17" spans="1:6" ht="13.7" customHeight="1" x14ac:dyDescent="0.2">
      <c r="A17" s="579" t="s">
        <v>1149</v>
      </c>
      <c r="B17" s="1724">
        <f>'Revenues 9-14'!C10</f>
        <v>0</v>
      </c>
      <c r="C17" s="1664">
        <v>0</v>
      </c>
      <c r="D17" s="1725">
        <f t="shared" si="0"/>
        <v>0</v>
      </c>
      <c r="E17" s="1664">
        <v>0</v>
      </c>
      <c r="F17" s="1725">
        <f t="shared" si="1"/>
        <v>0</v>
      </c>
    </row>
    <row r="18" spans="1:6" ht="13.7" customHeight="1" x14ac:dyDescent="0.2">
      <c r="A18" s="579" t="s">
        <v>756</v>
      </c>
      <c r="B18" s="1724">
        <f>SUM('Revenues 9-14'!C11:K11)</f>
        <v>0</v>
      </c>
      <c r="C18" s="1664">
        <v>0</v>
      </c>
      <c r="D18" s="1725">
        <f t="shared" si="0"/>
        <v>0</v>
      </c>
      <c r="E18" s="1664">
        <v>0</v>
      </c>
      <c r="F18" s="1725">
        <f t="shared" si="1"/>
        <v>0</v>
      </c>
    </row>
    <row r="19" spans="1:6" ht="13.7" customHeight="1" thickBot="1" x14ac:dyDescent="0.25">
      <c r="A19" s="1432" t="s">
        <v>1150</v>
      </c>
      <c r="B19" s="1726">
        <f>SUM(B4:B18)</f>
        <v>2818248</v>
      </c>
      <c r="C19" s="1726">
        <f>SUM(C4:C18)</f>
        <v>46188</v>
      </c>
      <c r="D19" s="1726">
        <f>SUM(D4:D18)</f>
        <v>2772060</v>
      </c>
      <c r="E19" s="1726">
        <f>SUM(E4:E18)</f>
        <v>3287186</v>
      </c>
      <c r="F19" s="1726">
        <f>SUM(F4:F18)</f>
        <v>3240998</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zoomScaleSheetLayoutView="85"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624</v>
      </c>
      <c r="B1" s="2317"/>
      <c r="C1" s="585"/>
    </row>
    <row r="2" spans="1:7" ht="33.75" x14ac:dyDescent="0.2">
      <c r="A2" s="2325" t="s">
        <v>1778</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9" t="s">
        <v>1103</v>
      </c>
      <c r="B3" s="2330"/>
      <c r="C3" s="2318"/>
      <c r="D3" s="2319"/>
      <c r="E3" s="2319"/>
      <c r="F3" s="2320"/>
    </row>
    <row r="4" spans="1:7" ht="12.75" customHeight="1" thickBot="1" x14ac:dyDescent="0.25">
      <c r="A4" s="2327" t="s">
        <v>625</v>
      </c>
      <c r="B4" s="2328"/>
      <c r="C4" s="1656"/>
      <c r="D4" s="1656"/>
      <c r="E4" s="1656"/>
      <c r="F4" s="1732">
        <f>SUM(C4+D4)-E4</f>
        <v>0</v>
      </c>
    </row>
    <row r="5" spans="1:7" ht="15.75" customHeight="1" thickTop="1" x14ac:dyDescent="0.2">
      <c r="A5" s="2312" t="s">
        <v>1100</v>
      </c>
      <c r="B5" s="2313"/>
      <c r="C5" s="2321"/>
      <c r="D5" s="2322"/>
      <c r="E5" s="2322"/>
      <c r="F5" s="23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14" t="s">
        <v>626</v>
      </c>
      <c r="B15" s="2315"/>
      <c r="C15" s="1732">
        <f>SUM(C6:C14)</f>
        <v>0</v>
      </c>
      <c r="D15" s="1732">
        <f>SUM(D6:D14)</f>
        <v>0</v>
      </c>
      <c r="E15" s="1732">
        <f>SUM(E6:E14)</f>
        <v>0</v>
      </c>
      <c r="F15" s="1732">
        <f>SUM(F6:F14)</f>
        <v>0</v>
      </c>
      <c r="G15" s="473"/>
    </row>
    <row r="16" spans="1:7" s="197" customFormat="1" ht="15.75" customHeight="1" thickTop="1" x14ac:dyDescent="0.2">
      <c r="A16" s="2324" t="s">
        <v>1101</v>
      </c>
      <c r="B16" s="2313"/>
      <c r="C16" s="2321"/>
      <c r="D16" s="2322"/>
      <c r="E16" s="2322"/>
      <c r="F16" s="2323"/>
    </row>
    <row r="17" spans="1:11" ht="12.75" customHeight="1" thickBot="1" x14ac:dyDescent="0.25">
      <c r="A17" s="2337" t="s">
        <v>64</v>
      </c>
      <c r="B17" s="2338"/>
      <c r="C17" s="1733"/>
      <c r="D17" s="1664"/>
      <c r="E17" s="1733"/>
      <c r="F17" s="1732">
        <f>SUM(C17+D17)-E17</f>
        <v>0</v>
      </c>
    </row>
    <row r="18" spans="1:11" ht="12.75" customHeight="1" thickTop="1" thickBot="1" x14ac:dyDescent="0.25">
      <c r="A18" s="2337" t="s">
        <v>6</v>
      </c>
      <c r="B18" s="2338"/>
      <c r="C18" s="1733"/>
      <c r="D18" s="1664"/>
      <c r="E18" s="1733"/>
      <c r="F18" s="1732">
        <f>SUM(C18+D18)-E18</f>
        <v>0</v>
      </c>
    </row>
    <row r="19" spans="1:11" ht="12.75" customHeight="1" thickTop="1" thickBot="1" x14ac:dyDescent="0.25">
      <c r="A19" s="2337" t="s">
        <v>384</v>
      </c>
      <c r="B19" s="2338"/>
      <c r="C19" s="1733"/>
      <c r="D19" s="1664"/>
      <c r="E19" s="1733"/>
      <c r="F19" s="1732">
        <f>SUM(C19+D19)-E19</f>
        <v>0</v>
      </c>
    </row>
    <row r="20" spans="1:11" ht="12.75" customHeight="1" thickTop="1" thickBot="1" x14ac:dyDescent="0.25">
      <c r="A20" s="2337" t="s">
        <v>444</v>
      </c>
      <c r="B20" s="2338"/>
      <c r="C20" s="1733"/>
      <c r="D20" s="1664"/>
      <c r="E20" s="1733"/>
      <c r="F20" s="1732">
        <f>SUM(C20+D20)-E20</f>
        <v>0</v>
      </c>
    </row>
    <row r="21" spans="1:11" ht="14.25" thickTop="1" thickBot="1" x14ac:dyDescent="0.25">
      <c r="A21" s="2314" t="s">
        <v>627</v>
      </c>
      <c r="B21" s="2315"/>
      <c r="C21" s="1732">
        <f>SUM(C17:C20)</f>
        <v>0</v>
      </c>
      <c r="D21" s="1732">
        <f>SUM(D17:D20)</f>
        <v>0</v>
      </c>
      <c r="E21" s="1732">
        <f>SUM(E17:E20)</f>
        <v>0</v>
      </c>
      <c r="F21" s="1732">
        <f>SUM(F17:F20)</f>
        <v>0</v>
      </c>
      <c r="G21" s="473"/>
    </row>
    <row r="22" spans="1:11" ht="15.75" customHeight="1" thickTop="1" x14ac:dyDescent="0.2">
      <c r="A22" s="2339" t="s">
        <v>1102</v>
      </c>
      <c r="B22" s="2313"/>
      <c r="C22" s="2321"/>
      <c r="D22" s="2322"/>
      <c r="E22" s="2322"/>
      <c r="F22" s="2323"/>
    </row>
    <row r="23" spans="1:11" ht="13.5" thickBot="1" x14ac:dyDescent="0.25">
      <c r="A23" s="2327" t="s">
        <v>628</v>
      </c>
      <c r="B23" s="2328"/>
      <c r="C23" s="1656"/>
      <c r="D23" s="1656"/>
      <c r="E23" s="1656"/>
      <c r="F23" s="1732">
        <f>SUM(C23+D23)-E23</f>
        <v>0</v>
      </c>
      <c r="G23" s="473"/>
    </row>
    <row r="24" spans="1:11" ht="15.75" customHeight="1" thickTop="1" x14ac:dyDescent="0.2">
      <c r="A24" s="2339" t="s">
        <v>2005</v>
      </c>
      <c r="B24" s="2313"/>
      <c r="C24" s="2321"/>
      <c r="D24" s="2322"/>
      <c r="E24" s="2322"/>
      <c r="F24" s="2323"/>
    </row>
    <row r="25" spans="1:11" ht="13.5" thickBot="1" x14ac:dyDescent="0.25">
      <c r="A25" s="2327" t="s">
        <v>2006</v>
      </c>
      <c r="B25" s="2328"/>
      <c r="C25" s="1656"/>
      <c r="D25" s="1656"/>
      <c r="E25" s="1656"/>
      <c r="F25" s="1732">
        <f>SUM(C25+D25)-E25</f>
        <v>0</v>
      </c>
      <c r="G25" s="473"/>
    </row>
    <row r="26" spans="1:11" ht="15.75" customHeight="1" thickTop="1" x14ac:dyDescent="0.2">
      <c r="A26" s="2312" t="s">
        <v>651</v>
      </c>
      <c r="B26" s="2313"/>
      <c r="C26" s="589"/>
      <c r="D26" s="589"/>
      <c r="E26" s="589"/>
      <c r="F26" s="590"/>
    </row>
    <row r="27" spans="1:11" ht="13.5" thickBot="1" x14ac:dyDescent="0.25">
      <c r="A27" s="2314" t="s">
        <v>1060</v>
      </c>
      <c r="B27" s="2315"/>
      <c r="C27" s="1664"/>
      <c r="D27" s="1664"/>
      <c r="E27" s="1664"/>
      <c r="F27" s="1732">
        <f>SUM(C27+D27)-E27</f>
        <v>0</v>
      </c>
      <c r="G27" s="473"/>
    </row>
    <row r="28" spans="1:11" ht="7.5" customHeight="1" thickTop="1" x14ac:dyDescent="0.2">
      <c r="A28" s="489"/>
    </row>
    <row r="29" spans="1:11" ht="23.25" customHeight="1" x14ac:dyDescent="0.2">
      <c r="A29" s="2340" t="s">
        <v>577</v>
      </c>
      <c r="B29" s="2317"/>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2095</v>
      </c>
      <c r="B31" s="595">
        <v>39485</v>
      </c>
      <c r="C31" s="1734">
        <v>915000</v>
      </c>
      <c r="D31" s="1735">
        <v>3</v>
      </c>
      <c r="E31" s="1734">
        <v>250000</v>
      </c>
      <c r="F31" s="1734"/>
      <c r="G31" s="1734"/>
      <c r="H31" s="1734">
        <v>75000</v>
      </c>
      <c r="I31" s="1736">
        <f>((E31+F31)-H31)+G31</f>
        <v>175000</v>
      </c>
      <c r="J31" s="1734">
        <f>175000-5551</f>
        <v>169449</v>
      </c>
      <c r="K31" s="596"/>
    </row>
    <row r="32" spans="1:11" ht="12" customHeight="1" x14ac:dyDescent="0.2">
      <c r="A32" s="594" t="s">
        <v>2096</v>
      </c>
      <c r="B32" s="595">
        <v>40151</v>
      </c>
      <c r="C32" s="1734">
        <v>1530000</v>
      </c>
      <c r="D32" s="1735">
        <v>3</v>
      </c>
      <c r="E32" s="1734">
        <v>325000</v>
      </c>
      <c r="F32" s="1734"/>
      <c r="G32" s="1734"/>
      <c r="H32" s="1734">
        <v>65000</v>
      </c>
      <c r="I32" s="1736">
        <f>((E32+F32)-H32)+G32</f>
        <v>260000</v>
      </c>
      <c r="J32" s="1734">
        <f>260000-3422</f>
        <v>256578</v>
      </c>
      <c r="K32" s="596"/>
    </row>
    <row r="33" spans="1:11" ht="12" customHeight="1" x14ac:dyDescent="0.2">
      <c r="A33" s="594" t="s">
        <v>2101</v>
      </c>
      <c r="B33" s="595">
        <v>40816</v>
      </c>
      <c r="C33" s="1734">
        <v>997683</v>
      </c>
      <c r="D33" s="1735">
        <v>7</v>
      </c>
      <c r="E33" s="1734">
        <v>290000</v>
      </c>
      <c r="F33" s="1734"/>
      <c r="G33" s="1734"/>
      <c r="H33" s="1734">
        <v>290000</v>
      </c>
      <c r="I33" s="1736">
        <f t="shared" ref="I33:I48" si="1">((E33+F33)-H33)+G33</f>
        <v>0</v>
      </c>
      <c r="J33" s="1734">
        <v>0</v>
      </c>
      <c r="K33" s="596"/>
    </row>
    <row r="34" spans="1:11" ht="12" customHeight="1" x14ac:dyDescent="0.2">
      <c r="A34" s="594" t="s">
        <v>2097</v>
      </c>
      <c r="B34" s="595">
        <v>42159</v>
      </c>
      <c r="C34" s="1734">
        <v>515000</v>
      </c>
      <c r="D34" s="1735">
        <v>3</v>
      </c>
      <c r="E34" s="1734">
        <v>515000</v>
      </c>
      <c r="F34" s="1734"/>
      <c r="G34" s="1734"/>
      <c r="H34" s="1734"/>
      <c r="I34" s="1736">
        <f t="shared" si="1"/>
        <v>515000</v>
      </c>
      <c r="J34" s="1734">
        <f>515000-1201</f>
        <v>513799</v>
      </c>
      <c r="K34" s="597"/>
    </row>
    <row r="35" spans="1:11" ht="12" customHeight="1" x14ac:dyDescent="0.2">
      <c r="A35" s="594" t="s">
        <v>2098</v>
      </c>
      <c r="B35" s="595">
        <v>42159</v>
      </c>
      <c r="C35" s="1737">
        <v>44000</v>
      </c>
      <c r="D35" s="1735">
        <v>3</v>
      </c>
      <c r="E35" s="1737">
        <v>440000</v>
      </c>
      <c r="F35" s="1737"/>
      <c r="G35" s="1737"/>
      <c r="H35" s="1737"/>
      <c r="I35" s="1736">
        <f t="shared" si="1"/>
        <v>440000</v>
      </c>
      <c r="J35" s="1737">
        <f>440000-830</f>
        <v>439170</v>
      </c>
      <c r="K35" s="597"/>
    </row>
    <row r="36" spans="1:11" ht="12" customHeight="1" x14ac:dyDescent="0.2">
      <c r="A36" s="594" t="s">
        <v>2099</v>
      </c>
      <c r="B36" s="595">
        <v>42159</v>
      </c>
      <c r="C36" s="1734">
        <v>1690000</v>
      </c>
      <c r="D36" s="1735">
        <v>3</v>
      </c>
      <c r="E36" s="1734">
        <v>1690000</v>
      </c>
      <c r="F36" s="1734"/>
      <c r="G36" s="1734"/>
      <c r="H36" s="1734"/>
      <c r="I36" s="1736">
        <f t="shared" si="1"/>
        <v>1690000</v>
      </c>
      <c r="J36" s="1734">
        <f>1690000-7387</f>
        <v>1682613</v>
      </c>
      <c r="K36" s="598"/>
    </row>
    <row r="37" spans="1:11" ht="12" customHeight="1" x14ac:dyDescent="0.2">
      <c r="A37" s="594" t="s">
        <v>2122</v>
      </c>
      <c r="B37" s="595">
        <v>42308</v>
      </c>
      <c r="C37" s="1574">
        <v>14880</v>
      </c>
      <c r="D37" s="1738">
        <v>8</v>
      </c>
      <c r="E37" s="1574">
        <v>3968</v>
      </c>
      <c r="F37" s="1574"/>
      <c r="G37" s="1574"/>
      <c r="H37" s="1574">
        <v>2976</v>
      </c>
      <c r="I37" s="1736">
        <f t="shared" si="1"/>
        <v>992</v>
      </c>
      <c r="J37" s="1574">
        <v>992</v>
      </c>
      <c r="K37" s="597"/>
    </row>
    <row r="38" spans="1:11" ht="12" customHeight="1" x14ac:dyDescent="0.2">
      <c r="A38" s="594" t="s">
        <v>2103</v>
      </c>
      <c r="B38" s="595">
        <v>43712</v>
      </c>
      <c r="C38" s="1734">
        <v>520000</v>
      </c>
      <c r="D38" s="1739">
        <v>9</v>
      </c>
      <c r="E38" s="1740"/>
      <c r="F38" s="1740"/>
      <c r="G38" s="1740">
        <v>520000</v>
      </c>
      <c r="H38" s="1740"/>
      <c r="I38" s="1736">
        <f t="shared" si="1"/>
        <v>520000</v>
      </c>
      <c r="J38" s="1741">
        <v>520000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6226563</v>
      </c>
      <c r="D49" s="1742"/>
      <c r="E49" s="1736">
        <f t="shared" ref="E49:J49" si="2">SUM(E31:E48)</f>
        <v>3513968</v>
      </c>
      <c r="F49" s="1736">
        <f t="shared" si="2"/>
        <v>0</v>
      </c>
      <c r="G49" s="1736">
        <f t="shared" si="2"/>
        <v>520000</v>
      </c>
      <c r="H49" s="1736">
        <f t="shared" si="2"/>
        <v>432976</v>
      </c>
      <c r="I49" s="1736">
        <f t="shared" si="2"/>
        <v>3600992</v>
      </c>
      <c r="J49" s="1736">
        <f t="shared" si="2"/>
        <v>3582601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31" t="s">
        <v>579</v>
      </c>
      <c r="C52" s="2332"/>
      <c r="D52" s="2332"/>
      <c r="E52" s="603" t="s">
        <v>839</v>
      </c>
      <c r="F52" s="2333" t="s">
        <v>2100</v>
      </c>
      <c r="G52" s="2334"/>
      <c r="H52" s="596"/>
      <c r="I52" s="596"/>
      <c r="J52" s="600"/>
    </row>
    <row r="53" spans="1:11" ht="11.25" customHeight="1" x14ac:dyDescent="0.2">
      <c r="A53" s="604" t="s">
        <v>906</v>
      </c>
      <c r="B53" s="605" t="s">
        <v>944</v>
      </c>
      <c r="C53" s="600"/>
      <c r="D53" s="597"/>
      <c r="E53" s="603" t="s">
        <v>493</v>
      </c>
      <c r="F53" s="2335" t="s">
        <v>2102</v>
      </c>
      <c r="G53" s="2336"/>
      <c r="H53" s="596"/>
      <c r="I53" s="596"/>
      <c r="J53" s="600"/>
    </row>
    <row r="54" spans="1:11" ht="11.25" customHeight="1" x14ac:dyDescent="0.2">
      <c r="A54" s="606" t="s">
        <v>907</v>
      </c>
      <c r="B54" s="601" t="s">
        <v>945</v>
      </c>
      <c r="C54" s="600"/>
      <c r="D54" s="597"/>
      <c r="E54" s="603" t="s">
        <v>494</v>
      </c>
      <c r="F54" s="2335" t="s">
        <v>2104</v>
      </c>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zoomScaleSheetLayoutView="10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850</v>
      </c>
      <c r="B1" s="2368"/>
      <c r="C1" s="2368"/>
      <c r="D1" s="2368"/>
      <c r="E1" s="2368"/>
      <c r="F1" s="2368"/>
      <c r="G1" s="2369"/>
      <c r="H1" s="1298"/>
      <c r="I1" s="614"/>
      <c r="J1" s="400"/>
    </row>
    <row r="2" spans="1:11" ht="26.25" x14ac:dyDescent="0.2">
      <c r="A2" s="2344" t="s">
        <v>1657</v>
      </c>
      <c r="B2" s="2345"/>
      <c r="C2" s="2345"/>
      <c r="D2" s="2345"/>
      <c r="E2" s="2346"/>
      <c r="F2" s="615" t="s">
        <v>897</v>
      </c>
      <c r="G2" s="616" t="s">
        <v>1654</v>
      </c>
      <c r="H2" s="616" t="s">
        <v>406</v>
      </c>
      <c r="I2" s="616" t="s">
        <v>1147</v>
      </c>
      <c r="J2" s="616" t="s">
        <v>1788</v>
      </c>
      <c r="K2" s="616" t="s">
        <v>137</v>
      </c>
    </row>
    <row r="3" spans="1:11" x14ac:dyDescent="0.2">
      <c r="A3" s="2347" t="str">
        <f>"Cash Basis Fund Balance as of July 1, "&amp;'AFR20'!E2-1</f>
        <v>Cash Basis Fund Balance as of July 1, 2019</v>
      </c>
      <c r="B3" s="2348"/>
      <c r="C3" s="2348"/>
      <c r="D3" s="2348"/>
      <c r="E3" s="2349"/>
      <c r="F3" s="617"/>
      <c r="G3" s="1744"/>
      <c r="H3" s="1744"/>
      <c r="I3" s="1744"/>
      <c r="J3" s="1745">
        <v>21395</v>
      </c>
      <c r="K3" s="1745"/>
    </row>
    <row r="4" spans="1:11" x14ac:dyDescent="0.2">
      <c r="A4" s="2350" t="s">
        <v>365</v>
      </c>
      <c r="B4" s="2351"/>
      <c r="C4" s="2351"/>
      <c r="D4" s="2351"/>
      <c r="E4" s="2332"/>
      <c r="F4" s="620"/>
      <c r="G4" s="1746"/>
      <c r="H4" s="1747"/>
      <c r="I4" s="1746"/>
      <c r="J4" s="1748"/>
      <c r="K4" s="1748"/>
    </row>
    <row r="5" spans="1:11" x14ac:dyDescent="0.2">
      <c r="A5" s="2370" t="s">
        <v>1059</v>
      </c>
      <c r="B5" s="2341"/>
      <c r="C5" s="2341"/>
      <c r="D5" s="2341"/>
      <c r="E5" s="2371"/>
      <c r="F5" s="622" t="s">
        <v>842</v>
      </c>
      <c r="G5" s="1749"/>
      <c r="H5" s="1744">
        <v>16873</v>
      </c>
      <c r="I5" s="1750"/>
      <c r="J5" s="1751"/>
      <c r="K5" s="1751"/>
    </row>
    <row r="6" spans="1:11" x14ac:dyDescent="0.2">
      <c r="A6" s="625" t="s">
        <v>714</v>
      </c>
      <c r="B6" s="626"/>
      <c r="C6" s="626"/>
      <c r="D6" s="626"/>
      <c r="E6" s="627"/>
      <c r="F6" s="628" t="s">
        <v>843</v>
      </c>
      <c r="G6" s="1744"/>
      <c r="H6" s="1744">
        <v>16</v>
      </c>
      <c r="I6" s="1744"/>
      <c r="J6" s="1745">
        <v>591</v>
      </c>
      <c r="K6" s="1745">
        <v>5</v>
      </c>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v>88459</v>
      </c>
      <c r="K8" s="1748"/>
    </row>
    <row r="9" spans="1:11" x14ac:dyDescent="0.2">
      <c r="A9" s="629" t="s">
        <v>137</v>
      </c>
      <c r="B9" s="630"/>
      <c r="C9" s="630"/>
      <c r="D9" s="630"/>
      <c r="E9" s="631"/>
      <c r="F9" s="628" t="s">
        <v>847</v>
      </c>
      <c r="G9" s="1753"/>
      <c r="H9" s="1749"/>
      <c r="I9" s="1749"/>
      <c r="J9" s="1752"/>
      <c r="K9" s="1745">
        <v>1762</v>
      </c>
    </row>
    <row r="10" spans="1:11" x14ac:dyDescent="0.2">
      <c r="A10" s="2370" t="s">
        <v>1789</v>
      </c>
      <c r="B10" s="2341"/>
      <c r="C10" s="2341"/>
      <c r="D10" s="2341"/>
      <c r="E10" s="2372"/>
      <c r="F10" s="633" t="s">
        <v>856</v>
      </c>
      <c r="G10" s="1753"/>
      <c r="H10" s="1754"/>
      <c r="I10" s="1744"/>
      <c r="J10" s="1745"/>
      <c r="K10" s="1745"/>
    </row>
    <row r="11" spans="1:11" x14ac:dyDescent="0.2">
      <c r="A11" s="2370" t="s">
        <v>159</v>
      </c>
      <c r="B11" s="2341"/>
      <c r="C11" s="2341"/>
      <c r="D11" s="2341"/>
      <c r="E11" s="2371"/>
      <c r="F11" s="622" t="s">
        <v>846</v>
      </c>
      <c r="G11" s="1749"/>
      <c r="H11" s="1744"/>
      <c r="I11" s="1744"/>
      <c r="J11" s="1745"/>
      <c r="K11" s="1751"/>
    </row>
    <row r="12" spans="1:11" ht="13.5" thickBot="1" x14ac:dyDescent="0.25">
      <c r="A12" s="2358" t="s">
        <v>898</v>
      </c>
      <c r="B12" s="2359"/>
      <c r="C12" s="2359"/>
      <c r="D12" s="2359"/>
      <c r="E12" s="2360"/>
      <c r="F12" s="1433"/>
      <c r="G12" s="1755">
        <f>SUM(G5:G11)</f>
        <v>0</v>
      </c>
      <c r="H12" s="1755">
        <f>SUM(H5:H11)</f>
        <v>16889</v>
      </c>
      <c r="I12" s="1755">
        <f>SUM(I5:I11)</f>
        <v>0</v>
      </c>
      <c r="J12" s="1755">
        <f>SUM(J5:J11)</f>
        <v>89050</v>
      </c>
      <c r="K12" s="1755">
        <f>SUM(K5:K11)</f>
        <v>1767</v>
      </c>
    </row>
    <row r="13" spans="1:11" ht="13.5" thickTop="1" x14ac:dyDescent="0.2">
      <c r="A13" s="2352" t="s">
        <v>366</v>
      </c>
      <c r="B13" s="2353"/>
      <c r="C13" s="2353"/>
      <c r="D13" s="2353"/>
      <c r="E13" s="2354"/>
      <c r="F13" s="634"/>
      <c r="G13" s="1756"/>
      <c r="H13" s="1757"/>
      <c r="I13" s="1758"/>
      <c r="J13" s="1758"/>
      <c r="K13" s="1758"/>
    </row>
    <row r="14" spans="1:11" x14ac:dyDescent="0.2">
      <c r="A14" s="2376" t="s">
        <v>452</v>
      </c>
      <c r="B14" s="2376"/>
      <c r="C14" s="2376"/>
      <c r="D14" s="2376"/>
      <c r="E14" s="2377"/>
      <c r="F14" s="635" t="s">
        <v>848</v>
      </c>
      <c r="G14" s="1753"/>
      <c r="H14" s="1744">
        <v>16889</v>
      </c>
      <c r="I14" s="1749"/>
      <c r="J14" s="1751"/>
      <c r="K14" s="1745"/>
    </row>
    <row r="15" spans="1:11" x14ac:dyDescent="0.2">
      <c r="A15" s="2341" t="s">
        <v>4</v>
      </c>
      <c r="B15" s="2341"/>
      <c r="C15" s="2341"/>
      <c r="D15" s="2341"/>
      <c r="E15" s="2371"/>
      <c r="F15" s="635" t="s">
        <v>849</v>
      </c>
      <c r="G15" s="1749"/>
      <c r="H15" s="1744"/>
      <c r="I15" s="1744"/>
      <c r="J15" s="1745">
        <f>555246-510000</f>
        <v>45246</v>
      </c>
      <c r="K15" s="1745"/>
    </row>
    <row r="16" spans="1:11" x14ac:dyDescent="0.2">
      <c r="A16" s="2341" t="s">
        <v>294</v>
      </c>
      <c r="B16" s="2341"/>
      <c r="C16" s="2341"/>
      <c r="D16" s="2341"/>
      <c r="E16" s="2371"/>
      <c r="F16" s="635" t="s">
        <v>916</v>
      </c>
      <c r="G16" s="1750"/>
      <c r="H16" s="1746"/>
      <c r="I16" s="1746"/>
      <c r="J16" s="1748"/>
      <c r="K16" s="1748"/>
    </row>
    <row r="17" spans="1:15" x14ac:dyDescent="0.2">
      <c r="A17" s="2365" t="s">
        <v>928</v>
      </c>
      <c r="B17" s="2365"/>
      <c r="C17" s="2365"/>
      <c r="D17" s="2365"/>
      <c r="E17" s="2366"/>
      <c r="F17" s="636"/>
      <c r="G17" s="1759"/>
      <c r="H17" s="1760"/>
      <c r="I17" s="1760"/>
      <c r="J17" s="1761"/>
      <c r="K17" s="1762"/>
    </row>
    <row r="18" spans="1:15" x14ac:dyDescent="0.2">
      <c r="A18" s="2355" t="s">
        <v>364</v>
      </c>
      <c r="B18" s="2356"/>
      <c r="C18" s="2356"/>
      <c r="D18" s="2356"/>
      <c r="E18" s="2357"/>
      <c r="F18" s="635" t="s">
        <v>925</v>
      </c>
      <c r="G18" s="1753"/>
      <c r="H18" s="1753"/>
      <c r="I18" s="1753"/>
      <c r="J18" s="1745"/>
      <c r="K18" s="1763"/>
    </row>
    <row r="19" spans="1:15" ht="21.75" customHeight="1" x14ac:dyDescent="0.2">
      <c r="A19" s="2378" t="s">
        <v>1785</v>
      </c>
      <c r="B19" s="2378"/>
      <c r="C19" s="2378"/>
      <c r="D19" s="2378"/>
      <c r="E19" s="2379"/>
      <c r="F19" s="635" t="s">
        <v>926</v>
      </c>
      <c r="G19" s="1753"/>
      <c r="H19" s="1753"/>
      <c r="I19" s="1753"/>
      <c r="J19" s="1745"/>
      <c r="K19" s="1763"/>
    </row>
    <row r="20" spans="1:15" x14ac:dyDescent="0.2">
      <c r="A20" s="2355" t="s">
        <v>1790</v>
      </c>
      <c r="B20" s="2356"/>
      <c r="C20" s="2356"/>
      <c r="D20" s="2356"/>
      <c r="E20" s="2357"/>
      <c r="F20" s="635" t="s">
        <v>927</v>
      </c>
      <c r="G20" s="1753"/>
      <c r="H20" s="1753"/>
      <c r="I20" s="1753"/>
      <c r="J20" s="1745"/>
      <c r="K20" s="1763"/>
    </row>
    <row r="21" spans="1:15" ht="13.5" thickBot="1" x14ac:dyDescent="0.25">
      <c r="A21" s="2361" t="s">
        <v>632</v>
      </c>
      <c r="B21" s="2361"/>
      <c r="C21" s="2361"/>
      <c r="D21" s="2361"/>
      <c r="E21" s="2361"/>
      <c r="F21" s="1434"/>
      <c r="G21" s="1760"/>
      <c r="H21" s="1764"/>
      <c r="I21" s="1764"/>
      <c r="J21" s="1765">
        <f>SUM(J18:J20)</f>
        <v>0</v>
      </c>
      <c r="K21" s="1761"/>
    </row>
    <row r="22" spans="1:15" ht="13.5" thickTop="1" x14ac:dyDescent="0.2">
      <c r="A22" s="2341" t="s">
        <v>1791</v>
      </c>
      <c r="B22" s="2341"/>
      <c r="C22" s="2341"/>
      <c r="D22" s="2341"/>
      <c r="E22" s="2371"/>
      <c r="F22" s="635" t="s">
        <v>856</v>
      </c>
      <c r="G22" s="1753"/>
      <c r="H22" s="1744"/>
      <c r="I22" s="1744"/>
      <c r="J22" s="1766"/>
      <c r="K22" s="1745"/>
    </row>
    <row r="23" spans="1:15" ht="13.5" thickBot="1" x14ac:dyDescent="0.25">
      <c r="A23" s="2362" t="s">
        <v>899</v>
      </c>
      <c r="B23" s="2361"/>
      <c r="C23" s="2361"/>
      <c r="D23" s="2361"/>
      <c r="E23" s="2361"/>
      <c r="F23" s="1436"/>
      <c r="G23" s="1755">
        <f>SUM(G14:G16,G21,G22)</f>
        <v>0</v>
      </c>
      <c r="H23" s="1755">
        <f>SUM(H14:H16,H21,H22)</f>
        <v>16889</v>
      </c>
      <c r="I23" s="1755">
        <f>SUM(I14:I16,I21,I22)</f>
        <v>0</v>
      </c>
      <c r="J23" s="1755">
        <f>SUM(J14:J16,J21,J22)</f>
        <v>45246</v>
      </c>
      <c r="K23" s="1755">
        <f>SUM(K14:K16,K21,K22)</f>
        <v>0</v>
      </c>
      <c r="M23" s="1846"/>
      <c r="N23" s="1846"/>
      <c r="O23" s="1846"/>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65199</v>
      </c>
      <c r="K24" s="1767">
        <f>SUM(K3,K12)-K23</f>
        <v>1767</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65199</v>
      </c>
      <c r="K26" s="1755">
        <f>K24-K25</f>
        <v>1767</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73"/>
      <c r="I31" s="2374"/>
      <c r="J31" s="2374"/>
      <c r="K31" s="2374"/>
    </row>
    <row r="32" spans="1:15" x14ac:dyDescent="0.2">
      <c r="A32" s="649"/>
      <c r="B32" s="232"/>
      <c r="C32" s="232"/>
      <c r="D32" s="232"/>
      <c r="E32" s="645"/>
      <c r="F32" s="651" t="s">
        <v>536</v>
      </c>
      <c r="G32" s="618"/>
      <c r="H32" s="2375"/>
      <c r="I32" s="2374"/>
      <c r="J32" s="2374"/>
      <c r="K32" s="2374"/>
    </row>
    <row r="33" spans="1:11" ht="1.5" customHeight="1" x14ac:dyDescent="0.2">
      <c r="A33" s="652" t="s">
        <v>1158</v>
      </c>
      <c r="B33" s="341"/>
      <c r="C33" s="341"/>
      <c r="D33" s="341"/>
      <c r="E33" s="341"/>
      <c r="F33" s="341"/>
      <c r="G33" s="653"/>
      <c r="H33" s="2375"/>
      <c r="I33" s="2374"/>
      <c r="J33" s="2374"/>
      <c r="K33" s="2374"/>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1" t="s">
        <v>537</v>
      </c>
      <c r="B41" s="2342"/>
      <c r="C41" s="2342"/>
      <c r="D41" s="2342"/>
      <c r="E41" s="2342"/>
      <c r="F41" s="234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1874</v>
      </c>
      <c r="B1" s="2383"/>
      <c r="C1" s="2384"/>
      <c r="D1" s="666"/>
      <c r="E1" s="667"/>
      <c r="F1" s="667"/>
      <c r="G1" s="668"/>
      <c r="H1" s="669"/>
      <c r="I1" s="670"/>
      <c r="J1" s="2380"/>
      <c r="K1" s="2381"/>
      <c r="L1" s="2381"/>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6100</v>
      </c>
      <c r="D5" s="1770"/>
      <c r="E5" s="1770"/>
      <c r="F5" s="1765">
        <f>(C5+D5)-E5</f>
        <v>6100</v>
      </c>
      <c r="G5" s="676"/>
      <c r="H5" s="680"/>
      <c r="I5" s="680"/>
      <c r="J5" s="680"/>
      <c r="K5" s="637"/>
      <c r="L5" s="1442">
        <f>F5-K5</f>
        <v>6100</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6759137</v>
      </c>
      <c r="D8" s="1771">
        <v>502649</v>
      </c>
      <c r="E8" s="1771"/>
      <c r="F8" s="1765">
        <f>(C8+D8)-E8</f>
        <v>7261786</v>
      </c>
      <c r="G8" s="681">
        <v>50</v>
      </c>
      <c r="H8" s="619">
        <v>2950578</v>
      </c>
      <c r="I8" s="619">
        <v>130254</v>
      </c>
      <c r="J8" s="619"/>
      <c r="K8" s="1442">
        <f>(H8+I8)-J8</f>
        <v>3080832</v>
      </c>
      <c r="L8" s="1442">
        <f>F8-K8</f>
        <v>4180954</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101138</v>
      </c>
      <c r="D10" s="1772"/>
      <c r="E10" s="1772"/>
      <c r="F10" s="1773">
        <f>(C10+D10)-E10</f>
        <v>101138</v>
      </c>
      <c r="G10" s="681">
        <v>20</v>
      </c>
      <c r="H10" s="683">
        <v>66538</v>
      </c>
      <c r="I10" s="683">
        <v>3489</v>
      </c>
      <c r="J10" s="683"/>
      <c r="K10" s="1442">
        <f>(H10+I10)-J10</f>
        <v>70027</v>
      </c>
      <c r="L10" s="1442">
        <f>F10-K10</f>
        <v>31111</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294955</v>
      </c>
      <c r="D12" s="1771"/>
      <c r="E12" s="1771">
        <v>30758</v>
      </c>
      <c r="F12" s="1765">
        <f>(C12+D12)-E12</f>
        <v>264197</v>
      </c>
      <c r="G12" s="681">
        <v>10</v>
      </c>
      <c r="H12" s="619">
        <v>72456</v>
      </c>
      <c r="I12" s="619">
        <v>46453</v>
      </c>
      <c r="J12" s="619">
        <v>30758</v>
      </c>
      <c r="K12" s="1442">
        <f>(H12+I12)-J12</f>
        <v>88151</v>
      </c>
      <c r="L12" s="1442">
        <f>F12-K12</f>
        <v>176046</v>
      </c>
    </row>
    <row r="13" spans="1:14" ht="14.25" thickTop="1" thickBot="1" x14ac:dyDescent="0.25">
      <c r="A13" s="684" t="s">
        <v>1111</v>
      </c>
      <c r="B13" s="679">
        <v>252</v>
      </c>
      <c r="C13" s="1771">
        <v>590516</v>
      </c>
      <c r="D13" s="1771">
        <v>6550</v>
      </c>
      <c r="E13" s="1771"/>
      <c r="F13" s="1765">
        <f>(C13+D13)-E13</f>
        <v>597066</v>
      </c>
      <c r="G13" s="681">
        <v>5</v>
      </c>
      <c r="H13" s="619">
        <v>590041</v>
      </c>
      <c r="I13" s="619">
        <v>1785</v>
      </c>
      <c r="J13" s="619"/>
      <c r="K13" s="1442">
        <f>(H13+I13)-J13</f>
        <v>591826</v>
      </c>
      <c r="L13" s="1442">
        <f>F13-K13</f>
        <v>5240</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7751846</v>
      </c>
      <c r="D16" s="1765">
        <f>SUM(D3,D5:D6,D8:D10,D12:D15)</f>
        <v>509199</v>
      </c>
      <c r="E16" s="1765">
        <f>SUM(E3,E5:E6,E8:E10,E12:E15)</f>
        <v>30758</v>
      </c>
      <c r="F16" s="1765">
        <f>SUM(F3,F5:F6,F8:F10,F12:F15)</f>
        <v>8230287</v>
      </c>
      <c r="G16" s="681"/>
      <c r="H16" s="1435">
        <f>SUM(H3,H6,H8:H10,H12:H14,)</f>
        <v>3679613</v>
      </c>
      <c r="I16" s="1435">
        <f>SUM(I3,I6,I8:I10,I12:I14,)</f>
        <v>181981</v>
      </c>
      <c r="J16" s="1435">
        <f>SUM(J3,J6,J8:J10,J12:J14,)</f>
        <v>30758</v>
      </c>
      <c r="K16" s="1435">
        <f>(H16+I16)-J16</f>
        <v>3830836</v>
      </c>
      <c r="L16" s="1435">
        <f>F16-K16</f>
        <v>4399451</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181981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zoomScaleSheetLayoutView="10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473</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4"/>
      <c r="B5" s="2395"/>
      <c r="C5" s="2395"/>
      <c r="D5" s="2395"/>
      <c r="E5" s="2395"/>
      <c r="F5" s="2395"/>
    </row>
    <row r="6" spans="1:9" ht="13.5" customHeight="1" thickBot="1" x14ac:dyDescent="0.25">
      <c r="A6" s="2385" t="s">
        <v>1094</v>
      </c>
      <c r="B6" s="2386"/>
      <c r="C6" s="2386"/>
      <c r="D6" s="2386"/>
      <c r="E6" s="2386"/>
      <c r="F6" s="238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2113448</v>
      </c>
      <c r="G8" s="701"/>
    </row>
    <row r="9" spans="1:9" x14ac:dyDescent="0.2">
      <c r="A9" s="705" t="s">
        <v>456</v>
      </c>
      <c r="B9" s="706" t="s">
        <v>1847</v>
      </c>
      <c r="C9" s="707"/>
      <c r="D9" s="705" t="s">
        <v>497</v>
      </c>
      <c r="E9" s="704"/>
      <c r="F9" s="1775">
        <f>'Expenditures 15-22'!K151</f>
        <v>282559</v>
      </c>
      <c r="G9" s="708"/>
    </row>
    <row r="10" spans="1:9" x14ac:dyDescent="0.2">
      <c r="A10" s="705" t="s">
        <v>495</v>
      </c>
      <c r="B10" s="706" t="s">
        <v>1848</v>
      </c>
      <c r="C10" s="707"/>
      <c r="D10" s="705" t="s">
        <v>497</v>
      </c>
      <c r="E10" s="704"/>
      <c r="F10" s="1775">
        <f>'Expenditures 15-22'!K174</f>
        <v>548325</v>
      </c>
      <c r="G10" s="708"/>
    </row>
    <row r="11" spans="1:9" x14ac:dyDescent="0.2">
      <c r="A11" s="705" t="s">
        <v>457</v>
      </c>
      <c r="B11" s="706" t="s">
        <v>1849</v>
      </c>
      <c r="C11" s="707"/>
      <c r="D11" s="705" t="s">
        <v>497</v>
      </c>
      <c r="E11" s="704"/>
      <c r="F11" s="1775">
        <f>'Expenditures 15-22'!K210</f>
        <v>196642</v>
      </c>
      <c r="G11" s="708"/>
    </row>
    <row r="12" spans="1:9" x14ac:dyDescent="0.2">
      <c r="A12" s="705" t="s">
        <v>458</v>
      </c>
      <c r="B12" s="706" t="s">
        <v>1850</v>
      </c>
      <c r="C12" s="707"/>
      <c r="D12" s="705" t="s">
        <v>497</v>
      </c>
      <c r="E12" s="704"/>
      <c r="F12" s="1775">
        <f>'Expenditures 15-22'!K295</f>
        <v>59276</v>
      </c>
      <c r="G12" s="708"/>
    </row>
    <row r="13" spans="1:9" x14ac:dyDescent="0.2">
      <c r="A13" s="705" t="s">
        <v>106</v>
      </c>
      <c r="B13" s="706" t="s">
        <v>1851</v>
      </c>
      <c r="C13" s="707"/>
      <c r="D13" s="705" t="s">
        <v>497</v>
      </c>
      <c r="E13" s="704"/>
      <c r="F13" s="1775">
        <f>'Expenditures 15-22'!K342</f>
        <v>134915</v>
      </c>
      <c r="G13" s="709"/>
    </row>
    <row r="14" spans="1:9" ht="12" customHeight="1" thickBot="1" x14ac:dyDescent="0.25">
      <c r="A14" s="1443"/>
      <c r="B14" s="1444"/>
      <c r="C14" s="1445"/>
      <c r="D14" s="1446" t="s">
        <v>497</v>
      </c>
      <c r="E14" s="1447" t="s">
        <v>951</v>
      </c>
      <c r="F14" s="1776">
        <f>SUM(F8:F13)</f>
        <v>3335165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2">
        <f>'Expenditures 15-22'!K102</f>
        <v>543390</v>
      </c>
      <c r="G53" s="701"/>
    </row>
    <row r="54" spans="1:7" x14ac:dyDescent="0.2">
      <c r="A54" s="705" t="s">
        <v>455</v>
      </c>
      <c r="B54" s="705" t="s">
        <v>1458</v>
      </c>
      <c r="C54" s="724" t="s">
        <v>974</v>
      </c>
      <c r="D54" s="720" t="s">
        <v>1085</v>
      </c>
      <c r="E54" s="704"/>
      <c r="F54" s="1782">
        <f>'Expenditures 15-22'!G114</f>
        <v>0</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0</v>
      </c>
      <c r="G57" s="701"/>
    </row>
    <row r="58" spans="1:7" x14ac:dyDescent="0.2">
      <c r="A58" s="705" t="s">
        <v>456</v>
      </c>
      <c r="B58" s="705" t="s">
        <v>1853</v>
      </c>
      <c r="C58" s="721" t="s">
        <v>974</v>
      </c>
      <c r="D58" s="720" t="s">
        <v>1085</v>
      </c>
      <c r="E58" s="704"/>
      <c r="F58" s="1784">
        <f>'Expenditures 15-22'!G151</f>
        <v>0</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432976</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6550</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0</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982916</v>
      </c>
      <c r="G77" s="701"/>
    </row>
    <row r="78" spans="1:9" s="728" customFormat="1" ht="12" customHeight="1" thickTop="1" thickBot="1" x14ac:dyDescent="0.25">
      <c r="A78" s="1450"/>
      <c r="B78" s="1448"/>
      <c r="C78" s="1445"/>
      <c r="D78" s="1449" t="s">
        <v>2011</v>
      </c>
      <c r="E78" s="1447"/>
      <c r="F78" s="1788">
        <f>(F14-F77)</f>
        <v>2352249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149.9</v>
      </c>
      <c r="G79" s="733"/>
      <c r="H79" s="705"/>
      <c r="I79" s="705"/>
    </row>
    <row r="80" spans="1:9" s="728" customFormat="1" ht="12" customHeight="1" thickBot="1" x14ac:dyDescent="0.25">
      <c r="A80" s="1452"/>
      <c r="B80" s="1448"/>
      <c r="C80" s="1445"/>
      <c r="D80" s="1449" t="s">
        <v>2012</v>
      </c>
      <c r="E80" s="1447" t="s">
        <v>951</v>
      </c>
      <c r="F80" s="1790">
        <f>IF(F79&gt;0,F78/F79," Complete Line 79")</f>
        <v>15692.121414276184</v>
      </c>
      <c r="G80" s="705"/>
    </row>
    <row r="81" spans="1:7" s="728" customFormat="1" ht="8.25" customHeight="1" thickTop="1" x14ac:dyDescent="0.2">
      <c r="A81" s="734"/>
      <c r="B81" s="705"/>
      <c r="C81" s="707"/>
      <c r="D81" s="735"/>
      <c r="E81" s="704"/>
      <c r="F81" s="1791"/>
      <c r="G81" s="705"/>
    </row>
    <row r="82" spans="1:7" s="728" customFormat="1" ht="12" thickBot="1" x14ac:dyDescent="0.25">
      <c r="A82" s="2385" t="s">
        <v>1095</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15208</v>
      </c>
      <c r="G95" s="745"/>
    </row>
    <row r="96" spans="1:7" x14ac:dyDescent="0.2">
      <c r="A96" s="741" t="s">
        <v>139</v>
      </c>
      <c r="B96" s="741" t="s">
        <v>174</v>
      </c>
      <c r="C96" s="743">
        <v>1700</v>
      </c>
      <c r="D96" s="751" t="str">
        <f>'Revenues 9-14'!A82</f>
        <v>Total District/School Activity Income</v>
      </c>
      <c r="E96" s="739"/>
      <c r="F96" s="1793">
        <f>SUM('Revenues 9-14'!C82,'Revenues 9-14'!D82)</f>
        <v>3647</v>
      </c>
      <c r="G96" s="745"/>
    </row>
    <row r="97" spans="1:7" x14ac:dyDescent="0.2">
      <c r="A97" s="741" t="s">
        <v>455</v>
      </c>
      <c r="B97" s="741" t="s">
        <v>175</v>
      </c>
      <c r="C97" s="743">
        <f>'Revenues 9-14'!B84</f>
        <v>1811</v>
      </c>
      <c r="D97" s="744" t="str">
        <f>'Revenues 9-14'!A84</f>
        <v>Rentals - Regular Textbooks</v>
      </c>
      <c r="E97" s="739"/>
      <c r="F97" s="1793">
        <f>'Revenues 9-14'!C84</f>
        <v>4760</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50</v>
      </c>
      <c r="G101" s="745"/>
    </row>
    <row r="102" spans="1:7" x14ac:dyDescent="0.2">
      <c r="A102" s="741" t="s">
        <v>139</v>
      </c>
      <c r="B102" s="741" t="s">
        <v>180</v>
      </c>
      <c r="C102" s="743">
        <f>'Revenues 9-14'!B95</f>
        <v>1910</v>
      </c>
      <c r="D102" s="744" t="str">
        <f>'Revenues 9-14'!A95</f>
        <v>Rentals</v>
      </c>
      <c r="E102" s="739"/>
      <c r="F102" s="1793">
        <f>SUM('Revenues 9-14'!C95:D95)</f>
        <v>668</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1679</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0</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0</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281</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1762</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91180</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1925</v>
      </c>
      <c r="C122" s="761">
        <f>'Revenues 9-14'!B168</f>
        <v>3999</v>
      </c>
      <c r="D122" s="762" t="s">
        <v>539</v>
      </c>
      <c r="E122" s="764"/>
      <c r="F122" s="1793">
        <f>SUM('Revenues 9-14'!C168:G168,'Revenues 9-14'!J168)</f>
        <v>750</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12314</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28905</v>
      </c>
      <c r="G126" s="763"/>
    </row>
    <row r="127" spans="1:7" x14ac:dyDescent="0.2">
      <c r="A127" s="760" t="s">
        <v>662</v>
      </c>
      <c r="B127" s="760" t="s">
        <v>1930</v>
      </c>
      <c r="C127" s="765">
        <v>4300</v>
      </c>
      <c r="D127" s="766" t="str">
        <f>'Revenues 9-14'!A204</f>
        <v>Total Title I</v>
      </c>
      <c r="E127" s="739"/>
      <c r="F127" s="1793">
        <f>SUM('Revenues 9-14'!C204,'Revenues 9-14'!D204,'Revenues 9-14'!F204,'Revenues 9-14'!G204)</f>
        <v>54449</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10000</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8466</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2247</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1782</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54513</v>
      </c>
      <c r="G172" s="760"/>
    </row>
    <row r="173" spans="1:7" x14ac:dyDescent="0.2">
      <c r="A173" s="1529" t="s">
        <v>658</v>
      </c>
      <c r="B173" s="1530" t="s">
        <v>1884</v>
      </c>
      <c r="C173" s="1531">
        <v>3300</v>
      </c>
      <c r="D173" s="1532" t="s">
        <v>1887</v>
      </c>
      <c r="E173" s="739"/>
      <c r="F173" s="1794">
        <v>10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342671</v>
      </c>
    </row>
    <row r="176" spans="1:7" ht="12" customHeight="1" x14ac:dyDescent="0.2">
      <c r="A176" s="1443"/>
      <c r="B176" s="1453"/>
      <c r="C176" s="1454"/>
      <c r="D176" s="1455" t="s">
        <v>2013</v>
      </c>
      <c r="E176" s="1456"/>
      <c r="F176" s="1793">
        <f>'PCTC-OEPP 27-28'!F78-F175</f>
        <v>2009578</v>
      </c>
    </row>
    <row r="177" spans="1:9" ht="12" customHeight="1" x14ac:dyDescent="0.2">
      <c r="A177" s="1443"/>
      <c r="B177" s="1453"/>
      <c r="C177" s="1454"/>
      <c r="D177" s="1455" t="s">
        <v>1793</v>
      </c>
      <c r="E177" s="1456"/>
      <c r="F177" s="1793">
        <f>'Cap Outlay Deprec 26'!I18</f>
        <v>181981</v>
      </c>
    </row>
    <row r="178" spans="1:9" ht="12" customHeight="1" x14ac:dyDescent="0.2">
      <c r="A178" s="1443"/>
      <c r="B178" s="1453"/>
      <c r="C178" s="1454"/>
      <c r="D178" s="1455" t="s">
        <v>2014</v>
      </c>
      <c r="E178" s="1456"/>
      <c r="F178" s="1793">
        <f>F176+F177</f>
        <v>2191559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149.9</v>
      </c>
      <c r="G179" s="763"/>
      <c r="I179" s="701"/>
    </row>
    <row r="180" spans="1:9" ht="12" customHeight="1" thickBot="1" x14ac:dyDescent="0.25">
      <c r="A180" s="1443"/>
      <c r="B180" s="1457"/>
      <c r="C180" s="1454"/>
      <c r="D180" s="1455" t="s">
        <v>2016</v>
      </c>
      <c r="E180" s="1456" t="s">
        <v>1527</v>
      </c>
      <c r="F180" s="1798">
        <f>F178/F179</f>
        <v>14620.140093395596</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99" t="s">
        <v>1794</v>
      </c>
      <c r="B4" s="2400"/>
      <c r="C4" s="2400"/>
      <c r="D4" s="2400"/>
      <c r="E4" s="2400"/>
      <c r="F4" s="2401"/>
    </row>
    <row r="5" spans="1:6" x14ac:dyDescent="0.25">
      <c r="A5" s="2402"/>
      <c r="B5" s="2403"/>
      <c r="C5" s="2403"/>
      <c r="D5" s="2403"/>
      <c r="E5" s="2403"/>
      <c r="F5" s="2404"/>
    </row>
    <row r="6" spans="1:6" ht="18.75" x14ac:dyDescent="0.25">
      <c r="A6" s="1867" t="s">
        <v>1795</v>
      </c>
      <c r="B6" s="1868"/>
      <c r="C6" s="1869"/>
      <c r="D6" s="1869"/>
      <c r="E6" s="1869"/>
      <c r="F6" s="1870"/>
    </row>
    <row r="7" spans="1:6" ht="47.25" customHeight="1" x14ac:dyDescent="0.25">
      <c r="A7" s="2405" t="s">
        <v>1984</v>
      </c>
      <c r="B7" s="2406"/>
      <c r="C7" s="2406"/>
      <c r="D7" s="2406"/>
      <c r="E7" s="2406"/>
      <c r="F7" s="2407"/>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408" t="s">
        <v>1980</v>
      </c>
      <c r="B10" s="2409"/>
      <c r="C10" s="2409"/>
      <c r="D10" s="2409"/>
      <c r="E10" s="2409"/>
      <c r="F10" s="2410"/>
    </row>
    <row r="11" spans="1:6" ht="33" customHeight="1" x14ac:dyDescent="0.25">
      <c r="A11" s="2405" t="s">
        <v>1985</v>
      </c>
      <c r="B11" s="2406"/>
      <c r="C11" s="2406"/>
      <c r="D11" s="2406"/>
      <c r="E11" s="2406"/>
      <c r="F11" s="2407"/>
    </row>
    <row r="12" spans="1:6" ht="15" customHeight="1" x14ac:dyDescent="0.25">
      <c r="A12" s="1873" t="s">
        <v>1981</v>
      </c>
      <c r="B12" s="1874"/>
      <c r="C12" s="1875"/>
      <c r="D12" s="1875"/>
      <c r="E12" s="1875"/>
      <c r="F12" s="1876"/>
    </row>
    <row r="13" spans="1:6" ht="17.25" customHeight="1" x14ac:dyDescent="0.25">
      <c r="A13" s="2405" t="s">
        <v>1982</v>
      </c>
      <c r="B13" s="2406"/>
      <c r="C13" s="2406"/>
      <c r="D13" s="2406"/>
      <c r="E13" s="2406"/>
      <c r="F13" s="2407"/>
    </row>
    <row r="14" spans="1:6" ht="15" customHeight="1" x14ac:dyDescent="0.25">
      <c r="A14" s="1873" t="s">
        <v>1799</v>
      </c>
      <c r="B14" s="1874"/>
      <c r="C14" s="1875"/>
      <c r="D14" s="1875"/>
      <c r="E14" s="1875"/>
      <c r="F14" s="1876"/>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55" t="s">
        <v>2105</v>
      </c>
      <c r="B18" s="1908">
        <v>202540300</v>
      </c>
      <c r="C18" s="2056" t="s">
        <v>2106</v>
      </c>
      <c r="D18" s="1886">
        <v>47912</v>
      </c>
      <c r="E18" s="1906" t="str">
        <f t="shared" ref="E18:E81" si="0">IF(D18&lt;25000,D18,"25,000")</f>
        <v>25,000</v>
      </c>
      <c r="F18" s="1906">
        <f t="shared" ref="F18:F81" si="1">IF(D18&gt;=25000,(D18-E18),"0")</f>
        <v>22912</v>
      </c>
      <c r="G18" s="1887"/>
    </row>
    <row r="19" spans="1:7" x14ac:dyDescent="0.25">
      <c r="A19" s="2055" t="s">
        <v>2107</v>
      </c>
      <c r="B19" s="1908">
        <v>402550300</v>
      </c>
      <c r="C19" s="2057" t="s">
        <v>2118</v>
      </c>
      <c r="D19" s="1886">
        <v>74314</v>
      </c>
      <c r="E19" s="1906" t="str">
        <f t="shared" si="0"/>
        <v>25,000</v>
      </c>
      <c r="F19" s="1906">
        <f t="shared" si="1"/>
        <v>49314</v>
      </c>
    </row>
    <row r="20" spans="1:7"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122226</v>
      </c>
      <c r="E142" s="1893">
        <f>SUM(E18:E141)</f>
        <v>0</v>
      </c>
      <c r="F142" s="1894">
        <f>SUM(F18:F141)</f>
        <v>72226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1" t="s">
        <v>1659</v>
      </c>
      <c r="B5" s="2412"/>
      <c r="C5" s="2412"/>
      <c r="D5" s="2412"/>
      <c r="E5" s="2412"/>
      <c r="F5" s="2412"/>
      <c r="G5" s="241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26459</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801">
        <v>6465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926179</v>
      </c>
      <c r="F19" s="1802"/>
      <c r="G19" s="1804">
        <f>'Expenditures 15-22'!K33-SUM('Expenditures 15-22'!G33,'Expenditures 15-22'!I33)+'Expenditures 15-22'!D229</f>
        <v>926179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75055</v>
      </c>
      <c r="F21" s="1805"/>
      <c r="G21" s="1808">
        <f>'Expenditures 15-22'!K42-SUM('Expenditures 15-22'!G42,'Expenditures 15-22'!I42)+'Expenditures 15-22'!K120-SUM('Expenditures 15-22'!G120,'Expenditures 15-22'!I120)+'Expenditures 15-22'!K180-SUM('Expenditures 15-22'!G180,'Expenditures 15-22'!I180)+'Expenditures 15-22'!D238</f>
        <v>75055</v>
      </c>
      <c r="H21" s="817"/>
      <c r="I21" s="157"/>
    </row>
    <row r="22" spans="1:9" s="542" customFormat="1" ht="12" customHeight="1" x14ac:dyDescent="0.2">
      <c r="A22" s="824" t="s">
        <v>559</v>
      </c>
      <c r="B22" s="825"/>
      <c r="C22" s="823">
        <v>2200</v>
      </c>
      <c r="D22" s="1805"/>
      <c r="E22" s="1807">
        <f>'Expenditures 15-22'!K47-SUM('Expenditures 15-22'!G47,'Expenditures 15-22'!I47)+'Expenditures 15-22'!D243</f>
        <v>44953</v>
      </c>
      <c r="F22" s="1805"/>
      <c r="G22" s="1808">
        <f>'Expenditures 15-22'!K47-SUM('Expenditures 15-22'!G47,'Expenditures 15-22'!I47)+'Expenditures 15-22'!D243</f>
        <v>44953</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316390</v>
      </c>
      <c r="F23" s="1805"/>
      <c r="G23" s="1807">
        <f>'Expenditures 15-22'!K53-SUM('Expenditures 15-22'!G53,'Expenditures 15-22'!I53)+'Expenditures 15-22'!D257+'Expenditures 15-22'!K330-SUM('Expenditures 15-22'!G330,'Expenditures 15-22'!I330)</f>
        <v>316390</v>
      </c>
      <c r="H23" s="817"/>
      <c r="I23" s="157"/>
    </row>
    <row r="24" spans="1:9" s="542" customFormat="1" ht="12" customHeight="1" x14ac:dyDescent="0.2">
      <c r="A24" s="824" t="s">
        <v>561</v>
      </c>
      <c r="B24" s="825"/>
      <c r="C24" s="823">
        <v>2400</v>
      </c>
      <c r="D24" s="1805"/>
      <c r="E24" s="1807">
        <f>'Expenditures 15-22'!K57-SUM('Expenditures 15-22'!G57,'Expenditures 15-22'!I57)+'Expenditures 15-22'!D261</f>
        <v>167935</v>
      </c>
      <c r="F24" s="1805"/>
      <c r="G24" s="1808">
        <f>'Expenditures 15-22'!K57-SUM('Expenditures 15-22'!G57,'Expenditures 15-22'!I57)+'Expenditures 15-22'!D261</f>
        <v>167935</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52022</v>
      </c>
      <c r="E27" s="1807">
        <f>E8</f>
        <v>0</v>
      </c>
      <c r="F27" s="1807">
        <f>'Expenditures 15-22'!K60-SUM('Expenditures 15-22'!G60,'Expenditures 15-22'!I60)+'Expenditures 15-22'!D264-E8</f>
        <v>52022</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308951</v>
      </c>
      <c r="F28" s="1809">
        <f>'Expenditures 15-22'!K61-SUM('Expenditures 15-22'!G61,'Expenditures 15-22'!I61)+'Expenditures 15-22'!K124-SUM('Expenditures 15-22'!G124,'Expenditures 15-22'!I124)+'Expenditures 15-22'!D266-E9</f>
        <v>308951</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198062</v>
      </c>
      <c r="F29" s="1805"/>
      <c r="G29" s="1808">
        <f>'Expenditures 15-22'!K62-SUM('Expenditures 15-22'!G62,'Expenditures 15-22'!I62)+'Expenditures 15-22'!K125-SUM('Expenditures 15-22'!G125,'Expenditures 15-22'!I125)+'Expenditures 15-22'!K182-SUM('Expenditures 15-22'!G182,'Expenditures 15-22'!I182)+'Expenditures 15-22'!D267</f>
        <v>198062</v>
      </c>
      <c r="H29" s="815"/>
    </row>
    <row r="30" spans="1:9" ht="12" customHeight="1" x14ac:dyDescent="0.2">
      <c r="A30" s="824" t="s">
        <v>100</v>
      </c>
      <c r="B30" s="827"/>
      <c r="C30" s="823">
        <v>2560</v>
      </c>
      <c r="D30" s="1805"/>
      <c r="E30" s="1807">
        <f>'Expenditures 15-22'!K63-SUM('Expenditures 15-22'!G63,'Expenditures 15-22'!I63)+'Expenditures 15-22'!D268-E10</f>
        <v>28576</v>
      </c>
      <c r="F30" s="1805"/>
      <c r="G30" s="1807">
        <f>'Expenditures 15-22'!K63-SUM('Expenditures 15-22'!G63,'Expenditures 15-22'!I63)+'Expenditures 15-22'!D268-E10</f>
        <v>28576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92318</v>
      </c>
      <c r="F35" s="1805"/>
      <c r="G35" s="1807">
        <f>'Expenditures 15-22'!K69-SUM('Expenditures 15-22'!G69,'Expenditures 15-22'!I69)+'Expenditures 15-22'!D274</f>
        <v>92318</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29'!F142</f>
        <v>-72226</v>
      </c>
      <c r="F40" s="1805"/>
      <c r="G40" s="1809">
        <f>-'Contracts Paid in CY 29'!F142</f>
        <v>-72226</v>
      </c>
    </row>
    <row r="41" spans="1:7" ht="12" customHeight="1" x14ac:dyDescent="0.2">
      <c r="A41" s="828" t="s">
        <v>155</v>
      </c>
      <c r="B41" s="829"/>
      <c r="C41" s="830"/>
      <c r="D41" s="1809">
        <f>SUM(D19:D39)</f>
        <v>52022</v>
      </c>
      <c r="E41" s="1809">
        <f>SUM(E19:E40)</f>
        <v>2086193</v>
      </c>
      <c r="F41" s="1809">
        <f>SUM(F19:F39)</f>
        <v>360973</v>
      </c>
      <c r="G41" s="1809">
        <f>SUM(G19:G40)</f>
        <v>1777242</v>
      </c>
    </row>
    <row r="42" spans="1:7" x14ac:dyDescent="0.2">
      <c r="A42" s="817"/>
      <c r="B42" s="157"/>
      <c r="C42" s="831"/>
      <c r="D42" s="2414" t="s">
        <v>518</v>
      </c>
      <c r="E42" s="2415"/>
      <c r="F42" s="832" t="s">
        <v>519</v>
      </c>
      <c r="G42" s="833"/>
    </row>
    <row r="43" spans="1:7" ht="12" customHeight="1" x14ac:dyDescent="0.2">
      <c r="A43" s="817"/>
      <c r="B43" s="157"/>
      <c r="C43" s="831"/>
      <c r="D43" s="1458" t="s">
        <v>469</v>
      </c>
      <c r="E43" s="1810">
        <f>D41</f>
        <v>52022</v>
      </c>
      <c r="F43" s="1458" t="s">
        <v>469</v>
      </c>
      <c r="G43" s="1810">
        <f>F41</f>
        <v>360973</v>
      </c>
    </row>
    <row r="44" spans="1:7" ht="12" customHeight="1" x14ac:dyDescent="0.2">
      <c r="A44" s="817"/>
      <c r="B44" s="157"/>
      <c r="C44" s="831"/>
      <c r="D44" s="1458" t="s">
        <v>470</v>
      </c>
      <c r="E44" s="1810">
        <f>E41</f>
        <v>2086193</v>
      </c>
      <c r="F44" s="1458" t="s">
        <v>470</v>
      </c>
      <c r="G44" s="1810">
        <f>G41</f>
        <v>1777242</v>
      </c>
    </row>
    <row r="45" spans="1:7" ht="12" customHeight="1" x14ac:dyDescent="0.2">
      <c r="A45" s="817"/>
      <c r="B45" s="157"/>
      <c r="C45" s="157"/>
      <c r="D45" s="1459" t="s">
        <v>998</v>
      </c>
      <c r="E45" s="1811">
        <f>(E43/E44)</f>
        <v>2.4936331394075237E-2</v>
      </c>
      <c r="F45" s="1459" t="s">
        <v>998</v>
      </c>
      <c r="G45" s="1811">
        <f>(G43/G44)</f>
        <v>0.20310852433152041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22" t="s">
        <v>1362</v>
      </c>
      <c r="B1" s="2422"/>
      <c r="C1" s="2422"/>
      <c r="D1" s="2422"/>
      <c r="E1" s="2422"/>
      <c r="F1" s="2422"/>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1528</v>
      </c>
      <c r="B5" s="2424"/>
      <c r="C5" s="2425"/>
      <c r="D5" s="2425"/>
      <c r="E5" s="2425"/>
      <c r="F5" s="2425"/>
      <c r="G5" s="1507"/>
      <c r="L5" s="1507"/>
      <c r="M5" s="1855"/>
      <c r="N5" s="1855"/>
      <c r="O5" s="1855"/>
    </row>
    <row r="6" spans="1:15" ht="12" customHeight="1" x14ac:dyDescent="0.25">
      <c r="A6" s="1480"/>
      <c r="B6" s="1481"/>
      <c r="C6" s="2426" t="str">
        <f>COVER!A17</f>
        <v xml:space="preserve">  Paw Paw CUSD 271</v>
      </c>
      <c r="D6" s="2426"/>
      <c r="E6" s="2426"/>
      <c r="F6" s="1482"/>
      <c r="G6" s="1507"/>
      <c r="L6" s="1507"/>
      <c r="M6" s="1855"/>
      <c r="N6" s="1855"/>
      <c r="O6" s="1855"/>
    </row>
    <row r="7" spans="1:15" ht="11.25" customHeight="1" thickBot="1" x14ac:dyDescent="0.3">
      <c r="A7" s="1480"/>
      <c r="B7" s="1481"/>
      <c r="C7" s="2427">
        <f>COVER!A13</f>
        <v>47052271026</v>
      </c>
      <c r="D7" s="2427"/>
      <c r="E7" s="2427"/>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t="s">
        <v>2094</v>
      </c>
      <c r="D25" s="1495" t="s">
        <v>2094</v>
      </c>
      <c r="E25" s="1498"/>
      <c r="F25" s="1497" t="s">
        <v>2108</v>
      </c>
      <c r="G25" s="1507"/>
      <c r="H25" s="1507">
        <f t="shared" si="0"/>
        <v>5</v>
      </c>
      <c r="I25" s="1507">
        <f t="shared" si="1"/>
        <v>5</v>
      </c>
      <c r="J25" s="1507">
        <f t="shared" si="2"/>
        <v>0</v>
      </c>
      <c r="L25" s="1507"/>
      <c r="M25" s="1855"/>
      <c r="N25" s="1855"/>
      <c r="O25" s="1855"/>
    </row>
    <row r="26" spans="1:15" ht="12" customHeight="1" x14ac:dyDescent="0.2">
      <c r="A26" s="1493" t="s">
        <v>1516</v>
      </c>
      <c r="B26" s="1494"/>
      <c r="C26" s="1495" t="s">
        <v>2094</v>
      </c>
      <c r="D26" s="1495" t="s">
        <v>2094</v>
      </c>
      <c r="E26" s="1498"/>
      <c r="F26" s="1497" t="s">
        <v>2109</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1375</v>
      </c>
      <c r="B35" s="1501"/>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502"/>
      <c r="B39" s="1502"/>
      <c r="C39" s="1502"/>
      <c r="D39" s="1502"/>
      <c r="E39" s="1502"/>
      <c r="F39" s="1502"/>
    </row>
    <row r="40" spans="1:15" s="1499" customFormat="1" ht="12" customHeight="1" x14ac:dyDescent="0.25">
      <c r="A40" s="1503" t="s">
        <v>1374</v>
      </c>
      <c r="B40" s="1504"/>
      <c r="C40" s="2436"/>
      <c r="D40" s="2436"/>
      <c r="E40" s="2436"/>
      <c r="F40" s="2437"/>
      <c r="H40" s="1508"/>
      <c r="I40" s="1508"/>
      <c r="J40" s="1508"/>
      <c r="K40" s="1508"/>
    </row>
    <row r="41" spans="1:15" s="1499" customFormat="1" ht="12" customHeight="1" x14ac:dyDescent="0.25">
      <c r="A41" s="2438"/>
      <c r="B41" s="2439"/>
      <c r="C41" s="2439"/>
      <c r="D41" s="2439"/>
      <c r="E41" s="2439"/>
      <c r="F41" s="2440"/>
      <c r="H41" s="1508"/>
      <c r="I41" s="1508"/>
      <c r="J41" s="1508"/>
      <c r="K41" s="1508"/>
    </row>
    <row r="42" spans="1:15" s="1499" customFormat="1" ht="12" customHeight="1" x14ac:dyDescent="0.25">
      <c r="A42" s="2438"/>
      <c r="B42" s="2439"/>
      <c r="C42" s="2439"/>
      <c r="D42" s="2439"/>
      <c r="E42" s="2439"/>
      <c r="F42" s="2440"/>
      <c r="H42" s="1508"/>
      <c r="I42" s="1508"/>
      <c r="J42" s="1508"/>
      <c r="K42" s="1508"/>
    </row>
    <row r="43" spans="1:15" s="1499" customFormat="1" ht="15" x14ac:dyDescent="0.25">
      <c r="A43" s="2430"/>
      <c r="B43" s="2431"/>
      <c r="C43" s="2431"/>
      <c r="D43" s="2431"/>
      <c r="E43" s="2431"/>
      <c r="F43" s="2432"/>
      <c r="H43" s="1508"/>
      <c r="I43" s="1508"/>
      <c r="J43" s="1508"/>
      <c r="K43" s="1508"/>
    </row>
    <row r="44" spans="1:15" s="1499" customFormat="1" ht="12" hidden="1" customHeight="1" x14ac:dyDescent="0.25">
      <c r="A44" s="2430"/>
      <c r="B44" s="2431"/>
      <c r="C44" s="2431"/>
      <c r="D44" s="2431"/>
      <c r="E44" s="2431"/>
      <c r="F44" s="243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42" t="str">
        <f>COVER!A17</f>
        <v xml:space="preserve">  Paw Paw CUSD 271</v>
      </c>
      <c r="K6" s="2442"/>
      <c r="L6" s="2443"/>
      <c r="M6" s="838"/>
      <c r="N6" s="1998"/>
    </row>
    <row r="7" spans="1:14" x14ac:dyDescent="0.2">
      <c r="A7" s="2444" t="s">
        <v>863</v>
      </c>
      <c r="B7" s="2445"/>
      <c r="C7" s="2445"/>
      <c r="D7" s="2445"/>
      <c r="E7" s="2446"/>
      <c r="F7" s="839"/>
      <c r="G7" s="838"/>
      <c r="H7" s="838"/>
      <c r="I7" s="1924" t="s">
        <v>368</v>
      </c>
      <c r="J7" s="2447">
        <f>COVER!A13</f>
        <v>47052271026</v>
      </c>
      <c r="K7" s="2447"/>
      <c r="L7" s="244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48" t="s">
        <v>477</v>
      </c>
      <c r="B11" s="2449"/>
      <c r="C11" s="2450"/>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97603</v>
      </c>
      <c r="F12" s="1942"/>
      <c r="G12" s="1968">
        <f>G68</f>
        <v>0</v>
      </c>
      <c r="H12" s="1944">
        <f t="shared" ref="H12:H18" si="0">SUM(E12:G12)</f>
        <v>97603</v>
      </c>
      <c r="I12" s="1943">
        <v>91400</v>
      </c>
      <c r="J12" s="1942"/>
      <c r="K12" s="1943"/>
      <c r="L12" s="1944">
        <f t="shared" ref="L12:L18" si="1">SUM(I12:K12)</f>
        <v>91400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1058</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1" t="s">
        <v>7</v>
      </c>
      <c r="C18" s="2452"/>
      <c r="D18" s="2453"/>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97603</v>
      </c>
      <c r="F19" s="1950">
        <f t="shared" si="2"/>
        <v>0</v>
      </c>
      <c r="G19" s="1950">
        <f>SUM(G12:G17)-G18</f>
        <v>0</v>
      </c>
      <c r="H19" s="1950">
        <f t="shared" si="2"/>
        <v>97603</v>
      </c>
      <c r="I19" s="1950">
        <f t="shared" si="2"/>
        <v>91400</v>
      </c>
      <c r="J19" s="1950">
        <f t="shared" si="2"/>
        <v>0</v>
      </c>
      <c r="K19" s="1950">
        <f t="shared" si="2"/>
        <v>0</v>
      </c>
      <c r="L19" s="1950">
        <f t="shared" si="2"/>
        <v>91400</v>
      </c>
      <c r="M19" s="838"/>
      <c r="N19" s="1998"/>
    </row>
    <row r="20" spans="1:14" ht="13.5" thickTop="1" x14ac:dyDescent="0.2">
      <c r="A20" s="2003">
        <v>9</v>
      </c>
      <c r="B20" s="2454" t="s">
        <v>2020</v>
      </c>
      <c r="C20" s="2454"/>
      <c r="D20" s="2455"/>
      <c r="E20" s="1951"/>
      <c r="F20" s="1951"/>
      <c r="G20" s="1951"/>
      <c r="H20" s="1951"/>
      <c r="I20" s="1951"/>
      <c r="J20" s="1951"/>
      <c r="K20" s="1951"/>
      <c r="L20" s="1952">
        <f>IF(AND(H19&gt;0,L19&gt;0),(((L19-H19)/H19)),"Enter Budget Data")</f>
        <v>-6.3553374383984104E-2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6"/>
      <c r="D27" s="2456"/>
      <c r="E27" s="843"/>
      <c r="F27" s="2457"/>
      <c r="G27" s="2457"/>
      <c r="H27" s="2457"/>
      <c r="I27" s="838"/>
      <c r="J27" s="838"/>
      <c r="K27" s="838"/>
      <c r="L27" s="838"/>
      <c r="M27" s="838"/>
      <c r="N27" s="1998"/>
    </row>
    <row r="28" spans="1:14" x14ac:dyDescent="0.2">
      <c r="A28" s="1997"/>
      <c r="B28" s="2007"/>
      <c r="C28" s="1957" t="s">
        <v>1025</v>
      </c>
      <c r="D28" s="844"/>
      <c r="E28" s="1958"/>
      <c r="F28" s="2458" t="s">
        <v>1491</v>
      </c>
      <c r="G28" s="2458"/>
      <c r="H28" s="2458"/>
      <c r="I28" s="838"/>
      <c r="J28" s="838"/>
      <c r="K28" s="838"/>
      <c r="L28" s="838"/>
      <c r="M28" s="838"/>
      <c r="N28" s="1998"/>
    </row>
    <row r="29" spans="1:14" x14ac:dyDescent="0.2">
      <c r="A29" s="1997"/>
      <c r="B29" s="2007"/>
      <c r="C29" s="2459"/>
      <c r="D29" s="2459"/>
      <c r="E29" s="845"/>
      <c r="F29" s="2459"/>
      <c r="G29" s="2459"/>
      <c r="H29" s="2459"/>
      <c r="I29" s="838"/>
      <c r="J29" s="838"/>
      <c r="K29" s="838"/>
      <c r="L29" s="838"/>
      <c r="M29" s="838"/>
      <c r="N29" s="1998"/>
    </row>
    <row r="30" spans="1:14" x14ac:dyDescent="0.2">
      <c r="A30" s="1997"/>
      <c r="B30" s="2007"/>
      <c r="C30" s="1960" t="s">
        <v>1543</v>
      </c>
      <c r="D30" s="838"/>
      <c r="E30" s="1959"/>
      <c r="F30" s="2441" t="s">
        <v>1492</v>
      </c>
      <c r="G30" s="2441"/>
      <c r="H30" s="244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62" t="s">
        <v>2023</v>
      </c>
      <c r="D34" s="2463"/>
      <c r="E34" s="2463"/>
      <c r="F34" s="2463"/>
      <c r="G34" s="2463"/>
      <c r="H34" s="2463"/>
      <c r="I34" s="2463"/>
      <c r="J34" s="2463"/>
      <c r="K34" s="2016"/>
      <c r="L34" s="838"/>
      <c r="M34" s="838"/>
      <c r="N34" s="1998"/>
    </row>
    <row r="35" spans="1:14" x14ac:dyDescent="0.2">
      <c r="A35" s="1997"/>
      <c r="B35" s="838"/>
      <c r="C35" s="2463"/>
      <c r="D35" s="2463"/>
      <c r="E35" s="2463"/>
      <c r="F35" s="2463"/>
      <c r="G35" s="2463"/>
      <c r="H35" s="2463"/>
      <c r="I35" s="2463"/>
      <c r="J35" s="246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62" t="s">
        <v>2024</v>
      </c>
      <c r="D37" s="2463"/>
      <c r="E37" s="2463"/>
      <c r="F37" s="2463"/>
      <c r="G37" s="2463"/>
      <c r="H37" s="2463"/>
      <c r="I37" s="2463"/>
      <c r="J37" s="2463"/>
      <c r="K37" s="2016"/>
      <c r="L37" s="2018"/>
      <c r="M37" s="838"/>
      <c r="N37" s="1998"/>
    </row>
    <row r="38" spans="1:14" x14ac:dyDescent="0.2">
      <c r="A38" s="1997"/>
      <c r="B38" s="838"/>
      <c r="C38" s="2463"/>
      <c r="D38" s="2463"/>
      <c r="E38" s="2463"/>
      <c r="F38" s="2463"/>
      <c r="G38" s="2463"/>
      <c r="H38" s="2463"/>
      <c r="I38" s="2463"/>
      <c r="J38" s="246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64" t="s">
        <v>2025</v>
      </c>
      <c r="D40" s="2465"/>
      <c r="E40" s="2465"/>
      <c r="F40" s="2465"/>
      <c r="G40" s="2465"/>
      <c r="H40" s="2465"/>
      <c r="I40" s="2465"/>
      <c r="J40" s="246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66" t="s">
        <v>2026</v>
      </c>
      <c r="B43" s="2467"/>
      <c r="C43" s="2467"/>
      <c r="D43" s="2467"/>
      <c r="E43" s="2467"/>
      <c r="F43" s="2467"/>
      <c r="G43" s="2467"/>
      <c r="H43" s="2467"/>
      <c r="I43" s="2467"/>
      <c r="J43" s="2467"/>
      <c r="K43" s="2467"/>
      <c r="L43" s="2467"/>
      <c r="M43" s="2467"/>
      <c r="N43" s="246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69" t="s">
        <v>2028</v>
      </c>
      <c r="B46" s="2470"/>
      <c r="C46" s="2470"/>
      <c r="D46" s="2470"/>
      <c r="E46" s="2470"/>
      <c r="F46" s="2470"/>
      <c r="G46" s="2470"/>
      <c r="H46" s="2470"/>
      <c r="I46" s="2470"/>
      <c r="J46" s="2470"/>
      <c r="K46" s="2470"/>
      <c r="L46" s="2470"/>
      <c r="M46" s="2470"/>
      <c r="N46" s="2471"/>
    </row>
    <row r="47" spans="1:14" x14ac:dyDescent="0.2">
      <c r="A47" s="2469"/>
      <c r="B47" s="2470"/>
      <c r="C47" s="2470"/>
      <c r="D47" s="2470"/>
      <c r="E47" s="2470"/>
      <c r="F47" s="2470"/>
      <c r="G47" s="2470"/>
      <c r="H47" s="2470"/>
      <c r="I47" s="2470"/>
      <c r="J47" s="2470"/>
      <c r="K47" s="2470"/>
      <c r="L47" s="2470"/>
      <c r="M47" s="2470"/>
      <c r="N47" s="247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42" t="str">
        <f>J6</f>
        <v xml:space="preserve">  Paw Paw CUSD 271</v>
      </c>
      <c r="M52" s="2442"/>
      <c r="N52" s="2472"/>
    </row>
    <row r="53" spans="1:14" x14ac:dyDescent="0.2">
      <c r="A53" s="1982"/>
      <c r="B53" s="1983"/>
      <c r="C53" s="1983"/>
      <c r="D53" s="1983"/>
      <c r="E53" s="1983"/>
      <c r="F53" s="1983"/>
      <c r="G53" s="1983"/>
      <c r="H53" s="1983"/>
      <c r="I53" s="1983"/>
      <c r="J53" s="1983"/>
      <c r="K53" s="1924" t="s">
        <v>368</v>
      </c>
      <c r="L53" s="2447">
        <f>J7</f>
        <v>47052271026</v>
      </c>
      <c r="M53" s="2447"/>
      <c r="N53" s="247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74"/>
      <c r="B55" s="2475"/>
      <c r="C55" s="2475"/>
      <c r="D55" s="1970"/>
      <c r="E55" s="1970"/>
      <c r="F55" s="1970"/>
      <c r="G55" s="2476" t="s">
        <v>2029</v>
      </c>
      <c r="H55" s="2476"/>
      <c r="I55" s="2476"/>
      <c r="J55" s="2476"/>
      <c r="K55" s="2476"/>
      <c r="L55" s="2476"/>
      <c r="M55" s="2476"/>
      <c r="N55" s="2477"/>
    </row>
    <row r="56" spans="1:14" ht="63.75" x14ac:dyDescent="0.2">
      <c r="A56" s="2478" t="s">
        <v>2030</v>
      </c>
      <c r="B56" s="2479"/>
      <c r="C56" s="2480"/>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81" t="s">
        <v>295</v>
      </c>
      <c r="B57" s="2482"/>
      <c r="C57" s="248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60" t="s">
        <v>2040</v>
      </c>
      <c r="B58" s="2461"/>
      <c r="C58" s="2461"/>
      <c r="D58" s="1967">
        <v>2362</v>
      </c>
      <c r="E58" s="1977">
        <f>'Expenditures 15-22'!K320</f>
        <v>19784</v>
      </c>
      <c r="F58" s="1972"/>
      <c r="G58" s="2031"/>
      <c r="H58" s="2032"/>
      <c r="I58" s="2032"/>
      <c r="J58" s="2032"/>
      <c r="K58" s="2032"/>
      <c r="L58" s="2032"/>
      <c r="M58" s="2032">
        <v>19784</v>
      </c>
      <c r="N58" s="1975">
        <f>IF((SUM(G58:M58))=E58,SUM(G58:M58),"Column N does not agree with Column E")</f>
        <v>19784</v>
      </c>
    </row>
    <row r="59" spans="1:14" ht="24.75" customHeight="1" x14ac:dyDescent="0.2">
      <c r="A59" s="2483" t="s">
        <v>296</v>
      </c>
      <c r="B59" s="2484"/>
      <c r="C59" s="248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83" t="s">
        <v>236</v>
      </c>
      <c r="B60" s="2484"/>
      <c r="C60" s="2484"/>
      <c r="D60" s="1967">
        <v>2364</v>
      </c>
      <c r="E60" s="1977">
        <f>'Expenditures 15-22'!K322</f>
        <v>30812</v>
      </c>
      <c r="F60" s="1972"/>
      <c r="G60" s="2031"/>
      <c r="H60" s="2032"/>
      <c r="I60" s="2032"/>
      <c r="J60" s="2032"/>
      <c r="K60" s="2032"/>
      <c r="L60" s="2032"/>
      <c r="M60" s="2032">
        <v>30812</v>
      </c>
      <c r="N60" s="1975">
        <f t="shared" ref="N60:N67" si="3">IF((SUM(G60:M60))=E60,SUM(G60:M60),"Column N does not agree with Column E")</f>
        <v>30812</v>
      </c>
    </row>
    <row r="61" spans="1:14" ht="24.75" customHeight="1" x14ac:dyDescent="0.2">
      <c r="A61" s="2483" t="s">
        <v>696</v>
      </c>
      <c r="B61" s="2484"/>
      <c r="C61" s="2484"/>
      <c r="D61" s="1967">
        <v>2365</v>
      </c>
      <c r="E61" s="1977">
        <f>'Expenditures 15-22'!K323</f>
        <v>12507</v>
      </c>
      <c r="F61" s="1972"/>
      <c r="G61" s="2031"/>
      <c r="H61" s="2032"/>
      <c r="I61" s="2032"/>
      <c r="J61" s="2032"/>
      <c r="K61" s="2032"/>
      <c r="L61" s="2032"/>
      <c r="M61" s="2032">
        <v>12507</v>
      </c>
      <c r="N61" s="1975">
        <f t="shared" si="3"/>
        <v>12507</v>
      </c>
    </row>
    <row r="62" spans="1:14" ht="24" customHeight="1" x14ac:dyDescent="0.2">
      <c r="A62" s="2483" t="s">
        <v>237</v>
      </c>
      <c r="B62" s="2484"/>
      <c r="C62" s="2484"/>
      <c r="D62" s="1967">
        <v>2366</v>
      </c>
      <c r="E62" s="1977">
        <f>'Expenditures 15-22'!K324</f>
        <v>0</v>
      </c>
      <c r="F62" s="1972"/>
      <c r="G62" s="2031"/>
      <c r="H62" s="2032"/>
      <c r="I62" s="2032"/>
      <c r="J62" s="2032"/>
      <c r="K62" s="2032"/>
      <c r="L62" s="2032"/>
      <c r="M62" s="2032"/>
      <c r="N62" s="1975">
        <f t="shared" si="3"/>
        <v>0</v>
      </c>
    </row>
    <row r="63" spans="1:14" ht="24" customHeight="1" x14ac:dyDescent="0.2">
      <c r="A63" s="2460" t="s">
        <v>1021</v>
      </c>
      <c r="B63" s="2461"/>
      <c r="C63" s="2461"/>
      <c r="D63" s="1967">
        <v>2367</v>
      </c>
      <c r="E63" s="1977">
        <f>'Expenditures 15-22'!K325</f>
        <v>64267</v>
      </c>
      <c r="F63" s="1972"/>
      <c r="G63" s="2031"/>
      <c r="H63" s="2032"/>
      <c r="I63" s="2032"/>
      <c r="J63" s="2032"/>
      <c r="K63" s="2032"/>
      <c r="L63" s="2032"/>
      <c r="M63" s="2032">
        <v>64267</v>
      </c>
      <c r="N63" s="1975">
        <f t="shared" si="3"/>
        <v>64267</v>
      </c>
    </row>
    <row r="64" spans="1:14" ht="24" customHeight="1" x14ac:dyDescent="0.2">
      <c r="A64" s="2483" t="s">
        <v>1022</v>
      </c>
      <c r="B64" s="2484"/>
      <c r="C64" s="2484"/>
      <c r="D64" s="1967">
        <v>2368</v>
      </c>
      <c r="E64" s="1977">
        <f>'Expenditures 15-22'!K326</f>
        <v>0</v>
      </c>
      <c r="F64" s="1972"/>
      <c r="G64" s="2031"/>
      <c r="H64" s="2032"/>
      <c r="I64" s="2032"/>
      <c r="J64" s="2032"/>
      <c r="K64" s="2032"/>
      <c r="L64" s="2032"/>
      <c r="M64" s="2032"/>
      <c r="N64" s="1975">
        <f t="shared" si="3"/>
        <v>0</v>
      </c>
    </row>
    <row r="65" spans="1:14" ht="24" customHeight="1" x14ac:dyDescent="0.2">
      <c r="A65" s="2483" t="s">
        <v>964</v>
      </c>
      <c r="B65" s="2484"/>
      <c r="C65" s="2484"/>
      <c r="D65" s="1967">
        <v>2369</v>
      </c>
      <c r="E65" s="1977">
        <f>'Expenditures 15-22'!K327</f>
        <v>7545</v>
      </c>
      <c r="F65" s="1972"/>
      <c r="G65" s="2031"/>
      <c r="H65" s="2032"/>
      <c r="I65" s="2032"/>
      <c r="J65" s="2032"/>
      <c r="K65" s="2032"/>
      <c r="L65" s="2032"/>
      <c r="M65" s="2032">
        <v>7545</v>
      </c>
      <c r="N65" s="1975">
        <f t="shared" si="3"/>
        <v>7545</v>
      </c>
    </row>
    <row r="66" spans="1:14" ht="24" customHeight="1" x14ac:dyDescent="0.2">
      <c r="A66" s="2483" t="s">
        <v>468</v>
      </c>
      <c r="B66" s="2484"/>
      <c r="C66" s="2484"/>
      <c r="D66" s="1967">
        <v>2371</v>
      </c>
      <c r="E66" s="1977">
        <f>'Expenditures 15-22'!K328</f>
        <v>0</v>
      </c>
      <c r="F66" s="1972"/>
      <c r="G66" s="2031"/>
      <c r="H66" s="2032"/>
      <c r="I66" s="2032"/>
      <c r="J66" s="2032"/>
      <c r="K66" s="2032"/>
      <c r="L66" s="2032"/>
      <c r="M66" s="2032"/>
      <c r="N66" s="1975">
        <f t="shared" si="3"/>
        <v>0</v>
      </c>
    </row>
    <row r="67" spans="1:14" ht="24.75" customHeight="1" x14ac:dyDescent="0.2">
      <c r="A67" s="2485" t="s">
        <v>2041</v>
      </c>
      <c r="B67" s="2486"/>
      <c r="C67" s="2486"/>
      <c r="D67" s="1969">
        <v>2372</v>
      </c>
      <c r="E67" s="1978">
        <f>'Expenditures 15-22'!K329</f>
        <v>0</v>
      </c>
      <c r="F67" s="1972"/>
      <c r="G67" s="2033"/>
      <c r="H67" s="2034"/>
      <c r="I67" s="2034"/>
      <c r="J67" s="2034"/>
      <c r="K67" s="2034"/>
      <c r="L67" s="2034"/>
      <c r="M67" s="2034"/>
      <c r="N67" s="1975">
        <f t="shared" si="3"/>
        <v>0</v>
      </c>
    </row>
    <row r="68" spans="1:14" x14ac:dyDescent="0.2">
      <c r="A68" s="2487" t="s">
        <v>1150</v>
      </c>
      <c r="B68" s="2488"/>
      <c r="C68" s="2488"/>
      <c r="D68" s="1970"/>
      <c r="E68" s="1974">
        <f>SUM(E57:E67)</f>
        <v>134915</v>
      </c>
      <c r="F68" s="1973"/>
      <c r="G68" s="1974">
        <f t="shared" ref="G68:N68" si="4">SUM(G57:G67)</f>
        <v>0</v>
      </c>
      <c r="H68" s="1974">
        <f t="shared" si="4"/>
        <v>0</v>
      </c>
      <c r="I68" s="1974">
        <f t="shared" si="4"/>
        <v>0</v>
      </c>
      <c r="J68" s="1974">
        <f t="shared" si="4"/>
        <v>0</v>
      </c>
      <c r="K68" s="1974">
        <f t="shared" si="4"/>
        <v>0</v>
      </c>
      <c r="L68" s="1974">
        <f t="shared" si="4"/>
        <v>0</v>
      </c>
      <c r="M68" s="1974">
        <f t="shared" si="4"/>
        <v>134915</v>
      </c>
      <c r="N68" s="1988">
        <f t="shared" si="4"/>
        <v>134915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9"/>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2112</v>
      </c>
    </row>
    <row r="6" spans="1:2" x14ac:dyDescent="0.2">
      <c r="A6" s="847">
        <v>2</v>
      </c>
      <c r="B6" s="307" t="s">
        <v>2111</v>
      </c>
    </row>
    <row r="7" spans="1:2" x14ac:dyDescent="0.2">
      <c r="A7" s="847">
        <v>3</v>
      </c>
      <c r="B7" s="307" t="s">
        <v>2110</v>
      </c>
    </row>
    <row r="8" spans="1:2" x14ac:dyDescent="0.2">
      <c r="A8" s="847">
        <v>4</v>
      </c>
      <c r="B8" s="307" t="s">
        <v>2126</v>
      </c>
    </row>
    <row r="9" spans="1:2" x14ac:dyDescent="0.2">
      <c r="A9" s="847"/>
      <c r="B9" s="2058" t="s">
        <v>2127</v>
      </c>
    </row>
    <row r="10" spans="1:2" x14ac:dyDescent="0.2">
      <c r="A10" s="847">
        <v>5</v>
      </c>
      <c r="B10" s="307" t="s">
        <v>2113</v>
      </c>
    </row>
    <row r="11" spans="1:2" x14ac:dyDescent="0.2">
      <c r="A11" s="847">
        <v>6</v>
      </c>
      <c r="B11" s="307" t="s">
        <v>2123</v>
      </c>
    </row>
    <row r="12" spans="1:2" x14ac:dyDescent="0.2">
      <c r="A12" s="847">
        <v>7</v>
      </c>
      <c r="B12" s="307" t="s">
        <v>2124</v>
      </c>
    </row>
    <row r="13" spans="1:2" x14ac:dyDescent="0.2">
      <c r="A13" s="847">
        <v>8</v>
      </c>
      <c r="B13" s="307" t="s">
        <v>2114</v>
      </c>
    </row>
    <row r="14" spans="1:2" x14ac:dyDescent="0.2">
      <c r="A14" s="847">
        <v>9</v>
      </c>
      <c r="B14" s="307" t="s">
        <v>2125</v>
      </c>
    </row>
    <row r="15" spans="1:2" x14ac:dyDescent="0.2">
      <c r="A15" s="847">
        <v>10</v>
      </c>
      <c r="B15" s="307" t="s">
        <v>2116</v>
      </c>
    </row>
    <row r="16" spans="1:2" x14ac:dyDescent="0.2">
      <c r="A16" s="847"/>
      <c r="B16" s="307" t="s">
        <v>2117</v>
      </c>
    </row>
    <row r="17" spans="1:2" x14ac:dyDescent="0.2">
      <c r="A17" s="847">
        <v>11</v>
      </c>
      <c r="B17" s="307" t="s">
        <v>2115</v>
      </c>
    </row>
    <row r="18" spans="1:2" x14ac:dyDescent="0.2">
      <c r="A18" s="847"/>
    </row>
    <row r="19" spans="1:2" x14ac:dyDescent="0.2">
      <c r="A19" s="847"/>
    </row>
    <row r="20" spans="1:2" x14ac:dyDescent="0.2">
      <c r="A20" s="847"/>
    </row>
    <row r="21" spans="1:2" x14ac:dyDescent="0.2">
      <c r="A21" s="847"/>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c r="B68" s="253" t="str">
        <f>COVER!A17</f>
        <v xml:space="preserve">  Paw Paw CUSD 271</v>
      </c>
    </row>
    <row r="69" spans="1:2" x14ac:dyDescent="0.2">
      <c r="B69" s="849">
        <f>COVER!A13</f>
        <v>47052271026</v>
      </c>
    </row>
  </sheetData>
  <phoneticPr fontId="16" type="noConversion"/>
  <pageMargins left="0.2" right="0.2" top="1.17" bottom="0.75" header="0.19" footer="0.16"/>
  <pageSetup scale="74"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89" t="s">
        <v>1664</v>
      </c>
      <c r="B18" s="248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1668</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1971</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1669</v>
      </c>
      <c r="B6" s="2507"/>
      <c r="C6" s="2507"/>
      <c r="D6" s="2507"/>
      <c r="E6" s="2507"/>
      <c r="F6" s="250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2221719</v>
      </c>
      <c r="C8" s="1813">
        <f>'Acct Summary 7-8'!D8</f>
        <v>333618</v>
      </c>
      <c r="D8" s="1813">
        <f>'Acct Summary 7-8'!F8</f>
        <v>209530</v>
      </c>
      <c r="E8" s="1813">
        <f>'Acct Summary 7-8'!I8</f>
        <v>22714</v>
      </c>
      <c r="F8" s="1813">
        <f>SUM(B8:E8)</f>
        <v>2787581</v>
      </c>
    </row>
    <row r="9" spans="1:8" s="858" customFormat="1" ht="14.25" customHeight="1" thickBot="1" x14ac:dyDescent="0.25">
      <c r="A9" s="857" t="s">
        <v>1352</v>
      </c>
      <c r="B9" s="1814">
        <f>'Acct Summary 7-8'!C17</f>
        <v>2113448</v>
      </c>
      <c r="C9" s="1814">
        <f>'Acct Summary 7-8'!D17</f>
        <v>282559</v>
      </c>
      <c r="D9" s="1814">
        <f>'Acct Summary 7-8'!F17</f>
        <v>196642</v>
      </c>
      <c r="E9" s="1813"/>
      <c r="F9" s="1813">
        <f>SUM(B9:E9)</f>
        <v>2592649</v>
      </c>
    </row>
    <row r="10" spans="1:8" s="858" customFormat="1" ht="14.25" thickTop="1" thickBot="1" x14ac:dyDescent="0.25">
      <c r="A10" s="859" t="s">
        <v>1353</v>
      </c>
      <c r="B10" s="1815">
        <f>(B8-B9)</f>
        <v>108271</v>
      </c>
      <c r="C10" s="1815">
        <f>(C8-C9)</f>
        <v>51059</v>
      </c>
      <c r="D10" s="1815">
        <f>(D8-D9)</f>
        <v>12888</v>
      </c>
      <c r="E10" s="1814">
        <f>(E8-E9)</f>
        <v>22714</v>
      </c>
      <c r="F10" s="1816">
        <f>SUM(F8-F9)</f>
        <v>194932</v>
      </c>
    </row>
    <row r="11" spans="1:8" s="858" customFormat="1" ht="14.25" thickTop="1" thickBot="1" x14ac:dyDescent="0.25">
      <c r="A11" s="860" t="s">
        <v>1902</v>
      </c>
      <c r="B11" s="1817">
        <f>'Acct Summary 7-8'!C81</f>
        <v>845602</v>
      </c>
      <c r="C11" s="1817">
        <f>'Acct Summary 7-8'!D81</f>
        <v>94949</v>
      </c>
      <c r="D11" s="1817">
        <f>'Acct Summary 7-8'!F81</f>
        <v>100447</v>
      </c>
      <c r="E11" s="1817">
        <f>'Acct Summary 7-8'!I81</f>
        <v>455692</v>
      </c>
      <c r="F11" s="1818">
        <f>SUM(B11:E11)</f>
        <v>1496690</v>
      </c>
    </row>
    <row r="12" spans="1:8" ht="16.5" customHeight="1" thickTop="1" x14ac:dyDescent="0.2">
      <c r="A12" s="861"/>
      <c r="B12" s="86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1665</v>
      </c>
      <c r="B16" s="2493"/>
      <c r="C16" s="2493"/>
      <c r="D16" s="2493"/>
      <c r="E16" s="249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5" t="s">
        <v>659</v>
      </c>
      <c r="B3" s="2516"/>
      <c r="C3" s="2516"/>
      <c r="D3" s="2517"/>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6" t="s">
        <v>1486</v>
      </c>
      <c r="D7" s="2527"/>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8" t="s">
        <v>1000</v>
      </c>
      <c r="B15" s="2519"/>
      <c r="C15" s="2519"/>
      <c r="D15" s="2520"/>
    </row>
    <row r="16" spans="1:4" s="542" customFormat="1" ht="24" customHeight="1" x14ac:dyDescent="0.2">
      <c r="A16" s="2521" t="s">
        <v>657</v>
      </c>
      <c r="B16" s="2522"/>
      <c r="C16" s="2522"/>
      <c r="D16" s="2523"/>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30" t="s">
        <v>310</v>
      </c>
      <c r="D21" s="2531"/>
    </row>
    <row r="22" spans="1:10" ht="12.75" x14ac:dyDescent="0.2">
      <c r="A22" s="918"/>
      <c r="B22" s="919">
        <v>2</v>
      </c>
      <c r="C22" s="2528" t="s">
        <v>1506</v>
      </c>
      <c r="D22" s="2529"/>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2" t="s">
        <v>532</v>
      </c>
      <c r="D43" s="253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24" t="s">
        <v>778</v>
      </c>
      <c r="D56" s="252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24" t="s">
        <v>1673</v>
      </c>
      <c r="D70" s="252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f>COVER!A13</f>
        <v>47052271026</v>
      </c>
      <c r="E2" s="1542">
        <v>2020</v>
      </c>
      <c r="F2" s="1542">
        <v>1</v>
      </c>
      <c r="G2" s="1899">
        <v>101000300</v>
      </c>
    </row>
    <row r="3" spans="1:7" ht="15" x14ac:dyDescent="0.25">
      <c r="A3" t="s">
        <v>949</v>
      </c>
      <c r="B3" s="135" t="str">
        <f>COVER!A15</f>
        <v>Lee &amp; Dekalb</v>
      </c>
      <c r="E3" s="1830" t="s">
        <v>1970</v>
      </c>
      <c r="F3" s="1830" t="s">
        <v>1969</v>
      </c>
      <c r="G3" s="1899">
        <v>101000400</v>
      </c>
    </row>
    <row r="4" spans="1:7" ht="15" x14ac:dyDescent="0.25">
      <c r="A4" t="s">
        <v>999</v>
      </c>
      <c r="B4" s="135" t="str">
        <f>COVER!A17</f>
        <v xml:space="preserve">  Paw Paw CUSD 271</v>
      </c>
      <c r="E4" s="1828">
        <v>44119</v>
      </c>
      <c r="F4" s="1829">
        <v>44151</v>
      </c>
      <c r="G4" s="1899">
        <v>101000600</v>
      </c>
    </row>
    <row r="5" spans="1:7" ht="15" x14ac:dyDescent="0.25">
      <c r="A5" t="s">
        <v>698</v>
      </c>
      <c r="B5" s="135" t="str">
        <f>COVER!A38</f>
        <v>Steve Epperson</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Yes</v>
      </c>
      <c r="G14" s="1899">
        <v>402100300</v>
      </c>
    </row>
    <row r="15" spans="1:7" ht="15" x14ac:dyDescent="0.25">
      <c r="A15" t="s">
        <v>572</v>
      </c>
      <c r="B15" s="135" t="str">
        <f>COVER!T23</f>
        <v>066-005027</v>
      </c>
      <c r="G15" s="1899">
        <v>402100400</v>
      </c>
    </row>
    <row r="16" spans="1:7" ht="15" x14ac:dyDescent="0.25">
      <c r="A16" t="s">
        <v>418</v>
      </c>
      <c r="B16" s="135" t="str">
        <f>COVER!T13</f>
        <v>Gorenz and Associates, Ltd.</v>
      </c>
      <c r="G16" s="1899">
        <v>402100600</v>
      </c>
    </row>
    <row r="17" spans="1:7" ht="15" x14ac:dyDescent="0.25">
      <c r="A17" t="s">
        <v>877</v>
      </c>
      <c r="B17" s="135" t="str">
        <f>COVER!T15</f>
        <v>Jason A. Hohulin, CPA</v>
      </c>
      <c r="G17" s="1899">
        <v>402100800</v>
      </c>
    </row>
    <row r="18" spans="1:7" ht="15" x14ac:dyDescent="0.25">
      <c r="A18" t="s">
        <v>1139</v>
      </c>
      <c r="B18" s="135" t="str">
        <f>COVER!T17</f>
        <v>4200 N Knoxville Ave.</v>
      </c>
      <c r="G18" s="1899">
        <v>102200300</v>
      </c>
    </row>
    <row r="19" spans="1:7" ht="15" x14ac:dyDescent="0.25">
      <c r="A19" t="s">
        <v>879</v>
      </c>
      <c r="B19" s="135" t="str">
        <f>COVER!T25</f>
        <v>jhohulin@gorenzcpa.com</v>
      </c>
      <c r="G19" s="1899">
        <v>102200400</v>
      </c>
    </row>
    <row r="20" spans="1:7" ht="15" x14ac:dyDescent="0.25">
      <c r="A20" t="s">
        <v>880</v>
      </c>
      <c r="B20" s="135" t="str">
        <f>COVER!T19</f>
        <v>Peoria</v>
      </c>
      <c r="G20" s="1899">
        <v>102200600</v>
      </c>
    </row>
    <row r="21" spans="1:7" ht="15" x14ac:dyDescent="0.25">
      <c r="A21" t="s">
        <v>475</v>
      </c>
      <c r="B21" s="135" t="str">
        <f>COVER!X19</f>
        <v>IL</v>
      </c>
      <c r="G21" s="1899">
        <v>102200800</v>
      </c>
    </row>
    <row r="22" spans="1:7" ht="15" x14ac:dyDescent="0.25">
      <c r="A22" t="s">
        <v>881</v>
      </c>
      <c r="B22" s="135">
        <f>COVER!Z19</f>
        <v>61614</v>
      </c>
      <c r="G22" s="1899">
        <v>102300300</v>
      </c>
    </row>
    <row r="23" spans="1:7" ht="15" x14ac:dyDescent="0.25">
      <c r="A23" t="s">
        <v>1141</v>
      </c>
      <c r="B23" s="135" t="str">
        <f>COVER!T21</f>
        <v>309-685-7621</v>
      </c>
      <c r="G23" s="1899">
        <v>102300400</v>
      </c>
    </row>
    <row r="24" spans="1:7" ht="15" x14ac:dyDescent="0.25">
      <c r="A24" t="s">
        <v>1140</v>
      </c>
      <c r="B24" s="135">
        <f>COVER!Y21</f>
        <v>0</v>
      </c>
      <c r="G24" s="1899">
        <v>102300600</v>
      </c>
    </row>
    <row r="25" spans="1:7" ht="15" x14ac:dyDescent="0.25">
      <c r="A25" t="s">
        <v>755</v>
      </c>
      <c r="B25" s="135">
        <f>COVER!B34</f>
        <v>0</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Yes</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Yes</v>
      </c>
      <c r="G49" s="1899">
        <v>102540800</v>
      </c>
    </row>
    <row r="50" spans="1:7" ht="15" x14ac:dyDescent="0.25">
      <c r="A50" s="1" t="s">
        <v>1462</v>
      </c>
      <c r="B50" s="146">
        <f>'Aud Quest 2'!H53</f>
        <v>35370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845602</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839194</v>
      </c>
      <c r="D92" s="2" t="str">
        <f t="shared" si="0"/>
        <v>Error?</v>
      </c>
      <c r="G92" s="1899">
        <v>102640600</v>
      </c>
    </row>
    <row r="93" spans="1:7" ht="15" x14ac:dyDescent="0.25">
      <c r="A93" s="5">
        <v>32</v>
      </c>
      <c r="B93" s="1832">
        <f>'Assets-Liab 5-6'!C41</f>
        <v>845602</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94949</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44949</v>
      </c>
      <c r="D123" s="2" t="str">
        <f t="shared" si="0"/>
        <v>Error?</v>
      </c>
      <c r="G123" s="1899">
        <v>203000400</v>
      </c>
    </row>
    <row r="124" spans="1:7" ht="15" x14ac:dyDescent="0.25">
      <c r="A124" s="5">
        <v>63</v>
      </c>
      <c r="B124" s="1832">
        <f>'Assets-Liab 5-6'!D41</f>
        <v>94949</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18391</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18391</v>
      </c>
      <c r="D140" s="2" t="str">
        <f t="shared" si="1"/>
        <v>Error?</v>
      </c>
    </row>
    <row r="141" spans="1:7" x14ac:dyDescent="0.2">
      <c r="A141" s="5">
        <v>80</v>
      </c>
      <c r="B141" s="1832">
        <f>'Assets-Liab 5-6'!E41</f>
        <v>18391</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100447</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100447</v>
      </c>
      <c r="D170" s="2" t="str">
        <f t="shared" si="1"/>
        <v>Error?</v>
      </c>
    </row>
    <row r="171" spans="1:4" x14ac:dyDescent="0.2">
      <c r="A171" s="5">
        <v>110</v>
      </c>
      <c r="B171" s="1832">
        <f>'Assets-Liab 5-6'!F41</f>
        <v>100447</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124019</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105496</v>
      </c>
      <c r="D189" s="2" t="str">
        <f t="shared" si="1"/>
        <v>Error?</v>
      </c>
    </row>
    <row r="190" spans="1:4" x14ac:dyDescent="0.2">
      <c r="A190" s="5">
        <v>129</v>
      </c>
      <c r="B190" s="1832">
        <f>'Assets-Liab 5-6'!G41</f>
        <v>124019</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65199</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65199</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6100</v>
      </c>
      <c r="D273" s="2" t="str">
        <f t="shared" si="3"/>
        <v>Error?</v>
      </c>
    </row>
    <row r="274" spans="1:4" x14ac:dyDescent="0.2">
      <c r="A274" s="5">
        <v>213</v>
      </c>
      <c r="B274" s="1832">
        <f>'Assets-Liab 5-6'!M17</f>
        <v>7261786</v>
      </c>
      <c r="D274" s="2" t="str">
        <f t="shared" si="3"/>
        <v>Error?</v>
      </c>
    </row>
    <row r="275" spans="1:4" x14ac:dyDescent="0.2">
      <c r="A275" s="5">
        <v>214</v>
      </c>
      <c r="B275" s="1832">
        <f>'Assets-Liab 5-6'!M18</f>
        <v>101138</v>
      </c>
      <c r="D275" s="2" t="str">
        <f t="shared" si="3"/>
        <v>Error?</v>
      </c>
    </row>
    <row r="276" spans="1:4" x14ac:dyDescent="0.2">
      <c r="A276" s="5">
        <v>215</v>
      </c>
      <c r="B276" s="1832">
        <f>'Assets-Liab 5-6'!M19</f>
        <v>861263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8230287</v>
      </c>
      <c r="C279" s="2" t="s">
        <v>568</v>
      </c>
      <c r="D279" s="2" t="str">
        <f t="shared" si="3"/>
        <v>Error?</v>
      </c>
    </row>
    <row r="280" spans="1:4" x14ac:dyDescent="0.2">
      <c r="A280" s="5">
        <v>219</v>
      </c>
      <c r="B280" s="1832">
        <f>'Assets-Liab 5-6'!M40</f>
        <v>8230287</v>
      </c>
      <c r="D280" s="2" t="str">
        <f t="shared" si="3"/>
        <v>Error?</v>
      </c>
    </row>
    <row r="281" spans="1:4" x14ac:dyDescent="0.2">
      <c r="A281" s="5">
        <v>220</v>
      </c>
      <c r="B281" s="1832">
        <f>'Assets-Liab 5-6'!M41</f>
        <v>8230287</v>
      </c>
      <c r="C281" s="2" t="s">
        <v>568</v>
      </c>
      <c r="D281" s="2" t="str">
        <f t="shared" si="3"/>
        <v>Error?</v>
      </c>
    </row>
    <row r="282" spans="1:4" x14ac:dyDescent="0.2">
      <c r="A282" s="5">
        <v>221</v>
      </c>
      <c r="B282" s="1832">
        <f>'Assets-Liab 5-6'!N21</f>
        <v>18391</v>
      </c>
      <c r="D282" s="2" t="str">
        <f t="shared" si="3"/>
        <v>Error?</v>
      </c>
    </row>
    <row r="283" spans="1:4" x14ac:dyDescent="0.2">
      <c r="A283" s="5">
        <v>222</v>
      </c>
      <c r="B283" s="1832">
        <f>'Assets-Liab 5-6'!N22</f>
        <v>3582601</v>
      </c>
      <c r="D283" s="2" t="str">
        <f t="shared" si="3"/>
        <v>Error?</v>
      </c>
    </row>
    <row r="284" spans="1:4" x14ac:dyDescent="0.2">
      <c r="A284" s="5">
        <v>223</v>
      </c>
      <c r="B284" s="1832">
        <f>'Assets-Liab 5-6'!N23</f>
        <v>3600992</v>
      </c>
      <c r="C284" s="2" t="s">
        <v>568</v>
      </c>
      <c r="D284" s="2" t="str">
        <f t="shared" si="3"/>
        <v>Error?</v>
      </c>
    </row>
    <row r="285" spans="1:4" x14ac:dyDescent="0.2">
      <c r="A285" s="5">
        <v>224</v>
      </c>
      <c r="B285" s="1832">
        <f>'Assets-Liab 5-6'!N36</f>
        <v>3600992</v>
      </c>
      <c r="D285" s="2" t="str">
        <f t="shared" si="3"/>
        <v>Error?</v>
      </c>
    </row>
    <row r="286" spans="1:4" x14ac:dyDescent="0.2">
      <c r="A286" s="10">
        <v>225</v>
      </c>
      <c r="B286" s="1832"/>
      <c r="D286" s="2" t="str">
        <f t="shared" si="3"/>
        <v>OK</v>
      </c>
    </row>
    <row r="287" spans="1:4" x14ac:dyDescent="0.2">
      <c r="A287" s="5">
        <v>226</v>
      </c>
      <c r="B287" s="1832">
        <f>'Assets-Liab 5-6'!N37</f>
        <v>3600992</v>
      </c>
      <c r="C287" s="2" t="s">
        <v>568</v>
      </c>
      <c r="D287" s="2" t="str">
        <f t="shared" si="3"/>
        <v>Error?</v>
      </c>
    </row>
    <row r="288" spans="1:4" x14ac:dyDescent="0.2">
      <c r="A288" s="5">
        <v>227</v>
      </c>
      <c r="B288" s="1832">
        <f>'Assets-Liab 5-6'!N41</f>
        <v>3600992</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528405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9777</v>
      </c>
      <c r="D717" s="2" t="str">
        <f t="shared" si="10"/>
        <v>Error?</v>
      </c>
    </row>
    <row r="718" spans="1:4" x14ac:dyDescent="0.2">
      <c r="A718" s="5">
        <v>657</v>
      </c>
      <c r="B718" s="1832">
        <f>'Expenditures 15-22'!C14</f>
        <v>12467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747735</v>
      </c>
      <c r="C720" s="2" t="s">
        <v>568</v>
      </c>
      <c r="D720" s="2" t="str">
        <f t="shared" si="10"/>
        <v>Error?</v>
      </c>
    </row>
    <row r="721" spans="1:4" x14ac:dyDescent="0.2">
      <c r="A721" s="5">
        <v>660</v>
      </c>
      <c r="B721" s="1832">
        <f>'Expenditures 15-22'!C36</f>
        <v>49742</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49742</v>
      </c>
      <c r="C727" s="2" t="s">
        <v>568</v>
      </c>
      <c r="D727" s="2" t="str">
        <f t="shared" si="10"/>
        <v>Error?</v>
      </c>
    </row>
    <row r="728" spans="1:4" x14ac:dyDescent="0.2">
      <c r="A728" s="5">
        <v>667</v>
      </c>
      <c r="B728" s="1832">
        <f>'Expenditures 15-22'!C44</f>
        <v>1187</v>
      </c>
      <c r="D728" s="2" t="str">
        <f t="shared" si="10"/>
        <v>Error?</v>
      </c>
    </row>
    <row r="729" spans="1:4" x14ac:dyDescent="0.2">
      <c r="A729" s="5">
        <v>668</v>
      </c>
      <c r="B729" s="1832">
        <f>'Expenditures 15-22'!C45</f>
        <v>31799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32986</v>
      </c>
      <c r="C731" s="2" t="s">
        <v>568</v>
      </c>
      <c r="D731" s="2" t="str">
        <f t="shared" si="10"/>
        <v>Error?</v>
      </c>
    </row>
    <row r="732" spans="1:4" x14ac:dyDescent="0.2">
      <c r="A732" s="5">
        <v>671</v>
      </c>
      <c r="B732" s="1832">
        <f>'Expenditures 15-22'!C49</f>
        <v>22708</v>
      </c>
      <c r="D732" s="2" t="str">
        <f t="shared" si="10"/>
        <v>Error?</v>
      </c>
    </row>
    <row r="733" spans="1:4" x14ac:dyDescent="0.2">
      <c r="A733" s="5">
        <v>672</v>
      </c>
      <c r="B733" s="1832">
        <f>'Expenditures 15-22'!C50</f>
        <v>87251</v>
      </c>
      <c r="D733" s="2" t="str">
        <f t="shared" si="10"/>
        <v>Error?</v>
      </c>
    </row>
    <row r="734" spans="1:4" x14ac:dyDescent="0.2">
      <c r="A734" s="5">
        <v>673</v>
      </c>
      <c r="B734" s="1832">
        <f>'Expenditures 15-22'!C53</f>
        <v>109959</v>
      </c>
      <c r="C734" s="2" t="s">
        <v>568</v>
      </c>
      <c r="D734" s="2" t="str">
        <f t="shared" si="10"/>
        <v>Error?</v>
      </c>
    </row>
    <row r="735" spans="1:4" x14ac:dyDescent="0.2">
      <c r="A735" s="5">
        <v>674</v>
      </c>
      <c r="B735" s="1832">
        <f>'Expenditures 15-22'!C55</f>
        <v>98233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98233</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39977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23590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63567</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33283</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33283</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387770</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1135505</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76100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65</v>
      </c>
      <c r="D775" s="2" t="str">
        <f t="shared" si="11"/>
        <v>Error?</v>
      </c>
    </row>
    <row r="776" spans="1:4" x14ac:dyDescent="0.2">
      <c r="A776" s="5">
        <v>715</v>
      </c>
      <c r="B776" s="1832">
        <f>'Expenditures 15-22'!D14</f>
        <v>44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102289</v>
      </c>
      <c r="C778" s="2" t="s">
        <v>568</v>
      </c>
      <c r="D778" s="2" t="str">
        <f t="shared" si="11"/>
        <v>Error?</v>
      </c>
    </row>
    <row r="779" spans="1:4" x14ac:dyDescent="0.2">
      <c r="A779" s="5">
        <v>718</v>
      </c>
      <c r="B779" s="1832">
        <f>'Expenditures 15-22'!D36</f>
        <v>6506</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1823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8329</v>
      </c>
      <c r="C785" s="2" t="s">
        <v>568</v>
      </c>
      <c r="D785" s="2" t="str">
        <f t="shared" si="11"/>
        <v>Error?</v>
      </c>
    </row>
    <row r="786" spans="1:4" x14ac:dyDescent="0.2">
      <c r="A786" s="5">
        <v>725</v>
      </c>
      <c r="B786" s="1832">
        <f>'Expenditures 15-22'!D44</f>
        <v>18</v>
      </c>
      <c r="D786" s="2" t="str">
        <f t="shared" si="11"/>
        <v>Error?</v>
      </c>
    </row>
    <row r="787" spans="1:4" x14ac:dyDescent="0.2">
      <c r="A787" s="5">
        <v>726</v>
      </c>
      <c r="B787" s="1832">
        <f>'Expenditures 15-22'!D45</f>
        <v>16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34</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1254</v>
      </c>
      <c r="D791" s="2" t="str">
        <f t="shared" si="11"/>
        <v>Error?</v>
      </c>
    </row>
    <row r="792" spans="1:4" x14ac:dyDescent="0.2">
      <c r="A792" s="5">
        <v>731</v>
      </c>
      <c r="B792" s="1832">
        <f>'Expenditures 15-22'!D53</f>
        <v>1254</v>
      </c>
      <c r="C792" s="2" t="s">
        <v>568</v>
      </c>
      <c r="D792" s="2" t="str">
        <f t="shared" si="11"/>
        <v>Error?</v>
      </c>
    </row>
    <row r="793" spans="1:4" x14ac:dyDescent="0.2">
      <c r="A793" s="5">
        <v>732</v>
      </c>
      <c r="B793" s="1832">
        <f>'Expenditures 15-22'!D55</f>
        <v>55474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55474</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6154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470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6624</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338</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338</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72053</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174342</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18563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3170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32429</v>
      </c>
      <c r="C836" s="2" t="s">
        <v>568</v>
      </c>
      <c r="D836" s="2" t="str">
        <f t="shared" si="12"/>
        <v>Error?</v>
      </c>
    </row>
    <row r="837" spans="1:4" x14ac:dyDescent="0.2">
      <c r="A837" s="5">
        <v>776</v>
      </c>
      <c r="B837" s="1832">
        <f>'Expenditures 15-22'!E36</f>
        <v>193</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206</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14625</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15024</v>
      </c>
      <c r="C843" s="2" t="s">
        <v>568</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898</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898</v>
      </c>
      <c r="C847" s="2" t="s">
        <v>568</v>
      </c>
      <c r="D847" s="2" t="str">
        <f t="shared" si="12"/>
        <v>Error?</v>
      </c>
    </row>
    <row r="848" spans="1:4" x14ac:dyDescent="0.2">
      <c r="A848" s="5">
        <v>787</v>
      </c>
      <c r="B848" s="1832">
        <f>'Expenditures 15-22'!E49</f>
        <v>49403</v>
      </c>
      <c r="D848" s="2" t="str">
        <f t="shared" si="12"/>
        <v>Error?</v>
      </c>
    </row>
    <row r="849" spans="1:4" x14ac:dyDescent="0.2">
      <c r="A849" s="5">
        <v>788</v>
      </c>
      <c r="B849" s="1832">
        <f>'Expenditures 15-22'!E50</f>
        <v>7644</v>
      </c>
      <c r="D849" s="2" t="str">
        <f t="shared" si="12"/>
        <v>Error?</v>
      </c>
    </row>
    <row r="850" spans="1:4" x14ac:dyDescent="0.2">
      <c r="A850" s="5">
        <v>789</v>
      </c>
      <c r="B850" s="1832">
        <f>'Expenditures 15-22'!E53</f>
        <v>57047</v>
      </c>
      <c r="C850" s="2" t="s">
        <v>568</v>
      </c>
      <c r="D850" s="2" t="str">
        <f t="shared" si="12"/>
        <v>Error?</v>
      </c>
    </row>
    <row r="851" spans="1:4" x14ac:dyDescent="0.2">
      <c r="A851" s="5">
        <v>790</v>
      </c>
      <c r="B851" s="1832">
        <f>'Expenditures 15-22'!E55</f>
        <v>9078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9078</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445</v>
      </c>
      <c r="D855" s="2" t="str">
        <f t="shared" si="12"/>
        <v>Error?</v>
      </c>
    </row>
    <row r="856" spans="1:4" x14ac:dyDescent="0.2">
      <c r="A856" s="5">
        <v>795</v>
      </c>
      <c r="B856" s="1832">
        <f>'Expenditures 15-22'!E61</f>
        <v>17028</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1391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18864</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31665</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31665</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132576</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206373</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18483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6198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28596</v>
      </c>
      <c r="C894" s="2" t="s">
        <v>568</v>
      </c>
      <c r="D894" s="2" t="str">
        <f t="shared" si="12"/>
        <v>Error?</v>
      </c>
    </row>
    <row r="895" spans="1:4" x14ac:dyDescent="0.2">
      <c r="A895" s="5">
        <v>834</v>
      </c>
      <c r="B895" s="1832">
        <f>'Expenditures 15-22'!F36</f>
        <v>153</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1103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59</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1315</v>
      </c>
      <c r="C901" s="2" t="s">
        <v>568</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1918</v>
      </c>
      <c r="D903" s="2" t="str">
        <f t="shared" si="13"/>
        <v>Error?</v>
      </c>
    </row>
    <row r="904" spans="1:4" x14ac:dyDescent="0.2">
      <c r="A904" s="5">
        <v>843</v>
      </c>
      <c r="B904" s="1832">
        <f>'Expenditures 15-22'!F46</f>
        <v>4791</v>
      </c>
      <c r="D904" s="2" t="str">
        <f t="shared" si="13"/>
        <v>Error?</v>
      </c>
    </row>
    <row r="905" spans="1:4" x14ac:dyDescent="0.2">
      <c r="A905" s="5">
        <v>844</v>
      </c>
      <c r="B905" s="1832">
        <f>'Expenditures 15-22'!F47</f>
        <v>6709</v>
      </c>
      <c r="C905" s="2" t="s">
        <v>568</v>
      </c>
      <c r="D905" s="2" t="str">
        <f t="shared" si="13"/>
        <v>Error?</v>
      </c>
    </row>
    <row r="906" spans="1:4" x14ac:dyDescent="0.2">
      <c r="A906" s="5">
        <v>845</v>
      </c>
      <c r="B906" s="1832">
        <f>'Expenditures 15-22'!F49</f>
        <v>2623</v>
      </c>
      <c r="D906" s="2" t="str">
        <f t="shared" si="13"/>
        <v>Error?</v>
      </c>
    </row>
    <row r="907" spans="1:4" x14ac:dyDescent="0.2">
      <c r="A907" s="5">
        <v>846</v>
      </c>
      <c r="B907" s="1832">
        <f>'Expenditures 15-22'!F50</f>
        <v>1097</v>
      </c>
      <c r="D907" s="2" t="str">
        <f t="shared" si="13"/>
        <v>Error?</v>
      </c>
    </row>
    <row r="908" spans="1:4" x14ac:dyDescent="0.2">
      <c r="A908" s="5">
        <v>847</v>
      </c>
      <c r="B908" s="1832">
        <f>'Expenditures 15-22'!F53</f>
        <v>3720</v>
      </c>
      <c r="C908" s="2" t="s">
        <v>568</v>
      </c>
      <c r="D908" s="2" t="str">
        <f t="shared" si="13"/>
        <v>Error?</v>
      </c>
    </row>
    <row r="909" spans="1:4" x14ac:dyDescent="0.2">
      <c r="A909" s="5">
        <v>848</v>
      </c>
      <c r="B909" s="1832">
        <f>'Expenditures 15-22'!F55</f>
        <v>886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886</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296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26459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26755</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22700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22700</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62085</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90681</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80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80</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100</v>
      </c>
      <c r="C1021" s="2" t="s">
        <v>568</v>
      </c>
      <c r="D1021" s="2" t="str">
        <f t="shared" si="14"/>
        <v>Error?</v>
      </c>
    </row>
    <row r="1022" spans="1:4" x14ac:dyDescent="0.2">
      <c r="A1022" s="5">
        <v>961</v>
      </c>
      <c r="B1022" s="1832">
        <f>'Expenditures 15-22'!H49</f>
        <v>3686</v>
      </c>
      <c r="D1022" s="2" t="str">
        <f t="shared" si="14"/>
        <v>Error?</v>
      </c>
    </row>
    <row r="1023" spans="1:4" x14ac:dyDescent="0.2">
      <c r="A1023" s="5">
        <v>962</v>
      </c>
      <c r="B1023" s="1832">
        <f>'Expenditures 15-22'!H50</f>
        <v>357</v>
      </c>
      <c r="D1023" s="2" t="str">
        <f t="shared" ref="D1023:D1086" si="15">IF(ISBLANK(B1023),"OK",IF(A1023-B1023=0,"OK","Error?"))</f>
        <v>Error?</v>
      </c>
    </row>
    <row r="1024" spans="1:4" x14ac:dyDescent="0.2">
      <c r="A1024" s="5">
        <v>963</v>
      </c>
      <c r="B1024" s="1832">
        <f>'Expenditures 15-22'!H53</f>
        <v>4043</v>
      </c>
      <c r="C1024" s="2" t="s">
        <v>568</v>
      </c>
      <c r="D1024" s="2" t="str">
        <f t="shared" si="15"/>
        <v>Error?</v>
      </c>
    </row>
    <row r="1025" spans="1:4" x14ac:dyDescent="0.2">
      <c r="A1025" s="5">
        <v>964</v>
      </c>
      <c r="B1025" s="1832">
        <f>'Expenditures 15-22'!H55</f>
        <v>302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302</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4445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502022</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506547</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641551</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9842</v>
      </c>
      <c r="C1105" s="2" t="s">
        <v>568</v>
      </c>
      <c r="D1105" s="2" t="str">
        <f t="shared" si="16"/>
        <v>Error?</v>
      </c>
    </row>
    <row r="1106" spans="1:4" x14ac:dyDescent="0.2">
      <c r="A1106" s="5">
        <v>1045</v>
      </c>
      <c r="B1106" s="1832">
        <f>'Expenditures 15-22'!K14</f>
        <v>21959</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911129</v>
      </c>
      <c r="C1108" s="2" t="s">
        <v>568</v>
      </c>
      <c r="D1108" s="2" t="str">
        <f t="shared" si="16"/>
        <v>Error?</v>
      </c>
    </row>
    <row r="1109" spans="1:4" x14ac:dyDescent="0.2">
      <c r="A1109" s="5">
        <v>1048</v>
      </c>
      <c r="B1109" s="1832">
        <f>'Expenditures 15-22'!K36</f>
        <v>56594</v>
      </c>
      <c r="C1109" s="2" t="s">
        <v>568</v>
      </c>
      <c r="D1109" s="2" t="str">
        <f t="shared" si="16"/>
        <v>Error?</v>
      </c>
    </row>
    <row r="1110" spans="1:4" x14ac:dyDescent="0.2">
      <c r="A1110" s="5">
        <v>1049</v>
      </c>
      <c r="B1110" s="1832">
        <f>'Expenditures 15-22'!K37</f>
        <v>0</v>
      </c>
      <c r="C1110" s="2" t="s">
        <v>568</v>
      </c>
      <c r="D1110" s="2" t="str">
        <f t="shared" si="16"/>
        <v>Error?</v>
      </c>
    </row>
    <row r="1111" spans="1:4" x14ac:dyDescent="0.2">
      <c r="A1111" s="5">
        <v>1050</v>
      </c>
      <c r="B1111" s="1832">
        <f>'Expenditures 15-22'!K38</f>
        <v>1309</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16507</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74410</v>
      </c>
      <c r="C1115" s="2" t="s">
        <v>568</v>
      </c>
      <c r="D1115" s="2" t="str">
        <f t="shared" si="16"/>
        <v>Error?</v>
      </c>
    </row>
    <row r="1116" spans="1:4" x14ac:dyDescent="0.2">
      <c r="A1116" s="5">
        <v>1055</v>
      </c>
      <c r="B1116" s="1832">
        <f>'Expenditures 15-22'!K44</f>
        <v>1205</v>
      </c>
      <c r="C1116" s="2" t="s">
        <v>568</v>
      </c>
      <c r="D1116" s="2" t="str">
        <f t="shared" si="16"/>
        <v>Error?</v>
      </c>
    </row>
    <row r="1117" spans="1:4" x14ac:dyDescent="0.2">
      <c r="A1117" s="5">
        <v>1056</v>
      </c>
      <c r="B1117" s="1832">
        <f>'Expenditures 15-22'!K45</f>
        <v>34731</v>
      </c>
      <c r="C1117" s="2" t="s">
        <v>568</v>
      </c>
      <c r="D1117" s="2" t="str">
        <f t="shared" si="16"/>
        <v>Error?</v>
      </c>
    </row>
    <row r="1118" spans="1:4" x14ac:dyDescent="0.2">
      <c r="A1118" s="5">
        <v>1057</v>
      </c>
      <c r="B1118" s="1832">
        <f>'Expenditures 15-22'!K46</f>
        <v>4791</v>
      </c>
      <c r="C1118" s="2" t="s">
        <v>568</v>
      </c>
      <c r="D1118" s="2" t="str">
        <f t="shared" si="16"/>
        <v>Error?</v>
      </c>
    </row>
    <row r="1119" spans="1:4" x14ac:dyDescent="0.2">
      <c r="A1119" s="5">
        <v>1058</v>
      </c>
      <c r="B1119" s="1832">
        <f>'Expenditures 15-22'!K47</f>
        <v>40727</v>
      </c>
      <c r="C1119" s="2" t="s">
        <v>568</v>
      </c>
      <c r="D1119" s="2" t="str">
        <f t="shared" si="16"/>
        <v>Error?</v>
      </c>
    </row>
    <row r="1120" spans="1:4" x14ac:dyDescent="0.2">
      <c r="A1120" s="5">
        <v>1059</v>
      </c>
      <c r="B1120" s="1832">
        <f>'Expenditures 15-22'!K49</f>
        <v>78420</v>
      </c>
      <c r="C1120" s="2" t="s">
        <v>568</v>
      </c>
      <c r="D1120" s="2" t="str">
        <f t="shared" si="16"/>
        <v>Error?</v>
      </c>
    </row>
    <row r="1121" spans="1:4" x14ac:dyDescent="0.2">
      <c r="A1121" s="5">
        <v>1060</v>
      </c>
      <c r="B1121" s="1832">
        <f>'Expenditures 15-22'!K50</f>
        <v>97603</v>
      </c>
      <c r="C1121" s="2" t="s">
        <v>568</v>
      </c>
      <c r="D1121" s="2" t="str">
        <f t="shared" si="16"/>
        <v>Error?</v>
      </c>
    </row>
    <row r="1122" spans="1:4" x14ac:dyDescent="0.2">
      <c r="A1122" s="5">
        <v>1061</v>
      </c>
      <c r="B1122" s="1832">
        <f>'Expenditures 15-22'!K53</f>
        <v>176023</v>
      </c>
      <c r="C1122" s="2" t="s">
        <v>568</v>
      </c>
      <c r="D1122" s="2" t="str">
        <f t="shared" si="16"/>
        <v>Error?</v>
      </c>
    </row>
    <row r="1123" spans="1:4" x14ac:dyDescent="0.2">
      <c r="A1123" s="5">
        <v>1062</v>
      </c>
      <c r="B1123" s="1832">
        <f>'Expenditures 15-22'!K55</f>
        <v>163973</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163973</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46872</v>
      </c>
      <c r="C1127" s="2" t="s">
        <v>568</v>
      </c>
      <c r="D1127" s="2" t="str">
        <f t="shared" si="16"/>
        <v>Error?</v>
      </c>
    </row>
    <row r="1128" spans="1:4" x14ac:dyDescent="0.2">
      <c r="A1128" s="5">
        <v>1067</v>
      </c>
      <c r="B1128" s="1832">
        <f>'Expenditures 15-22'!K61</f>
        <v>17028</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51910</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115810</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87986</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87986</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658929</v>
      </c>
      <c r="C1143" s="2" t="s">
        <v>568</v>
      </c>
      <c r="D1143" s="2" t="str">
        <f t="shared" si="16"/>
        <v>Error?</v>
      </c>
    </row>
    <row r="1144" spans="1:4" x14ac:dyDescent="0.2">
      <c r="A1144" s="5">
        <v>1083</v>
      </c>
      <c r="B1144" s="1832">
        <f>'Expenditures 15-22'!K75</f>
        <v>0</v>
      </c>
      <c r="C1144" s="2" t="s">
        <v>568</v>
      </c>
      <c r="D1144" s="2" t="str">
        <f t="shared" si="16"/>
        <v>Error?</v>
      </c>
    </row>
    <row r="1145" spans="1:4" x14ac:dyDescent="0.2">
      <c r="A1145" s="5">
        <v>1084</v>
      </c>
      <c r="B1145" s="1832">
        <f>'Expenditures 15-22'!K102</f>
        <v>543390</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2113448</v>
      </c>
      <c r="C1152" s="2" t="s">
        <v>568</v>
      </c>
      <c r="D1152" s="2" t="str">
        <f t="shared" si="17"/>
        <v>Error?</v>
      </c>
    </row>
    <row r="1153" spans="1:4" x14ac:dyDescent="0.2">
      <c r="A1153" s="5">
        <v>1092</v>
      </c>
      <c r="B1153" s="1832">
        <f>'Expenditures 15-22'!K115</f>
        <v>108271</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86769</v>
      </c>
      <c r="D1221" s="2" t="str">
        <f t="shared" si="18"/>
        <v>Error?</v>
      </c>
    </row>
    <row r="1222" spans="1:4" x14ac:dyDescent="0.2">
      <c r="A1222" s="10">
        <v>1161</v>
      </c>
      <c r="B1222" s="1832"/>
      <c r="D1222" s="2" t="str">
        <f t="shared" si="18"/>
        <v>OK</v>
      </c>
    </row>
    <row r="1223" spans="1:4" x14ac:dyDescent="0.2">
      <c r="A1223" s="5">
        <v>1162</v>
      </c>
      <c r="B1223" s="1832">
        <f>'Expenditures 15-22'!C127</f>
        <v>86769</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86769</v>
      </c>
      <c r="C1225" s="2" t="s">
        <v>568</v>
      </c>
      <c r="D1225" s="2" t="str">
        <f t="shared" si="18"/>
        <v>Error?</v>
      </c>
    </row>
    <row r="1226" spans="1:4" x14ac:dyDescent="0.2">
      <c r="A1226" s="5">
        <v>1165</v>
      </c>
      <c r="B1226" s="1832">
        <f>'Expenditures 15-22'!C151</f>
        <v>86769</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11606</v>
      </c>
      <c r="D1229" s="2" t="str">
        <f t="shared" si="18"/>
        <v>Error?</v>
      </c>
    </row>
    <row r="1230" spans="1:4" x14ac:dyDescent="0.2">
      <c r="A1230" s="10">
        <v>1169</v>
      </c>
      <c r="B1230" s="1832"/>
      <c r="D1230" s="2" t="str">
        <f t="shared" si="18"/>
        <v>OK</v>
      </c>
    </row>
    <row r="1231" spans="1:4" x14ac:dyDescent="0.2">
      <c r="A1231" s="5">
        <v>1170</v>
      </c>
      <c r="B1231" s="1832">
        <f>'Expenditures 15-22'!D127</f>
        <v>11606</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11606</v>
      </c>
      <c r="C1233" s="2" t="s">
        <v>568</v>
      </c>
      <c r="D1233" s="2" t="str">
        <f t="shared" si="18"/>
        <v>Error?</v>
      </c>
    </row>
    <row r="1234" spans="1:4" x14ac:dyDescent="0.2">
      <c r="A1234" s="5">
        <v>1173</v>
      </c>
      <c r="B1234" s="1832">
        <f>'Expenditures 15-22'!D151</f>
        <v>11606</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72084</v>
      </c>
      <c r="D1237" s="2" t="str">
        <f t="shared" si="18"/>
        <v>Error?</v>
      </c>
    </row>
    <row r="1238" spans="1:4" x14ac:dyDescent="0.2">
      <c r="A1238" s="10">
        <v>1177</v>
      </c>
      <c r="B1238" s="1832"/>
      <c r="D1238" s="2" t="str">
        <f t="shared" si="18"/>
        <v>OK</v>
      </c>
    </row>
    <row r="1239" spans="1:4" x14ac:dyDescent="0.2">
      <c r="A1239" s="5">
        <v>1178</v>
      </c>
      <c r="B1239" s="1832">
        <f>'Expenditures 15-22'!E127</f>
        <v>72084</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72084</v>
      </c>
      <c r="C1241" s="2" t="s">
        <v>568</v>
      </c>
      <c r="D1241" s="2" t="str">
        <f t="shared" si="18"/>
        <v>Error?</v>
      </c>
    </row>
    <row r="1242" spans="1:4" x14ac:dyDescent="0.2">
      <c r="A1242" s="5">
        <v>1181</v>
      </c>
      <c r="B1242" s="1832">
        <f>'Expenditures 15-22'!E151</f>
        <v>72084</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112100</v>
      </c>
      <c r="D1245" s="2" t="str">
        <f t="shared" si="18"/>
        <v>Error?</v>
      </c>
    </row>
    <row r="1246" spans="1:4" x14ac:dyDescent="0.2">
      <c r="A1246" s="10">
        <v>1185</v>
      </c>
      <c r="B1246" s="1832"/>
      <c r="D1246" s="2" t="str">
        <f t="shared" si="18"/>
        <v>OK</v>
      </c>
    </row>
    <row r="1247" spans="1:4" x14ac:dyDescent="0.2">
      <c r="A1247" s="5">
        <v>1186</v>
      </c>
      <c r="B1247" s="1832">
        <f>'Expenditures 15-22'!F127</f>
        <v>112100</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112100</v>
      </c>
      <c r="C1249" s="2" t="s">
        <v>568</v>
      </c>
      <c r="D1249" s="2" t="str">
        <f t="shared" si="18"/>
        <v>Error?</v>
      </c>
    </row>
    <row r="1250" spans="1:4" x14ac:dyDescent="0.2">
      <c r="A1250" s="5">
        <v>1189</v>
      </c>
      <c r="B1250" s="1832">
        <f>'Expenditures 15-22'!F151</f>
        <v>112100</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568</v>
      </c>
      <c r="D1258" s="2" t="str">
        <f t="shared" si="18"/>
        <v>Error?</v>
      </c>
    </row>
    <row r="1259" spans="1:4" x14ac:dyDescent="0.2">
      <c r="A1259" s="5">
        <v>1198</v>
      </c>
      <c r="B1259" s="1832">
        <f>'Expenditures 15-22'!G151</f>
        <v>0</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282559</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282559</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282559</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282559</v>
      </c>
      <c r="C1288" s="2" t="s">
        <v>568</v>
      </c>
      <c r="D1288" s="2" t="str">
        <f t="shared" si="19"/>
        <v>Error?</v>
      </c>
    </row>
    <row r="1289" spans="1:4" x14ac:dyDescent="0.2">
      <c r="A1289" s="5">
        <v>1228</v>
      </c>
      <c r="B1289" s="1832">
        <f>'Expenditures 15-22'!K152</f>
        <v>51059</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112449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432976</v>
      </c>
      <c r="D1315" s="2" t="str">
        <f t="shared" si="19"/>
        <v>Error?</v>
      </c>
    </row>
    <row r="1316" spans="1:4" x14ac:dyDescent="0.2">
      <c r="A1316" s="5">
        <v>1255</v>
      </c>
      <c r="B1316" s="1832">
        <f>'Expenditures 15-22'!H171</f>
        <v>2900</v>
      </c>
      <c r="D1316" s="2" t="str">
        <f t="shared" si="19"/>
        <v>Error?</v>
      </c>
    </row>
    <row r="1317" spans="1:4" x14ac:dyDescent="0.2">
      <c r="A1317" s="5">
        <v>1256</v>
      </c>
      <c r="B1317" s="1832">
        <f>'Expenditures 15-22'!H172</f>
        <v>548325</v>
      </c>
      <c r="C1317" s="2" t="s">
        <v>568</v>
      </c>
      <c r="D1317" s="2" t="str">
        <f t="shared" si="19"/>
        <v>Error?</v>
      </c>
    </row>
    <row r="1318" spans="1:4" x14ac:dyDescent="0.2">
      <c r="A1318" s="5">
        <v>1257</v>
      </c>
      <c r="B1318" s="1832">
        <f>'Expenditures 15-22'!H174</f>
        <v>548325</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112449</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432976</v>
      </c>
      <c r="C1329" s="2" t="s">
        <v>568</v>
      </c>
      <c r="D1329" s="2" t="str">
        <f t="shared" si="19"/>
        <v>Error?</v>
      </c>
    </row>
    <row r="1330" spans="1:4" x14ac:dyDescent="0.2">
      <c r="A1330" s="5">
        <v>1269</v>
      </c>
      <c r="B1330" s="1832">
        <f>'Expenditures 15-22'!K171</f>
        <v>2900</v>
      </c>
      <c r="C1330" s="2" t="s">
        <v>568</v>
      </c>
      <c r="D1330" s="2" t="str">
        <f t="shared" si="19"/>
        <v>Error?</v>
      </c>
    </row>
    <row r="1331" spans="1:4" x14ac:dyDescent="0.2">
      <c r="A1331" s="5">
        <v>1270</v>
      </c>
      <c r="B1331" s="1832">
        <f>'Expenditures 15-22'!K172</f>
        <v>548325</v>
      </c>
      <c r="C1331" s="2" t="s">
        <v>568</v>
      </c>
      <c r="D1331" s="2" t="str">
        <f t="shared" si="19"/>
        <v>Error?</v>
      </c>
    </row>
    <row r="1332" spans="1:4" x14ac:dyDescent="0.2">
      <c r="A1332" s="5">
        <v>1271</v>
      </c>
      <c r="B1332" s="1832">
        <f>'Expenditures 15-22'!K174</f>
        <v>548325</v>
      </c>
      <c r="C1332" s="2" t="s">
        <v>568</v>
      </c>
      <c r="D1332" s="2" t="str">
        <f t="shared" si="19"/>
        <v>Error?</v>
      </c>
    </row>
    <row r="1333" spans="1:4" x14ac:dyDescent="0.2">
      <c r="A1333" s="5">
        <v>1272</v>
      </c>
      <c r="B1333" s="1832">
        <f>'Expenditures 15-22'!K175</f>
        <v>-3475</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80580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80580</v>
      </c>
      <c r="C1339" s="2" t="s">
        <v>568</v>
      </c>
      <c r="D1339" s="2" t="str">
        <f t="shared" si="19"/>
        <v>Error?</v>
      </c>
    </row>
    <row r="1340" spans="1:4" x14ac:dyDescent="0.2">
      <c r="A1340" s="5">
        <v>1279</v>
      </c>
      <c r="B1340" s="1832">
        <f>'Expenditures 15-22'!C210</f>
        <v>80580</v>
      </c>
      <c r="C1340" s="2" t="s">
        <v>568</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568</v>
      </c>
      <c r="D1345" s="2" t="str">
        <f t="shared" si="20"/>
        <v>Error?</v>
      </c>
    </row>
    <row r="1346" spans="1:4" x14ac:dyDescent="0.2">
      <c r="A1346" s="5">
        <v>1285</v>
      </c>
      <c r="B1346" s="1832">
        <f>'Expenditures 15-22'!D210</f>
        <v>0</v>
      </c>
      <c r="C1346" s="2" t="s">
        <v>568</v>
      </c>
      <c r="D1346" s="2" t="str">
        <f t="shared" si="20"/>
        <v>Error?</v>
      </c>
    </row>
    <row r="1347" spans="1:4" x14ac:dyDescent="0.2">
      <c r="A1347" s="5">
        <v>1286</v>
      </c>
      <c r="B1347" s="1832">
        <f>'Expenditures 15-22'!E182</f>
        <v>80706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80706</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80706</v>
      </c>
      <c r="C1353" s="2" t="s">
        <v>568</v>
      </c>
      <c r="D1353" s="2" t="str">
        <f t="shared" si="20"/>
        <v>Error?</v>
      </c>
    </row>
    <row r="1354" spans="1:4" x14ac:dyDescent="0.2">
      <c r="A1354" s="5">
        <v>1293</v>
      </c>
      <c r="B1354" s="1832">
        <f>'Expenditures 15-22'!F182</f>
        <v>28806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28806</v>
      </c>
      <c r="C1358" s="2" t="s">
        <v>568</v>
      </c>
      <c r="D1358" s="2" t="str">
        <f t="shared" si="20"/>
        <v>Error?</v>
      </c>
    </row>
    <row r="1359" spans="1:4" x14ac:dyDescent="0.2">
      <c r="A1359" s="5">
        <v>1298</v>
      </c>
      <c r="B1359" s="1832">
        <f>'Expenditures 15-22'!F210</f>
        <v>28806</v>
      </c>
      <c r="C1359" s="2" t="s">
        <v>568</v>
      </c>
      <c r="D1359" s="2" t="str">
        <f t="shared" si="20"/>
        <v>Error?</v>
      </c>
    </row>
    <row r="1360" spans="1:4" x14ac:dyDescent="0.2">
      <c r="A1360" s="5">
        <v>1299</v>
      </c>
      <c r="B1360" s="1832">
        <f>'Expenditures 15-22'!G182</f>
        <v>6550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6550</v>
      </c>
      <c r="C1364" s="2" t="s">
        <v>568</v>
      </c>
      <c r="D1364" s="2" t="str">
        <f t="shared" si="20"/>
        <v>Error?</v>
      </c>
    </row>
    <row r="1365" spans="1:4" x14ac:dyDescent="0.2">
      <c r="A1365" s="5">
        <v>1304</v>
      </c>
      <c r="B1365" s="1832">
        <f>'Expenditures 15-22'!G210</f>
        <v>6550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196642</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196642</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196642</v>
      </c>
      <c r="C1388" s="2" t="s">
        <v>568</v>
      </c>
      <c r="D1388" s="2" t="str">
        <f t="shared" si="20"/>
        <v>Error?</v>
      </c>
    </row>
    <row r="1389" spans="1:4" x14ac:dyDescent="0.2">
      <c r="A1389" s="5">
        <v>1328</v>
      </c>
      <c r="B1389" s="1832">
        <f>'Expenditures 15-22'!K211</f>
        <v>12888</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136</v>
      </c>
      <c r="D1407" s="2" t="str">
        <f t="shared" ref="D1407:D1470" si="21">IF(ISBLANK(B1407),"OK",IF(A1407-B1407=0,"OK","Error?"))</f>
        <v>Error?</v>
      </c>
    </row>
    <row r="1408" spans="1:4" x14ac:dyDescent="0.2">
      <c r="A1408" s="5">
        <v>1347</v>
      </c>
      <c r="B1408" s="1832">
        <f>'Expenditures 15-22'!D223</f>
        <v>827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15050</v>
      </c>
      <c r="C1410" s="2" t="s">
        <v>568</v>
      </c>
      <c r="D1410" s="2" t="str">
        <f t="shared" si="21"/>
        <v>Error?</v>
      </c>
    </row>
    <row r="1411" spans="1:4" x14ac:dyDescent="0.2">
      <c r="A1411" s="5">
        <v>1350</v>
      </c>
      <c r="B1411" s="1832">
        <f>'Expenditures 15-22'!D232</f>
        <v>645</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645</v>
      </c>
      <c r="C1417" s="2" t="s">
        <v>568</v>
      </c>
      <c r="D1417" s="2" t="str">
        <f t="shared" si="21"/>
        <v>Error?</v>
      </c>
    </row>
    <row r="1418" spans="1:4" x14ac:dyDescent="0.2">
      <c r="A1418" s="5">
        <v>1357</v>
      </c>
      <c r="B1418" s="1832">
        <f>'Expenditures 15-22'!D240</f>
        <v>15</v>
      </c>
      <c r="D1418" s="2" t="str">
        <f t="shared" si="21"/>
        <v>Error?</v>
      </c>
    </row>
    <row r="1419" spans="1:4" x14ac:dyDescent="0.2">
      <c r="A1419" s="5">
        <v>1358</v>
      </c>
      <c r="B1419" s="1832">
        <f>'Expenditures 15-22'!D241</f>
        <v>4211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4226</v>
      </c>
      <c r="C1421" s="2" t="s">
        <v>568</v>
      </c>
      <c r="D1421" s="2" t="str">
        <f t="shared" si="21"/>
        <v>Error?</v>
      </c>
    </row>
    <row r="1422" spans="1:4" x14ac:dyDescent="0.2">
      <c r="A1422" s="5">
        <v>1361</v>
      </c>
      <c r="B1422" s="1832">
        <f>'Expenditures 15-22'!D245</f>
        <v>356</v>
      </c>
      <c r="D1422" s="2" t="str">
        <f t="shared" si="21"/>
        <v>Error?</v>
      </c>
    </row>
    <row r="1423" spans="1:4" x14ac:dyDescent="0.2">
      <c r="A1423" s="5">
        <v>1362</v>
      </c>
      <c r="B1423" s="1832">
        <f>'Expenditures 15-22'!D246</f>
        <v>1729</v>
      </c>
      <c r="D1423" s="2" t="str">
        <f t="shared" si="21"/>
        <v>Error?</v>
      </c>
    </row>
    <row r="1424" spans="1:4" x14ac:dyDescent="0.2">
      <c r="A1424" s="5">
        <v>1363</v>
      </c>
      <c r="B1424" s="1832">
        <f>'Expenditures 15-22'!D257</f>
        <v>5452</v>
      </c>
      <c r="C1424" s="2" t="s">
        <v>568</v>
      </c>
      <c r="D1424" s="2" t="str">
        <f t="shared" si="21"/>
        <v>Error?</v>
      </c>
    </row>
    <row r="1425" spans="1:4" x14ac:dyDescent="0.2">
      <c r="A1425" s="5">
        <v>1364</v>
      </c>
      <c r="B1425" s="1832">
        <f>'Expenditures 15-22'!D259</f>
        <v>3962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3962</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5150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9364</v>
      </c>
      <c r="D1431" s="2" t="str">
        <f t="shared" si="21"/>
        <v>Error?</v>
      </c>
    </row>
    <row r="1432" spans="1:4" x14ac:dyDescent="0.2">
      <c r="A1432" s="5">
        <v>1371</v>
      </c>
      <c r="B1432" s="1832">
        <f>'Expenditures 15-22'!D267</f>
        <v>7970</v>
      </c>
      <c r="D1432" s="2" t="str">
        <f t="shared" si="21"/>
        <v>Error?</v>
      </c>
    </row>
    <row r="1433" spans="1:4" x14ac:dyDescent="0.2">
      <c r="A1433" s="5">
        <v>1372</v>
      </c>
      <c r="B1433" s="1832">
        <f>'Expenditures 15-22'!D268</f>
        <v>3125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25609</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4332</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4332</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44226</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59276</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136</v>
      </c>
      <c r="C1471" s="2" t="s">
        <v>568</v>
      </c>
      <c r="D1471" s="2" t="str">
        <f t="shared" ref="D1471:D1534" si="22">IF(ISBLANK(B1471),"OK",IF(A1471-B1471=0,"OK","Error?"))</f>
        <v>Error?</v>
      </c>
    </row>
    <row r="1472" spans="1:4" x14ac:dyDescent="0.2">
      <c r="A1472" s="5">
        <v>1411</v>
      </c>
      <c r="B1472" s="1832">
        <f>'Expenditures 15-22'!K223</f>
        <v>827</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15050</v>
      </c>
      <c r="C1474" s="2" t="s">
        <v>568</v>
      </c>
      <c r="D1474" s="2" t="str">
        <f t="shared" si="22"/>
        <v>Error?</v>
      </c>
    </row>
    <row r="1475" spans="1:4" x14ac:dyDescent="0.2">
      <c r="A1475" s="5">
        <v>1414</v>
      </c>
      <c r="B1475" s="1832">
        <f>'Expenditures 15-22'!K232</f>
        <v>645</v>
      </c>
      <c r="C1475" s="2" t="s">
        <v>568</v>
      </c>
      <c r="D1475" s="2" t="str">
        <f t="shared" si="22"/>
        <v>Error?</v>
      </c>
    </row>
    <row r="1476" spans="1:4" x14ac:dyDescent="0.2">
      <c r="A1476" s="5">
        <v>1415</v>
      </c>
      <c r="B1476" s="1832">
        <f>'Expenditures 15-22'!K233</f>
        <v>0</v>
      </c>
      <c r="C1476" s="2" t="s">
        <v>568</v>
      </c>
      <c r="D1476" s="2" t="str">
        <f t="shared" si="22"/>
        <v>Error?</v>
      </c>
    </row>
    <row r="1477" spans="1:4" x14ac:dyDescent="0.2">
      <c r="A1477" s="5">
        <v>1416</v>
      </c>
      <c r="B1477" s="1832">
        <f>'Expenditures 15-22'!K234</f>
        <v>0</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645</v>
      </c>
      <c r="C1481" s="2" t="s">
        <v>568</v>
      </c>
      <c r="D1481" s="2" t="str">
        <f t="shared" si="22"/>
        <v>Error?</v>
      </c>
    </row>
    <row r="1482" spans="1:4" x14ac:dyDescent="0.2">
      <c r="A1482" s="5">
        <v>1421</v>
      </c>
      <c r="B1482" s="1832">
        <f>'Expenditures 15-22'!K240</f>
        <v>15</v>
      </c>
      <c r="C1482" s="2" t="s">
        <v>568</v>
      </c>
      <c r="D1482" s="2" t="str">
        <f t="shared" si="22"/>
        <v>Error?</v>
      </c>
    </row>
    <row r="1483" spans="1:4" x14ac:dyDescent="0.2">
      <c r="A1483" s="5">
        <v>1422</v>
      </c>
      <c r="B1483" s="1832">
        <f>'Expenditures 15-22'!K241</f>
        <v>4211</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4226</v>
      </c>
      <c r="C1485" s="2" t="s">
        <v>568</v>
      </c>
      <c r="D1485" s="2" t="str">
        <f t="shared" si="22"/>
        <v>Error?</v>
      </c>
    </row>
    <row r="1486" spans="1:4" x14ac:dyDescent="0.2">
      <c r="A1486" s="5">
        <v>1425</v>
      </c>
      <c r="B1486" s="1832">
        <f>'Expenditures 15-22'!K245</f>
        <v>356</v>
      </c>
      <c r="C1486" s="2" t="s">
        <v>568</v>
      </c>
      <c r="D1486" s="2" t="str">
        <f t="shared" si="22"/>
        <v>Error?</v>
      </c>
    </row>
    <row r="1487" spans="1:4" x14ac:dyDescent="0.2">
      <c r="A1487" s="5">
        <v>1426</v>
      </c>
      <c r="B1487" s="1832">
        <f>'Expenditures 15-22'!K246</f>
        <v>1729</v>
      </c>
      <c r="C1487" s="2" t="s">
        <v>568</v>
      </c>
      <c r="D1487" s="2" t="str">
        <f t="shared" si="22"/>
        <v>Error?</v>
      </c>
    </row>
    <row r="1488" spans="1:4" x14ac:dyDescent="0.2">
      <c r="A1488" s="5">
        <v>1427</v>
      </c>
      <c r="B1488" s="1832">
        <f>'Expenditures 15-22'!K257</f>
        <v>5452</v>
      </c>
      <c r="C1488" s="2" t="s">
        <v>568</v>
      </c>
      <c r="D1488" s="2" t="str">
        <f t="shared" si="22"/>
        <v>Error?</v>
      </c>
    </row>
    <row r="1489" spans="1:4" x14ac:dyDescent="0.2">
      <c r="A1489" s="5">
        <v>1428</v>
      </c>
      <c r="B1489" s="1832">
        <f>'Expenditures 15-22'!K259</f>
        <v>3962</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3962</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5150</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9364</v>
      </c>
      <c r="C1495" s="2" t="s">
        <v>568</v>
      </c>
      <c r="D1495" s="2" t="str">
        <f t="shared" si="22"/>
        <v>Error?</v>
      </c>
    </row>
    <row r="1496" spans="1:4" x14ac:dyDescent="0.2">
      <c r="A1496" s="5">
        <v>1435</v>
      </c>
      <c r="B1496" s="1832">
        <f>'Expenditures 15-22'!K267</f>
        <v>7970</v>
      </c>
      <c r="C1496" s="2" t="s">
        <v>568</v>
      </c>
      <c r="D1496" s="2" t="str">
        <f t="shared" si="22"/>
        <v>Error?</v>
      </c>
    </row>
    <row r="1497" spans="1:4" x14ac:dyDescent="0.2">
      <c r="A1497" s="5">
        <v>1436</v>
      </c>
      <c r="B1497" s="1832">
        <f>'Expenditures 15-22'!K268</f>
        <v>3125</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25609</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4332</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4332</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44226</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59276</v>
      </c>
      <c r="C1517" s="2" t="s">
        <v>568</v>
      </c>
      <c r="D1517" s="2" t="str">
        <f t="shared" si="22"/>
        <v>Error?</v>
      </c>
    </row>
    <row r="1518" spans="1:4" x14ac:dyDescent="0.2">
      <c r="A1518" s="5">
        <v>1457</v>
      </c>
      <c r="B1518" s="1832">
        <f>'Expenditures 15-22'!K296</f>
        <v>28</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52597</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52597</v>
      </c>
      <c r="C1535" s="2" t="s">
        <v>568</v>
      </c>
      <c r="D1535" s="2" t="str">
        <f t="shared" ref="D1535:D1598" si="23">IF(ISBLANK(B1535),"OK",IF(A1535-B1535=0,"OK","Error?"))</f>
        <v>Error?</v>
      </c>
    </row>
    <row r="1536" spans="1:4" x14ac:dyDescent="0.2">
      <c r="A1536" s="5">
        <v>1475</v>
      </c>
      <c r="B1536" s="1832">
        <f>'Expenditures 15-22'!E312</f>
        <v>52597</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502649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502649</v>
      </c>
      <c r="C1547" s="2" t="s">
        <v>568</v>
      </c>
      <c r="D1547" s="2" t="str">
        <f t="shared" si="23"/>
        <v>Error?</v>
      </c>
    </row>
    <row r="1548" spans="1:4" x14ac:dyDescent="0.2">
      <c r="A1548" s="5">
        <v>1487</v>
      </c>
      <c r="B1548" s="1832">
        <f>'Expenditures 15-22'!G312</f>
        <v>502649</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555246</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555246</v>
      </c>
      <c r="C1559" s="2" t="s">
        <v>568</v>
      </c>
      <c r="D1559" s="2" t="str">
        <f t="shared" si="23"/>
        <v>Error?</v>
      </c>
    </row>
    <row r="1560" spans="1:4" x14ac:dyDescent="0.2">
      <c r="A1560" s="5">
        <v>1499</v>
      </c>
      <c r="B1560" s="1832">
        <f>'Expenditures 15-22'!K312</f>
        <v>555246</v>
      </c>
      <c r="C1560" s="2" t="s">
        <v>568</v>
      </c>
      <c r="D1560" s="2" t="str">
        <f t="shared" si="23"/>
        <v>Error?</v>
      </c>
    </row>
    <row r="1561" spans="1:4" x14ac:dyDescent="0.2">
      <c r="A1561" s="5">
        <v>1500</v>
      </c>
      <c r="B1561" s="1832">
        <f>'Expenditures 15-22'!K313</f>
        <v>-466196</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737331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845602</v>
      </c>
      <c r="C1630" s="2" t="s">
        <v>568</v>
      </c>
      <c r="D1630" s="2" t="str">
        <f t="shared" si="24"/>
        <v>Error?</v>
      </c>
    </row>
    <row r="1631" spans="1:4" x14ac:dyDescent="0.2">
      <c r="A1631" s="5">
        <v>1570</v>
      </c>
      <c r="B1631" s="1832">
        <f>'Acct Summary 7-8'!D79</f>
        <v>6866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94949</v>
      </c>
      <c r="C1644" s="2" t="s">
        <v>568</v>
      </c>
      <c r="D1644" s="2" t="str">
        <f t="shared" si="24"/>
        <v>Error?</v>
      </c>
    </row>
    <row r="1645" spans="1:4" x14ac:dyDescent="0.2">
      <c r="A1645" s="5">
        <v>1584</v>
      </c>
      <c r="B1645" s="1832">
        <f>'Acct Summary 7-8'!E79</f>
        <v>18890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18391</v>
      </c>
      <c r="C1658" s="2" t="s">
        <v>568</v>
      </c>
      <c r="D1658" s="2" t="str">
        <f t="shared" si="24"/>
        <v>Error?</v>
      </c>
    </row>
    <row r="1659" spans="1:4" x14ac:dyDescent="0.2">
      <c r="A1659" s="5">
        <v>1598</v>
      </c>
      <c r="B1659" s="1832">
        <f>'Acct Summary 7-8'!F79</f>
        <v>62559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100447</v>
      </c>
      <c r="C1672" s="2" t="s">
        <v>568</v>
      </c>
      <c r="D1672" s="2" t="str">
        <f t="shared" si="25"/>
        <v>Error?</v>
      </c>
    </row>
    <row r="1673" spans="1:4" x14ac:dyDescent="0.2">
      <c r="A1673" s="5">
        <v>1612</v>
      </c>
      <c r="B1673" s="1832">
        <f>'Acct Summary 7-8'!G79</f>
        <v>123991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124019</v>
      </c>
      <c r="C1686" s="2" t="s">
        <v>568</v>
      </c>
      <c r="D1686" s="2" t="str">
        <f t="shared" si="25"/>
        <v>Error?</v>
      </c>
    </row>
    <row r="1687" spans="1:4" x14ac:dyDescent="0.2">
      <c r="A1687" s="5">
        <v>1626</v>
      </c>
      <c r="B1687" s="1832">
        <f>'Acct Summary 7-8'!H79</f>
        <v>21395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65199</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1665042</v>
      </c>
      <c r="C1744" s="2" t="s">
        <v>568</v>
      </c>
      <c r="D1744" s="2" t="str">
        <f t="shared" si="26"/>
        <v>Error?</v>
      </c>
    </row>
    <row r="1745" spans="1:5" x14ac:dyDescent="0.2">
      <c r="A1745" s="5">
        <v>1684</v>
      </c>
      <c r="B1745" s="1832">
        <f>'Tax Sched 23'!B5</f>
        <v>234574</v>
      </c>
      <c r="C1745" s="2" t="s">
        <v>568</v>
      </c>
      <c r="D1745" s="2" t="str">
        <f t="shared" si="26"/>
        <v>Error?</v>
      </c>
    </row>
    <row r="1746" spans="1:5" x14ac:dyDescent="0.2">
      <c r="A1746" s="5">
        <v>1685</v>
      </c>
      <c r="B1746" s="1832">
        <f>'Tax Sched 23'!B6</f>
        <v>543857</v>
      </c>
      <c r="C1746" s="2" t="s">
        <v>568</v>
      </c>
      <c r="D1746" s="2" t="str">
        <f t="shared" si="26"/>
        <v>Error?</v>
      </c>
    </row>
    <row r="1747" spans="1:5" x14ac:dyDescent="0.2">
      <c r="A1747" s="5">
        <v>1686</v>
      </c>
      <c r="B1747" s="1832">
        <f>'Tax Sched 23'!B7</f>
        <v>112986</v>
      </c>
      <c r="C1747" s="2" t="s">
        <v>568</v>
      </c>
      <c r="D1747" s="2" t="str">
        <f t="shared" si="26"/>
        <v>Error?</v>
      </c>
    </row>
    <row r="1748" spans="1:5" x14ac:dyDescent="0.2">
      <c r="A1748" s="5">
        <v>1687</v>
      </c>
      <c r="B1748" s="1832">
        <f>'Tax Sched 23'!B8</f>
        <v>90</v>
      </c>
      <c r="C1748" s="2" t="s">
        <v>568</v>
      </c>
      <c r="D1748" s="2" t="str">
        <f t="shared" si="26"/>
        <v>Error?</v>
      </c>
    </row>
    <row r="1749" spans="1:5" x14ac:dyDescent="0.2">
      <c r="A1749" s="5">
        <v>1688</v>
      </c>
      <c r="B1749" s="1832">
        <f>'Tax Sched 23'!B10</f>
        <v>20421</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153734</v>
      </c>
      <c r="C1752" s="2" t="s">
        <v>568</v>
      </c>
      <c r="D1752" s="2" t="str">
        <f t="shared" si="26"/>
        <v>Error?</v>
      </c>
    </row>
    <row r="1753" spans="1:5" x14ac:dyDescent="0.2">
      <c r="A1753" s="5">
        <v>1692</v>
      </c>
      <c r="B1753" s="1832">
        <f>'Tax Sched 23'!B12</f>
        <v>7663</v>
      </c>
      <c r="C1753" s="2" t="s">
        <v>568</v>
      </c>
      <c r="D1753" s="2" t="str">
        <f t="shared" si="26"/>
        <v>Error?</v>
      </c>
    </row>
    <row r="1754" spans="1:5" x14ac:dyDescent="0.2">
      <c r="A1754" s="5">
        <v>1693</v>
      </c>
      <c r="B1754" s="1832">
        <f>'Tax Sched 23'!B14</f>
        <v>16873</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2818248</v>
      </c>
      <c r="C1759" s="2" t="s">
        <v>568</v>
      </c>
      <c r="D1759" s="2" t="str">
        <f t="shared" si="26"/>
        <v>Error?</v>
      </c>
    </row>
    <row r="1760" spans="1:5" x14ac:dyDescent="0.2">
      <c r="A1760" s="5">
        <v>1699</v>
      </c>
      <c r="B1760" s="1832">
        <f>'Tax Sched 23'!D4</f>
        <v>1635578</v>
      </c>
      <c r="C1760" s="2" t="s">
        <v>568</v>
      </c>
      <c r="D1760" s="2" t="str">
        <f t="shared" si="26"/>
        <v>Error?</v>
      </c>
    </row>
    <row r="1761" spans="1:7" x14ac:dyDescent="0.2">
      <c r="A1761" s="5">
        <v>1700</v>
      </c>
      <c r="B1761" s="1832">
        <f>'Tax Sched 23'!D5</f>
        <v>230170</v>
      </c>
      <c r="C1761" s="2" t="s">
        <v>568</v>
      </c>
      <c r="D1761" s="2" t="str">
        <f t="shared" si="26"/>
        <v>Error?</v>
      </c>
    </row>
    <row r="1762" spans="1:7" s="8" customFormat="1" x14ac:dyDescent="0.2">
      <c r="A1762" s="5">
        <v>1701</v>
      </c>
      <c r="B1762" s="1832">
        <f>'Tax Sched 23'!D6</f>
        <v>536200</v>
      </c>
      <c r="C1762" s="2" t="s">
        <v>568</v>
      </c>
      <c r="D1762" s="2" t="str">
        <f t="shared" si="26"/>
        <v>Error?</v>
      </c>
      <c r="E1762" s="9"/>
      <c r="G1762"/>
    </row>
    <row r="1763" spans="1:7" x14ac:dyDescent="0.2">
      <c r="A1763" s="5">
        <v>1702</v>
      </c>
      <c r="B1763" s="1832">
        <f>'Tax Sched 23'!D7</f>
        <v>109821</v>
      </c>
      <c r="C1763" s="2" t="s">
        <v>568</v>
      </c>
      <c r="D1763" s="2" t="str">
        <f t="shared" si="26"/>
        <v>Error?</v>
      </c>
    </row>
    <row r="1764" spans="1:7" x14ac:dyDescent="0.2">
      <c r="A1764" s="5">
        <v>1703</v>
      </c>
      <c r="B1764" s="1832">
        <f>'Tax Sched 23'!D8</f>
        <v>76</v>
      </c>
      <c r="C1764" s="2" t="s">
        <v>568</v>
      </c>
      <c r="D1764" s="2" t="str">
        <f t="shared" si="26"/>
        <v>Error?</v>
      </c>
    </row>
    <row r="1765" spans="1:7" x14ac:dyDescent="0.2">
      <c r="A1765" s="5">
        <v>1704</v>
      </c>
      <c r="B1765" s="1832">
        <f>'Tax Sched 23'!D10</f>
        <v>20080</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153321</v>
      </c>
      <c r="C1768" s="2" t="s">
        <v>568</v>
      </c>
      <c r="D1768" s="2" t="str">
        <f t="shared" si="26"/>
        <v>Error?</v>
      </c>
    </row>
    <row r="1769" spans="1:7" x14ac:dyDescent="0.2">
      <c r="A1769" s="5">
        <v>1708</v>
      </c>
      <c r="B1769" s="1832">
        <f>'Tax Sched 23'!D12</f>
        <v>7649</v>
      </c>
      <c r="C1769" s="2" t="s">
        <v>568</v>
      </c>
      <c r="D1769" s="2" t="str">
        <f t="shared" si="26"/>
        <v>Error?</v>
      </c>
    </row>
    <row r="1770" spans="1:7" x14ac:dyDescent="0.2">
      <c r="A1770" s="5">
        <v>1709</v>
      </c>
      <c r="B1770" s="1832">
        <f>'Tax Sched 23'!D14</f>
        <v>16859</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2772060</v>
      </c>
      <c r="C1775" s="2" t="s">
        <v>568</v>
      </c>
      <c r="D1775" s="2" t="str">
        <f t="shared" si="26"/>
        <v>Error?</v>
      </c>
    </row>
    <row r="1776" spans="1:7" x14ac:dyDescent="0.2">
      <c r="A1776" s="5">
        <v>1715</v>
      </c>
      <c r="B1776" s="1832">
        <f>'Tax Sched 23'!C4</f>
        <v>29464</v>
      </c>
      <c r="D1776" s="2" t="str">
        <f t="shared" si="26"/>
        <v>Error?</v>
      </c>
    </row>
    <row r="1777" spans="1:4" x14ac:dyDescent="0.2">
      <c r="A1777" s="5">
        <v>1716</v>
      </c>
      <c r="B1777" s="1832">
        <f>'Tax Sched 23'!C5</f>
        <v>4404</v>
      </c>
      <c r="D1777" s="2" t="str">
        <f t="shared" si="26"/>
        <v>Error?</v>
      </c>
    </row>
    <row r="1778" spans="1:4" x14ac:dyDescent="0.2">
      <c r="A1778" s="5">
        <v>1717</v>
      </c>
      <c r="B1778" s="1832">
        <f>'Tax Sched 23'!C6</f>
        <v>7657</v>
      </c>
      <c r="D1778" s="2" t="str">
        <f t="shared" si="26"/>
        <v>Error?</v>
      </c>
    </row>
    <row r="1779" spans="1:4" x14ac:dyDescent="0.2">
      <c r="A1779" s="5">
        <v>1718</v>
      </c>
      <c r="B1779" s="1832">
        <f>'Tax Sched 23'!C7</f>
        <v>3165</v>
      </c>
      <c r="D1779" s="2" t="str">
        <f t="shared" si="26"/>
        <v>Error?</v>
      </c>
    </row>
    <row r="1780" spans="1:4" x14ac:dyDescent="0.2">
      <c r="A1780" s="5">
        <v>1719</v>
      </c>
      <c r="B1780" s="1832">
        <f>'Tax Sched 23'!C8</f>
        <v>14</v>
      </c>
      <c r="D1780" s="2" t="str">
        <f t="shared" si="26"/>
        <v>Error?</v>
      </c>
    </row>
    <row r="1781" spans="1:4" x14ac:dyDescent="0.2">
      <c r="A1781" s="5">
        <v>1720</v>
      </c>
      <c r="B1781" s="1832">
        <f>'Tax Sched 23'!C10</f>
        <v>341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413</v>
      </c>
      <c r="D1784" s="2" t="str">
        <f t="shared" si="26"/>
        <v>Error?</v>
      </c>
    </row>
    <row r="1785" spans="1:4" x14ac:dyDescent="0.2">
      <c r="A1785" s="5">
        <v>1724</v>
      </c>
      <c r="B1785" s="1832">
        <f>'Tax Sched 23'!C12</f>
        <v>14</v>
      </c>
      <c r="D1785" s="2" t="str">
        <f t="shared" si="26"/>
        <v>Error?</v>
      </c>
    </row>
    <row r="1786" spans="1:4" x14ac:dyDescent="0.2">
      <c r="A1786" s="5">
        <v>1725</v>
      </c>
      <c r="B1786" s="1832">
        <f>'Tax Sched 23'!C14</f>
        <v>14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46188</v>
      </c>
      <c r="C1791" s="2" t="s">
        <v>568</v>
      </c>
      <c r="D1791" s="2" t="str">
        <f t="shared" ref="D1791:D1854" si="27">IF(ISBLANK(B1791),"OK",IF(A1791-B1791=0,"OK","Error?"))</f>
        <v>Error?</v>
      </c>
    </row>
    <row r="1792" spans="1:4" x14ac:dyDescent="0.2">
      <c r="A1792" s="5">
        <v>1731</v>
      </c>
      <c r="B1792" s="1832">
        <f>'Tax Sched 23'!F4</f>
        <v>2067483</v>
      </c>
      <c r="C1792" s="2" t="s">
        <v>568</v>
      </c>
      <c r="D1792" s="2" t="str">
        <f t="shared" si="27"/>
        <v>Error?</v>
      </c>
    </row>
    <row r="1793" spans="1:4" x14ac:dyDescent="0.2">
      <c r="A1793" s="5">
        <v>1732</v>
      </c>
      <c r="B1793" s="1832">
        <f>'Tax Sched 23'!F5</f>
        <v>309043</v>
      </c>
      <c r="C1793" s="2" t="s">
        <v>568</v>
      </c>
      <c r="D1793" s="2" t="str">
        <f t="shared" si="27"/>
        <v>Error?</v>
      </c>
    </row>
    <row r="1794" spans="1:4" x14ac:dyDescent="0.2">
      <c r="A1794" s="5">
        <v>1733</v>
      </c>
      <c r="B1794" s="1832">
        <f>'Tax Sched 23'!F6</f>
        <v>537260</v>
      </c>
      <c r="C1794" s="2" t="s">
        <v>568</v>
      </c>
      <c r="D1794" s="2" t="str">
        <f t="shared" si="27"/>
        <v>Error?</v>
      </c>
    </row>
    <row r="1795" spans="1:4" x14ac:dyDescent="0.2">
      <c r="A1795" s="5">
        <v>1734</v>
      </c>
      <c r="B1795" s="1832">
        <f>'Tax Sched 23'!F7</f>
        <v>222113</v>
      </c>
      <c r="C1795" s="2" t="s">
        <v>568</v>
      </c>
      <c r="D1795" s="2" t="str">
        <f t="shared" si="27"/>
        <v>Error?</v>
      </c>
    </row>
    <row r="1796" spans="1:4" x14ac:dyDescent="0.2">
      <c r="A1796" s="5">
        <v>1735</v>
      </c>
      <c r="B1796" s="1832">
        <f>'Tax Sched 23'!F8</f>
        <v>977</v>
      </c>
      <c r="C1796" s="2" t="s">
        <v>568</v>
      </c>
      <c r="D1796" s="2" t="str">
        <f t="shared" si="27"/>
        <v>Error?</v>
      </c>
    </row>
    <row r="1797" spans="1:4" x14ac:dyDescent="0.2">
      <c r="A1797" s="5">
        <v>1736</v>
      </c>
      <c r="B1797" s="1832">
        <f>'Tax Sched 23'!F10</f>
        <v>23930</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29010</v>
      </c>
      <c r="C1800" s="2" t="s">
        <v>568</v>
      </c>
      <c r="D1800" s="2" t="str">
        <f t="shared" si="27"/>
        <v>Error?</v>
      </c>
    </row>
    <row r="1801" spans="1:4" x14ac:dyDescent="0.2">
      <c r="A1801" s="5">
        <v>1740</v>
      </c>
      <c r="B1801" s="1832">
        <f>'Tax Sched 23'!F12</f>
        <v>977</v>
      </c>
      <c r="C1801" s="2" t="s">
        <v>568</v>
      </c>
      <c r="D1801" s="2" t="str">
        <f t="shared" si="27"/>
        <v>Error?</v>
      </c>
    </row>
    <row r="1802" spans="1:4" x14ac:dyDescent="0.2">
      <c r="A1802" s="5">
        <v>1741</v>
      </c>
      <c r="B1802" s="1832">
        <f>'Tax Sched 23'!F14</f>
        <v>977</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3240998</v>
      </c>
      <c r="C1807" s="2" t="s">
        <v>568</v>
      </c>
      <c r="D1807" s="2" t="str">
        <f t="shared" si="27"/>
        <v>Error?</v>
      </c>
    </row>
    <row r="1808" spans="1:4" x14ac:dyDescent="0.2">
      <c r="A1808" s="5">
        <v>1747</v>
      </c>
      <c r="B1808" s="1832">
        <f>'Tax Sched 23'!E4</f>
        <v>2096947</v>
      </c>
      <c r="D1808" s="2" t="str">
        <f t="shared" si="27"/>
        <v>Error?</v>
      </c>
    </row>
    <row r="1809" spans="1:4" x14ac:dyDescent="0.2">
      <c r="A1809" s="5">
        <v>1748</v>
      </c>
      <c r="B1809" s="1832">
        <f>'Tax Sched 23'!E5</f>
        <v>313447</v>
      </c>
      <c r="D1809" s="2" t="str">
        <f t="shared" si="27"/>
        <v>Error?</v>
      </c>
    </row>
    <row r="1810" spans="1:4" x14ac:dyDescent="0.2">
      <c r="A1810" s="5">
        <v>1749</v>
      </c>
      <c r="B1810" s="1832">
        <f>'Tax Sched 23'!E6</f>
        <v>544917</v>
      </c>
      <c r="D1810" s="2" t="str">
        <f t="shared" si="27"/>
        <v>Error?</v>
      </c>
    </row>
    <row r="1811" spans="1:4" x14ac:dyDescent="0.2">
      <c r="A1811" s="5">
        <v>1750</v>
      </c>
      <c r="B1811" s="1832">
        <f>'Tax Sched 23'!E7</f>
        <v>225278</v>
      </c>
      <c r="D1811" s="2" t="str">
        <f t="shared" si="27"/>
        <v>Error?</v>
      </c>
    </row>
    <row r="1812" spans="1:4" x14ac:dyDescent="0.2">
      <c r="A1812" s="5">
        <v>1751</v>
      </c>
      <c r="B1812" s="1832">
        <f>'Tax Sched 23'!E8</f>
        <v>991</v>
      </c>
      <c r="D1812" s="2" t="str">
        <f t="shared" si="27"/>
        <v>Error?</v>
      </c>
    </row>
    <row r="1813" spans="1:4" x14ac:dyDescent="0.2">
      <c r="A1813" s="5">
        <v>1752</v>
      </c>
      <c r="B1813" s="1832">
        <f>'Tax Sched 23'!E10</f>
        <v>24271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29423</v>
      </c>
      <c r="D1816" s="2" t="str">
        <f t="shared" si="27"/>
        <v>Error?</v>
      </c>
    </row>
    <row r="1817" spans="1:4" x14ac:dyDescent="0.2">
      <c r="A1817" s="5">
        <v>1756</v>
      </c>
      <c r="B1817" s="1832">
        <f>'Tax Sched 23'!E12</f>
        <v>991</v>
      </c>
      <c r="D1817" s="2" t="str">
        <f t="shared" si="27"/>
        <v>Error?</v>
      </c>
    </row>
    <row r="1818" spans="1:4" x14ac:dyDescent="0.2">
      <c r="A1818" s="5">
        <v>1757</v>
      </c>
      <c r="B1818" s="1832">
        <f>'Tax Sched 23'!E14</f>
        <v>991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3287186</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3513968</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16873</v>
      </c>
      <c r="D1972" s="2" t="str">
        <f t="shared" si="29"/>
        <v>Error?</v>
      </c>
    </row>
    <row r="1973" spans="1:5" x14ac:dyDescent="0.2">
      <c r="A1973" s="5">
        <v>1912</v>
      </c>
      <c r="B1973" s="1832">
        <f>'Rest Tax Levies-Tort Im 25'!H6</f>
        <v>16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16889</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16889</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6100</v>
      </c>
      <c r="D2008" s="2" t="str">
        <f t="shared" si="30"/>
        <v>Error?</v>
      </c>
    </row>
    <row r="2009" spans="1:4" x14ac:dyDescent="0.2">
      <c r="A2009" s="5">
        <v>1948</v>
      </c>
      <c r="B2009" s="1832">
        <f>'Cap Outlay Deprec 26'!C8</f>
        <v>6759137</v>
      </c>
      <c r="D2009" s="2" t="str">
        <f t="shared" si="30"/>
        <v>Error?</v>
      </c>
    </row>
    <row r="2010" spans="1:4" x14ac:dyDescent="0.2">
      <c r="A2010" s="5">
        <v>1949</v>
      </c>
      <c r="B2010" s="1832">
        <f>'Cap Outlay Deprec 26'!C10</f>
        <v>101138</v>
      </c>
      <c r="D2010" s="2" t="str">
        <f t="shared" si="30"/>
        <v>Error?</v>
      </c>
    </row>
    <row r="2011" spans="1:4" x14ac:dyDescent="0.2">
      <c r="A2011" s="5">
        <v>1950</v>
      </c>
      <c r="B2011" s="1832">
        <f>'Cap Outlay Deprec 26'!C12</f>
        <v>294955</v>
      </c>
      <c r="D2011" s="2" t="str">
        <f t="shared" si="30"/>
        <v>Error?</v>
      </c>
    </row>
    <row r="2012" spans="1:4" x14ac:dyDescent="0.2">
      <c r="A2012" s="5">
        <v>1951</v>
      </c>
      <c r="B2012" s="1832">
        <f>'Cap Outlay Deprec 26'!C13</f>
        <v>590516</v>
      </c>
      <c r="D2012" s="2" t="str">
        <f t="shared" si="30"/>
        <v>Error?</v>
      </c>
    </row>
    <row r="2013" spans="1:4" x14ac:dyDescent="0.2">
      <c r="A2013" s="5">
        <v>1952</v>
      </c>
      <c r="B2013" s="1832">
        <f>'Cap Outlay Deprec 26'!C16</f>
        <v>7751846</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502649</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6550</v>
      </c>
      <c r="D2018" s="2" t="str">
        <f t="shared" si="30"/>
        <v>Error?</v>
      </c>
    </row>
    <row r="2019" spans="1:4" x14ac:dyDescent="0.2">
      <c r="A2019" s="5">
        <v>1958</v>
      </c>
      <c r="B2019" s="1832">
        <f>'Cap Outlay Deprec 26'!D16</f>
        <v>509199</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30758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30758</v>
      </c>
      <c r="C2025" s="2" t="s">
        <v>568</v>
      </c>
      <c r="D2025" s="2" t="str">
        <f t="shared" si="30"/>
        <v>Error?</v>
      </c>
    </row>
    <row r="2026" spans="1:4" x14ac:dyDescent="0.2">
      <c r="A2026" s="5">
        <v>1965</v>
      </c>
      <c r="B2026" s="1832">
        <f>'Cap Outlay Deprec 26'!F5</f>
        <v>6100</v>
      </c>
      <c r="C2026" s="2" t="s">
        <v>568</v>
      </c>
      <c r="D2026" s="2" t="str">
        <f t="shared" si="30"/>
        <v>Error?</v>
      </c>
    </row>
    <row r="2027" spans="1:4" x14ac:dyDescent="0.2">
      <c r="A2027" s="5">
        <v>1966</v>
      </c>
      <c r="B2027" s="1832">
        <f>'Cap Outlay Deprec 26'!F8</f>
        <v>7261786</v>
      </c>
      <c r="C2027" s="2" t="s">
        <v>568</v>
      </c>
      <c r="D2027" s="2" t="str">
        <f t="shared" si="30"/>
        <v>Error?</v>
      </c>
    </row>
    <row r="2028" spans="1:4" x14ac:dyDescent="0.2">
      <c r="A2028" s="5">
        <v>1967</v>
      </c>
      <c r="B2028" s="1832">
        <f>'Cap Outlay Deprec 26'!F10</f>
        <v>101138</v>
      </c>
      <c r="C2028" s="2" t="s">
        <v>568</v>
      </c>
      <c r="D2028" s="2" t="str">
        <f t="shared" si="30"/>
        <v>Error?</v>
      </c>
    </row>
    <row r="2029" spans="1:4" x14ac:dyDescent="0.2">
      <c r="A2029" s="5">
        <v>1968</v>
      </c>
      <c r="B2029" s="1832">
        <f>'Cap Outlay Deprec 26'!F12</f>
        <v>264197</v>
      </c>
      <c r="C2029" s="2" t="s">
        <v>568</v>
      </c>
      <c r="D2029" s="2" t="str">
        <f t="shared" si="30"/>
        <v>Error?</v>
      </c>
    </row>
    <row r="2030" spans="1:4" x14ac:dyDescent="0.2">
      <c r="A2030" s="5">
        <v>1969</v>
      </c>
      <c r="B2030" s="1832">
        <f>'Cap Outlay Deprec 26'!F13</f>
        <v>597066</v>
      </c>
      <c r="C2030" s="2" t="s">
        <v>568</v>
      </c>
      <c r="D2030" s="2" t="str">
        <f t="shared" si="30"/>
        <v>Error?</v>
      </c>
    </row>
    <row r="2031" spans="1:4" x14ac:dyDescent="0.2">
      <c r="A2031" s="5">
        <v>1970</v>
      </c>
      <c r="B2031" s="1832">
        <f>'Cap Outlay Deprec 26'!F16</f>
        <v>8230287</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2950578</v>
      </c>
      <c r="D2033" s="2" t="str">
        <f t="shared" si="30"/>
        <v>Error?</v>
      </c>
    </row>
    <row r="2034" spans="1:4" x14ac:dyDescent="0.2">
      <c r="A2034" s="5">
        <v>1973</v>
      </c>
      <c r="B2034" s="1832">
        <f>'Cap Outlay Deprec 26'!H10</f>
        <v>66538</v>
      </c>
      <c r="D2034" s="2" t="str">
        <f t="shared" si="30"/>
        <v>Error?</v>
      </c>
    </row>
    <row r="2035" spans="1:4" x14ac:dyDescent="0.2">
      <c r="A2035" s="5">
        <v>1974</v>
      </c>
      <c r="B2035" s="1832">
        <f>'Cap Outlay Deprec 26'!H12</f>
        <v>72456</v>
      </c>
      <c r="D2035" s="2" t="str">
        <f t="shared" si="30"/>
        <v>Error?</v>
      </c>
    </row>
    <row r="2036" spans="1:4" x14ac:dyDescent="0.2">
      <c r="A2036" s="5">
        <v>1975</v>
      </c>
      <c r="B2036" s="1832">
        <f>'Cap Outlay Deprec 26'!H13</f>
        <v>590041</v>
      </c>
      <c r="D2036" s="2" t="str">
        <f t="shared" si="30"/>
        <v>Error?</v>
      </c>
    </row>
    <row r="2037" spans="1:4" x14ac:dyDescent="0.2">
      <c r="A2037" s="5">
        <v>1976</v>
      </c>
      <c r="B2037" s="1832">
        <f>'Cap Outlay Deprec 26'!H16</f>
        <v>3679613</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130254</v>
      </c>
      <c r="D2039" s="2" t="str">
        <f t="shared" si="30"/>
        <v>Error?</v>
      </c>
    </row>
    <row r="2040" spans="1:4" x14ac:dyDescent="0.2">
      <c r="A2040" s="5">
        <v>1979</v>
      </c>
      <c r="B2040" s="1832">
        <f>'Cap Outlay Deprec 26'!I10</f>
        <v>3489</v>
      </c>
      <c r="D2040" s="2" t="str">
        <f t="shared" si="30"/>
        <v>Error?</v>
      </c>
    </row>
    <row r="2041" spans="1:4" x14ac:dyDescent="0.2">
      <c r="A2041" s="5">
        <v>1980</v>
      </c>
      <c r="B2041" s="1832">
        <f>'Cap Outlay Deprec 26'!I12</f>
        <v>46453</v>
      </c>
      <c r="D2041" s="2" t="str">
        <f t="shared" si="30"/>
        <v>Error?</v>
      </c>
    </row>
    <row r="2042" spans="1:4" x14ac:dyDescent="0.2">
      <c r="A2042" s="5">
        <v>1981</v>
      </c>
      <c r="B2042" s="1832">
        <f>'Cap Outlay Deprec 26'!I13</f>
        <v>1785</v>
      </c>
      <c r="D2042" s="2" t="str">
        <f t="shared" si="30"/>
        <v>Error?</v>
      </c>
    </row>
    <row r="2043" spans="1:4" x14ac:dyDescent="0.2">
      <c r="A2043" s="5">
        <v>1982</v>
      </c>
      <c r="B2043" s="1832">
        <f>'Cap Outlay Deprec 26'!I16</f>
        <v>181981</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30758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30758</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3080832</v>
      </c>
      <c r="C2051" s="2" t="s">
        <v>568</v>
      </c>
      <c r="D2051" s="2" t="str">
        <f t="shared" si="31"/>
        <v>Error?</v>
      </c>
    </row>
    <row r="2052" spans="1:4" x14ac:dyDescent="0.2">
      <c r="A2052" s="5">
        <v>1991</v>
      </c>
      <c r="B2052" s="1832">
        <f>'Cap Outlay Deprec 26'!K10</f>
        <v>70027</v>
      </c>
      <c r="C2052" s="2" t="s">
        <v>568</v>
      </c>
      <c r="D2052" s="2" t="str">
        <f t="shared" si="31"/>
        <v>Error?</v>
      </c>
    </row>
    <row r="2053" spans="1:4" x14ac:dyDescent="0.2">
      <c r="A2053" s="5">
        <v>1992</v>
      </c>
      <c r="B2053" s="1832">
        <f>'Cap Outlay Deprec 26'!K12</f>
        <v>88151</v>
      </c>
      <c r="C2053" s="2" t="s">
        <v>568</v>
      </c>
      <c r="D2053" s="2" t="str">
        <f t="shared" si="31"/>
        <v>Error?</v>
      </c>
    </row>
    <row r="2054" spans="1:4" x14ac:dyDescent="0.2">
      <c r="A2054" s="5">
        <v>1993</v>
      </c>
      <c r="B2054" s="1832">
        <f>'Cap Outlay Deprec 26'!K13</f>
        <v>591826</v>
      </c>
      <c r="C2054" s="2" t="s">
        <v>568</v>
      </c>
      <c r="D2054" s="2" t="str">
        <f t="shared" si="31"/>
        <v>Error?</v>
      </c>
    </row>
    <row r="2055" spans="1:4" x14ac:dyDescent="0.2">
      <c r="A2055" s="5">
        <v>1994</v>
      </c>
      <c r="B2055" s="1832">
        <f>'Cap Outlay Deprec 26'!K16</f>
        <v>3830836</v>
      </c>
      <c r="C2055" s="2" t="s">
        <v>568</v>
      </c>
      <c r="D2055" s="2" t="str">
        <f t="shared" si="31"/>
        <v>Error?</v>
      </c>
    </row>
    <row r="2056" spans="1:4" x14ac:dyDescent="0.2">
      <c r="A2056" s="5">
        <v>1995</v>
      </c>
      <c r="B2056" s="1832">
        <f>'Cap Outlay Deprec 26'!L5</f>
        <v>6100</v>
      </c>
      <c r="C2056" s="2" t="s">
        <v>568</v>
      </c>
      <c r="D2056" s="2" t="str">
        <f t="shared" si="31"/>
        <v>Error?</v>
      </c>
    </row>
    <row r="2057" spans="1:4" x14ac:dyDescent="0.2">
      <c r="A2057" s="5">
        <v>1996</v>
      </c>
      <c r="B2057" s="1832">
        <f>'Cap Outlay Deprec 26'!L8</f>
        <v>4180954</v>
      </c>
      <c r="C2057" s="2" t="s">
        <v>568</v>
      </c>
      <c r="D2057" s="2" t="str">
        <f t="shared" si="31"/>
        <v>Error?</v>
      </c>
    </row>
    <row r="2058" spans="1:4" x14ac:dyDescent="0.2">
      <c r="A2058" s="5">
        <v>1997</v>
      </c>
      <c r="B2058" s="1832">
        <f>'Cap Outlay Deprec 26'!L10</f>
        <v>31111</v>
      </c>
      <c r="C2058" s="2" t="s">
        <v>568</v>
      </c>
      <c r="D2058" s="2" t="str">
        <f t="shared" si="31"/>
        <v>Error?</v>
      </c>
    </row>
    <row r="2059" spans="1:4" x14ac:dyDescent="0.2">
      <c r="A2059" s="5">
        <v>1998</v>
      </c>
      <c r="B2059" s="1832">
        <f>'Cap Outlay Deprec 26'!L12</f>
        <v>176046</v>
      </c>
      <c r="C2059" s="2" t="s">
        <v>568</v>
      </c>
      <c r="D2059" s="2" t="str">
        <f t="shared" si="31"/>
        <v>Error?</v>
      </c>
    </row>
    <row r="2060" spans="1:4" x14ac:dyDescent="0.2">
      <c r="A2060" s="5">
        <v>1999</v>
      </c>
      <c r="B2060" s="1832">
        <f>'Cap Outlay Deprec 26'!L13</f>
        <v>5240</v>
      </c>
      <c r="C2060" s="2" t="s">
        <v>568</v>
      </c>
      <c r="D2060" s="2" t="str">
        <f t="shared" si="31"/>
        <v>Error?</v>
      </c>
    </row>
    <row r="2061" spans="1:4" x14ac:dyDescent="0.2">
      <c r="A2061" s="5">
        <v>2000</v>
      </c>
      <c r="B2061" s="1832">
        <f>'Cap Outlay Deprec 26'!L16</f>
        <v>4399451</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41368</v>
      </c>
      <c r="C2088" s="2" t="s">
        <v>568</v>
      </c>
      <c r="D2088" s="2" t="str">
        <f t="shared" si="31"/>
        <v>Error?</v>
      </c>
    </row>
    <row r="2089" spans="1:4" x14ac:dyDescent="0.2">
      <c r="A2089" s="5">
        <v>2028</v>
      </c>
      <c r="B2089" s="1832">
        <f>'Expenditures 15-22'!K92</f>
        <v>502022</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65000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6408</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18523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65199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1862292</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241264</v>
      </c>
      <c r="C2553" s="2" t="s">
        <v>568</v>
      </c>
      <c r="D2553" s="2" t="str">
        <f t="shared" si="38"/>
        <v>Error?</v>
      </c>
    </row>
    <row r="2554" spans="1:4" x14ac:dyDescent="0.2">
      <c r="A2554" s="5">
        <v>2493</v>
      </c>
      <c r="B2554" s="1832">
        <f>'Acct Summary 7-8'!C7</f>
        <v>118163</v>
      </c>
      <c r="C2554" s="2" t="s">
        <v>568</v>
      </c>
      <c r="D2554" s="2" t="str">
        <f t="shared" si="38"/>
        <v>Error?</v>
      </c>
    </row>
    <row r="2555" spans="1:4" x14ac:dyDescent="0.2">
      <c r="A2555" s="5">
        <v>2494</v>
      </c>
      <c r="B2555" s="1832">
        <f>'Acct Summary 7-8'!C8</f>
        <v>2221719</v>
      </c>
      <c r="C2555" s="2" t="s">
        <v>568</v>
      </c>
      <c r="D2555" s="2" t="str">
        <f t="shared" si="38"/>
        <v>Error?</v>
      </c>
    </row>
    <row r="2556" spans="1:4" x14ac:dyDescent="0.2">
      <c r="A2556" s="5">
        <v>2495</v>
      </c>
      <c r="B2556" s="1832">
        <f>'Acct Summary 7-8'!C12</f>
        <v>911129</v>
      </c>
      <c r="C2556" s="2" t="s">
        <v>568</v>
      </c>
      <c r="D2556" s="2" t="str">
        <f t="shared" si="38"/>
        <v>Error?</v>
      </c>
    </row>
    <row r="2557" spans="1:4" x14ac:dyDescent="0.2">
      <c r="A2557" s="5">
        <v>2496</v>
      </c>
      <c r="B2557" s="1832">
        <f>'Acct Summary 7-8'!C13</f>
        <v>658929</v>
      </c>
      <c r="C2557" s="2" t="s">
        <v>568</v>
      </c>
      <c r="D2557" s="2" t="str">
        <f t="shared" si="38"/>
        <v>Error?</v>
      </c>
    </row>
    <row r="2558" spans="1:4" x14ac:dyDescent="0.2">
      <c r="A2558" s="5">
        <v>2497</v>
      </c>
      <c r="B2558" s="1832">
        <f>'Acct Summary 7-8'!C14</f>
        <v>0</v>
      </c>
      <c r="C2558" s="2" t="s">
        <v>568</v>
      </c>
      <c r="D2558" s="2" t="str">
        <f t="shared" si="38"/>
        <v>Error?</v>
      </c>
    </row>
    <row r="2559" spans="1:4" x14ac:dyDescent="0.2">
      <c r="A2559" s="5">
        <v>2498</v>
      </c>
      <c r="B2559" s="1832">
        <f>'Acct Summary 7-8'!C15</f>
        <v>543390</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2113448</v>
      </c>
      <c r="C2561" s="2" t="s">
        <v>568</v>
      </c>
      <c r="D2561" s="2" t="str">
        <f t="shared" si="39"/>
        <v>Error?</v>
      </c>
    </row>
    <row r="2562" spans="1:4" x14ac:dyDescent="0.2">
      <c r="A2562" s="5">
        <v>2501</v>
      </c>
      <c r="B2562" s="1832">
        <f>'Acct Summary 7-8'!C20</f>
        <v>108271</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243618</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90000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333618</v>
      </c>
      <c r="C2568" s="2" t="s">
        <v>568</v>
      </c>
      <c r="D2568" s="2" t="str">
        <f t="shared" si="39"/>
        <v>Error?</v>
      </c>
    </row>
    <row r="2569" spans="1:4" x14ac:dyDescent="0.2">
      <c r="A2569" s="5">
        <v>2508</v>
      </c>
      <c r="B2569" s="1832">
        <f>'Acct Summary 7-8'!D13</f>
        <v>282559</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282559</v>
      </c>
      <c r="C2573" s="2" t="s">
        <v>568</v>
      </c>
      <c r="D2573" s="2" t="str">
        <f t="shared" si="39"/>
        <v>Error?</v>
      </c>
    </row>
    <row r="2574" spans="1:4" x14ac:dyDescent="0.2">
      <c r="A2574" s="5">
        <v>2513</v>
      </c>
      <c r="B2574" s="1832">
        <f>'Acct Summary 7-8'!D20</f>
        <v>51059</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113350</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96180</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209530</v>
      </c>
      <c r="C2595" s="2" t="s">
        <v>568</v>
      </c>
      <c r="D2595" s="2" t="str">
        <f t="shared" si="39"/>
        <v>Error?</v>
      </c>
    </row>
    <row r="2596" spans="1:4" x14ac:dyDescent="0.2">
      <c r="A2596" s="5">
        <v>2535</v>
      </c>
      <c r="B2596" s="1832">
        <f>'Acct Summary 7-8'!F13</f>
        <v>196642</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196642</v>
      </c>
      <c r="C2600" s="2" t="s">
        <v>568</v>
      </c>
      <c r="D2600" s="2" t="str">
        <f t="shared" si="39"/>
        <v>Error?</v>
      </c>
    </row>
    <row r="2601" spans="1:4" x14ac:dyDescent="0.2">
      <c r="A2601" s="5">
        <v>2540</v>
      </c>
      <c r="B2601" s="1832">
        <f>'Acct Summary 7-8'!F20</f>
        <v>12888</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59304</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59304</v>
      </c>
      <c r="C2606" s="2" t="s">
        <v>568</v>
      </c>
      <c r="D2606" s="2" t="str">
        <f t="shared" si="39"/>
        <v>Error?</v>
      </c>
    </row>
    <row r="2607" spans="1:4" x14ac:dyDescent="0.2">
      <c r="A2607" s="5">
        <v>2546</v>
      </c>
      <c r="B2607" s="1832">
        <f>'Acct Summary 7-8'!G12</f>
        <v>15050</v>
      </c>
      <c r="C2607" s="2" t="s">
        <v>568</v>
      </c>
      <c r="D2607" s="2" t="str">
        <f t="shared" si="39"/>
        <v>Error?</v>
      </c>
    </row>
    <row r="2608" spans="1:4" x14ac:dyDescent="0.2">
      <c r="A2608" s="5">
        <v>2547</v>
      </c>
      <c r="B2608" s="1832">
        <f>'Acct Summary 7-8'!G13</f>
        <v>44226</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59276</v>
      </c>
      <c r="C2612" s="2" t="s">
        <v>568</v>
      </c>
      <c r="D2612" s="2" t="str">
        <f t="shared" si="39"/>
        <v>Error?</v>
      </c>
    </row>
    <row r="2613" spans="1:4" x14ac:dyDescent="0.2">
      <c r="A2613" s="5">
        <v>2552</v>
      </c>
      <c r="B2613" s="1832">
        <f>'Acct Summary 7-8'!G20</f>
        <v>28</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544850</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544850</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548325</v>
      </c>
      <c r="C2634" s="2" t="s">
        <v>568</v>
      </c>
      <c r="D2634" s="2" t="str">
        <f t="shared" si="40"/>
        <v>Error?</v>
      </c>
    </row>
    <row r="2635" spans="1:4" x14ac:dyDescent="0.2">
      <c r="A2635" s="5">
        <v>2574</v>
      </c>
      <c r="B2635" s="1832">
        <f>'Acct Summary 7-8'!E17</f>
        <v>548325</v>
      </c>
      <c r="C2635" s="2" t="s">
        <v>568</v>
      </c>
      <c r="D2635" s="2" t="str">
        <f t="shared" si="40"/>
        <v>Error?</v>
      </c>
    </row>
    <row r="2636" spans="1:4" x14ac:dyDescent="0.2">
      <c r="A2636" s="5">
        <v>2575</v>
      </c>
      <c r="B2636" s="1832">
        <f>'Acct Summary 7-8'!E20</f>
        <v>-3475</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89050</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89050</v>
      </c>
      <c r="C2658" s="2" t="s">
        <v>568</v>
      </c>
      <c r="D2658" s="2" t="str">
        <f t="shared" si="40"/>
        <v>Error?</v>
      </c>
    </row>
    <row r="2659" spans="1:4" x14ac:dyDescent="0.2">
      <c r="A2659" s="5">
        <v>2598</v>
      </c>
      <c r="B2659" s="1832">
        <f>'Acct Summary 7-8'!H13</f>
        <v>555246</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555246</v>
      </c>
      <c r="C2661" s="2" t="s">
        <v>568</v>
      </c>
      <c r="D2661" s="2" t="str">
        <f t="shared" si="40"/>
        <v>Error?</v>
      </c>
    </row>
    <row r="2662" spans="1:4" x14ac:dyDescent="0.2">
      <c r="A2662" s="5">
        <v>2601</v>
      </c>
      <c r="B2662" s="1832">
        <f>'Acct Summary 7-8'!H20</f>
        <v>-466196</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41368</v>
      </c>
      <c r="C2789" s="2" t="s">
        <v>568</v>
      </c>
      <c r="D2789" s="2" t="str">
        <f t="shared" si="42"/>
        <v>Error?</v>
      </c>
    </row>
    <row r="2790" spans="1:4" x14ac:dyDescent="0.2">
      <c r="A2790" s="5">
        <v>2729</v>
      </c>
      <c r="B2790" s="1832">
        <f>'Expenditures 15-22'!E102</f>
        <v>41368</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455692</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9900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111579</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455692</v>
      </c>
      <c r="D2912" s="2" t="str">
        <f t="shared" si="44"/>
        <v>Error?</v>
      </c>
    </row>
    <row r="2913" spans="1:4" x14ac:dyDescent="0.2">
      <c r="A2913" s="5">
        <v>2852</v>
      </c>
      <c r="B2913" s="1832">
        <f>'Assets-Liab 5-6'!I41</f>
        <v>455692</v>
      </c>
      <c r="C2913" s="2" t="s">
        <v>568</v>
      </c>
      <c r="D2913" s="2" t="str">
        <f t="shared" si="44"/>
        <v>Error?</v>
      </c>
    </row>
    <row r="2914" spans="1:4" x14ac:dyDescent="0.2">
      <c r="A2914" s="5">
        <v>2853</v>
      </c>
      <c r="B2914" s="1832">
        <f>'Assets-Liab 5-6'!L33</f>
        <v>111579</v>
      </c>
      <c r="D2914" s="2" t="str">
        <f t="shared" si="44"/>
        <v>Error?</v>
      </c>
    </row>
    <row r="2915" spans="1:4" x14ac:dyDescent="0.2">
      <c r="A2915" s="10">
        <v>2854</v>
      </c>
      <c r="B2915" s="1832"/>
      <c r="D2915" s="2" t="str">
        <f t="shared" si="44"/>
        <v>OK</v>
      </c>
    </row>
    <row r="2916" spans="1:4" x14ac:dyDescent="0.2">
      <c r="A2916" s="5">
        <v>2855</v>
      </c>
      <c r="B2916" s="1832">
        <f>'Assets-Liab 5-6'!L34</f>
        <v>111579</v>
      </c>
      <c r="C2916" s="2" t="s">
        <v>568</v>
      </c>
      <c r="D2916" s="2" t="str">
        <f t="shared" si="44"/>
        <v>Error?</v>
      </c>
    </row>
    <row r="2917" spans="1:4" x14ac:dyDescent="0.2">
      <c r="A2917" s="5">
        <v>2856</v>
      </c>
      <c r="B2917" s="1832">
        <f>'Assets-Liab 5-6'!L41</f>
        <v>111579</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826</v>
      </c>
      <c r="D2949" s="2" t="str">
        <f t="shared" si="45"/>
        <v>Error?</v>
      </c>
    </row>
    <row r="2950" spans="1:4" x14ac:dyDescent="0.2">
      <c r="A2950" s="5">
        <v>2889</v>
      </c>
      <c r="B2950" s="1832">
        <f>'Expenditures 15-22'!E79</f>
        <v>40542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826</v>
      </c>
      <c r="C2973" s="2" t="s">
        <v>568</v>
      </c>
      <c r="D2973" s="2" t="str">
        <f t="shared" si="45"/>
        <v>Error?</v>
      </c>
    </row>
    <row r="2974" spans="1:4" x14ac:dyDescent="0.2">
      <c r="A2974" s="5">
        <v>2913</v>
      </c>
      <c r="B2974" s="1832">
        <f>'Expenditures 15-22'!K79</f>
        <v>40542</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60737</v>
      </c>
      <c r="D3055" s="2" t="str">
        <f t="shared" si="46"/>
        <v>Error?</v>
      </c>
    </row>
    <row r="3056" spans="1:4" x14ac:dyDescent="0.2">
      <c r="A3056" s="5">
        <v>2995</v>
      </c>
      <c r="B3056" s="1832">
        <f>'Expenditures 15-22'!D10</f>
        <v>17124</v>
      </c>
      <c r="D3056" s="2" t="str">
        <f t="shared" si="46"/>
        <v>Error?</v>
      </c>
    </row>
    <row r="3057" spans="1:4" x14ac:dyDescent="0.2">
      <c r="A3057" s="5">
        <v>2996</v>
      </c>
      <c r="B3057" s="1832">
        <f>'Expenditures 15-22'!E10</f>
        <v>535</v>
      </c>
      <c r="D3057" s="2" t="str">
        <f t="shared" si="46"/>
        <v>Error?</v>
      </c>
    </row>
    <row r="3058" spans="1:4" x14ac:dyDescent="0.2">
      <c r="A3058" s="5">
        <v>2997</v>
      </c>
      <c r="B3058" s="1832">
        <f>'Expenditures 15-22'!F10</f>
        <v>2390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80786</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805</v>
      </c>
      <c r="D3064" s="2" t="str">
        <f t="shared" si="46"/>
        <v>Error?</v>
      </c>
    </row>
    <row r="3065" spans="1:4" x14ac:dyDescent="0.2">
      <c r="A3065" s="5">
        <v>3004</v>
      </c>
      <c r="B3065" s="1832">
        <f>'Expenditures 15-22'!K219</f>
        <v>805</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22714</v>
      </c>
      <c r="C3225" s="2" t="s">
        <v>568</v>
      </c>
      <c r="D3225" s="2" t="str">
        <f t="shared" si="49"/>
        <v>Error?</v>
      </c>
    </row>
    <row r="3226" spans="1:4" x14ac:dyDescent="0.2">
      <c r="A3226" s="5">
        <v>3165</v>
      </c>
      <c r="B3226" s="1832">
        <f>'Acct Summary 7-8'!I8</f>
        <v>22714</v>
      </c>
      <c r="C3226" s="2" t="s">
        <v>568</v>
      </c>
      <c r="D3226" s="2" t="str">
        <f t="shared" si="49"/>
        <v>Error?</v>
      </c>
    </row>
    <row r="3227" spans="1:4" x14ac:dyDescent="0.2">
      <c r="A3227" s="5">
        <v>3166</v>
      </c>
      <c r="B3227" s="1832">
        <f>'Acct Summary 7-8'!I20</f>
        <v>22714</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108271</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40000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2976</v>
      </c>
      <c r="C3237" s="2" t="s">
        <v>568</v>
      </c>
      <c r="D3237" s="2" t="str">
        <f t="shared" si="49"/>
        <v>Error?</v>
      </c>
    </row>
    <row r="3238" spans="1:4" x14ac:dyDescent="0.2">
      <c r="A3238" s="5">
        <v>3177</v>
      </c>
      <c r="B3238" s="1832">
        <f>'Acct Summary 7-8'!D77</f>
        <v>37024</v>
      </c>
      <c r="C3238" s="2" t="s">
        <v>568</v>
      </c>
      <c r="D3238" s="2" t="str">
        <f t="shared" si="49"/>
        <v>Error?</v>
      </c>
    </row>
    <row r="3239" spans="1:4" x14ac:dyDescent="0.2">
      <c r="A3239" s="5">
        <v>3178</v>
      </c>
      <c r="B3239" s="1832">
        <f>'Acct Summary 7-8'!D78</f>
        <v>88083</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25000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25000</v>
      </c>
      <c r="C3255" s="2" t="s">
        <v>568</v>
      </c>
      <c r="D3255" s="2" t="str">
        <f t="shared" si="49"/>
        <v>Error?</v>
      </c>
    </row>
    <row r="3256" spans="1:4" x14ac:dyDescent="0.2">
      <c r="A3256" s="5">
        <v>3195</v>
      </c>
      <c r="B3256" s="1832">
        <f>'Acct Summary 7-8'!F78</f>
        <v>37888</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28</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2976</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2976</v>
      </c>
      <c r="C3277" s="2" t="s">
        <v>568</v>
      </c>
      <c r="D3277" s="2" t="str">
        <f t="shared" si="50"/>
        <v>Error?</v>
      </c>
    </row>
    <row r="3278" spans="1:4" x14ac:dyDescent="0.2">
      <c r="A3278" s="5">
        <v>3217</v>
      </c>
      <c r="B3278" s="1832">
        <f>'Acct Summary 7-8'!E78</f>
        <v>-499</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510000</v>
      </c>
      <c r="D3295" s="2" t="str">
        <f t="shared" si="50"/>
        <v>Error?</v>
      </c>
    </row>
    <row r="3296" spans="1:4" x14ac:dyDescent="0.2">
      <c r="A3296" s="5">
        <v>3235</v>
      </c>
      <c r="B3296" s="1832">
        <f>'Acct Summary 7-8'!H44</f>
        <v>510000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510000</v>
      </c>
      <c r="C3299" s="2" t="s">
        <v>568</v>
      </c>
      <c r="D3299" s="2" t="str">
        <f t="shared" si="50"/>
        <v>Error?</v>
      </c>
    </row>
    <row r="3300" spans="1:4" x14ac:dyDescent="0.2">
      <c r="A3300" s="5">
        <v>3239</v>
      </c>
      <c r="B3300" s="1832">
        <f>'Acct Summary 7-8'!H78</f>
        <v>43804</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65000</v>
      </c>
      <c r="C3318" s="2" t="s">
        <v>568</v>
      </c>
      <c r="D3318" s="2" t="str">
        <f t="shared" si="50"/>
        <v>Error?</v>
      </c>
    </row>
    <row r="3319" spans="1:4" x14ac:dyDescent="0.2">
      <c r="A3319" s="5">
        <v>3258</v>
      </c>
      <c r="B3319" s="1832">
        <f>'Acct Summary 7-8'!I77</f>
        <v>-65000</v>
      </c>
      <c r="C3319" s="2" t="s">
        <v>568</v>
      </c>
      <c r="D3319" s="2" t="str">
        <f t="shared" si="50"/>
        <v>Error?</v>
      </c>
    </row>
    <row r="3320" spans="1:4" x14ac:dyDescent="0.2">
      <c r="A3320" s="5">
        <v>3259</v>
      </c>
      <c r="B3320" s="1832">
        <f>'Acct Summary 7-8'!I78</f>
        <v>-42286</v>
      </c>
      <c r="C3320" s="2" t="s">
        <v>568</v>
      </c>
      <c r="D3320" s="2" t="str">
        <f t="shared" si="50"/>
        <v>Error?</v>
      </c>
    </row>
    <row r="3321" spans="1:4" x14ac:dyDescent="0.2">
      <c r="A3321" s="5">
        <v>3260</v>
      </c>
      <c r="B3321" s="1832">
        <f>'Acct Summary 7-8'!I79</f>
        <v>497978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455692</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136349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8956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10161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1525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156991</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7056</v>
      </c>
      <c r="D3387" s="2" t="str">
        <f t="shared" si="51"/>
        <v>Error?</v>
      </c>
    </row>
    <row r="3388" spans="1:4" x14ac:dyDescent="0.2">
      <c r="A3388" s="5">
        <v>3327</v>
      </c>
      <c r="B3388" s="1832">
        <f>'Expenditures 15-22'!D217</f>
        <v>6226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7056</v>
      </c>
      <c r="C3390" s="2" t="s">
        <v>568</v>
      </c>
      <c r="D3390" s="2" t="str">
        <f t="shared" si="51"/>
        <v>Error?</v>
      </c>
    </row>
    <row r="3391" spans="1:4" x14ac:dyDescent="0.2">
      <c r="A3391" s="5">
        <v>3330</v>
      </c>
      <c r="B3391" s="1832">
        <f>'Expenditures 15-22'!K217</f>
        <v>6226</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845602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94949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18391</v>
      </c>
      <c r="D3417" s="2" t="str">
        <f t="shared" si="52"/>
        <v>Error?</v>
      </c>
    </row>
    <row r="3418" spans="1:4" x14ac:dyDescent="0.2">
      <c r="A3418" s="10">
        <v>3357</v>
      </c>
      <c r="B3418" s="1832"/>
      <c r="D3418" s="2" t="str">
        <f t="shared" si="52"/>
        <v>OK</v>
      </c>
    </row>
    <row r="3419" spans="1:4" x14ac:dyDescent="0.2">
      <c r="A3419" s="5">
        <v>3358</v>
      </c>
      <c r="B3419" s="1832">
        <f>'Assets-Liab 5-6'!F4</f>
        <v>100447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124019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65199</v>
      </c>
      <c r="D3425" s="2" t="str">
        <f t="shared" si="52"/>
        <v>Error?</v>
      </c>
    </row>
    <row r="3426" spans="1:4" x14ac:dyDescent="0.2">
      <c r="A3426" s="10">
        <v>3365</v>
      </c>
      <c r="B3426" s="1832"/>
      <c r="D3426" s="2" t="str">
        <f t="shared" si="52"/>
        <v>OK</v>
      </c>
    </row>
    <row r="3427" spans="1:4" x14ac:dyDescent="0.2">
      <c r="A3427" s="5">
        <v>3366</v>
      </c>
      <c r="B3427" s="1832">
        <f>'Assets-Liab 5-6'!I4</f>
        <v>455692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101679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48591</v>
      </c>
      <c r="C3446" s="2" t="s">
        <v>568</v>
      </c>
      <c r="D3446" s="2" t="str">
        <f t="shared" si="52"/>
        <v>Error?</v>
      </c>
    </row>
    <row r="3447" spans="1:4" x14ac:dyDescent="0.2">
      <c r="A3447" s="5">
        <v>3386</v>
      </c>
      <c r="B3447" s="1832">
        <f>'Tax Sched 23'!D16</f>
        <v>47903</v>
      </c>
      <c r="C3447" s="2" t="s">
        <v>568</v>
      </c>
      <c r="D3447" s="2" t="str">
        <f t="shared" si="52"/>
        <v>Error?</v>
      </c>
    </row>
    <row r="3448" spans="1:4" x14ac:dyDescent="0.2">
      <c r="A3448" s="5">
        <v>3387</v>
      </c>
      <c r="B3448" s="1832">
        <f>'Tax Sched 23'!C16</f>
        <v>688</v>
      </c>
      <c r="D3448" s="2" t="str">
        <f t="shared" si="52"/>
        <v>Error?</v>
      </c>
    </row>
    <row r="3449" spans="1:4" x14ac:dyDescent="0.2">
      <c r="A3449" s="5">
        <v>3388</v>
      </c>
      <c r="B3449" s="1832">
        <f>'Tax Sched 23'!F16</f>
        <v>48251</v>
      </c>
      <c r="C3449" s="2" t="s">
        <v>568</v>
      </c>
      <c r="D3449" s="2" t="str">
        <f t="shared" si="52"/>
        <v>Error?</v>
      </c>
    </row>
    <row r="3450" spans="1:4" x14ac:dyDescent="0.2">
      <c r="A3450" s="5">
        <v>3389</v>
      </c>
      <c r="B3450" s="1832">
        <f>'Tax Sched 23'!E16</f>
        <v>48939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33179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33179</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33179</v>
      </c>
      <c r="D3567" s="2" t="str">
        <f t="shared" si="54"/>
        <v>Error?</v>
      </c>
    </row>
    <row r="3568" spans="1:4" x14ac:dyDescent="0.2">
      <c r="A3568" s="5">
        <v>3507</v>
      </c>
      <c r="B3568" s="1832">
        <f>'Assets-Liab 5-6'!K41</f>
        <v>33179</v>
      </c>
      <c r="C3568" s="2" t="s">
        <v>568</v>
      </c>
      <c r="D3568" s="2" t="str">
        <f t="shared" si="54"/>
        <v>Error?</v>
      </c>
    </row>
    <row r="3569" spans="1:4" x14ac:dyDescent="0.2">
      <c r="A3569" s="5">
        <v>3508</v>
      </c>
      <c r="B3569" s="1832">
        <f>'Acct Summary 7-8'!K4</f>
        <v>7806</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7806</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7806</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7806</v>
      </c>
      <c r="C3588" s="2" t="s">
        <v>568</v>
      </c>
      <c r="D3588" s="2" t="str">
        <f t="shared" si="55"/>
        <v>Error?</v>
      </c>
    </row>
    <row r="3589" spans="1:4" x14ac:dyDescent="0.2">
      <c r="A3589" s="5">
        <v>3528</v>
      </c>
      <c r="B3589" s="1832">
        <f>'Acct Summary 7-8'!K79</f>
        <v>25373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33179</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7806</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14417</v>
      </c>
      <c r="C3725" s="2" t="s">
        <v>568</v>
      </c>
      <c r="D3725" s="2" t="str">
        <f t="shared" si="57"/>
        <v>Error?</v>
      </c>
    </row>
    <row r="3726" spans="1:4" x14ac:dyDescent="0.2">
      <c r="A3726" s="5">
        <v>3665</v>
      </c>
      <c r="B3726" s="1832">
        <f>'Tax Sched 23'!D13</f>
        <v>14403</v>
      </c>
      <c r="C3726" s="2" t="s">
        <v>568</v>
      </c>
      <c r="D3726" s="2" t="str">
        <f t="shared" si="57"/>
        <v>Error?</v>
      </c>
    </row>
    <row r="3727" spans="1:4" x14ac:dyDescent="0.2">
      <c r="A3727" s="5">
        <v>3666</v>
      </c>
      <c r="B3727" s="1832">
        <f>'Tax Sched 23'!C13</f>
        <v>14</v>
      </c>
      <c r="D3727" s="2" t="str">
        <f t="shared" si="57"/>
        <v>Error?</v>
      </c>
    </row>
    <row r="3728" spans="1:4" x14ac:dyDescent="0.2">
      <c r="A3728" s="5">
        <v>3667</v>
      </c>
      <c r="B3728" s="1832">
        <f>'Tax Sched 23'!F13</f>
        <v>977</v>
      </c>
      <c r="C3728" s="2" t="s">
        <v>568</v>
      </c>
      <c r="D3728" s="2" t="str">
        <f t="shared" si="57"/>
        <v>Error?</v>
      </c>
    </row>
    <row r="3729" spans="1:4" x14ac:dyDescent="0.2">
      <c r="A3729" s="5">
        <v>3668</v>
      </c>
      <c r="B3729" s="1832">
        <f>'Tax Sched 23'!E13</f>
        <v>991</v>
      </c>
      <c r="D3729" s="2" t="str">
        <f t="shared" si="57"/>
        <v>Error?</v>
      </c>
    </row>
    <row r="3730" spans="1:4" x14ac:dyDescent="0.2">
      <c r="A3730" s="5">
        <v>3669</v>
      </c>
      <c r="B3730" s="1832">
        <f>'ICR Computation 30'!E10</f>
        <v>26459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1022112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3243831</v>
      </c>
      <c r="C4122" s="2" t="s">
        <v>568</v>
      </c>
      <c r="D4122" s="2" t="str">
        <f t="shared" si="63"/>
        <v>Error?</v>
      </c>
    </row>
    <row r="4123" spans="1:4" x14ac:dyDescent="0.2">
      <c r="A4123" s="5">
        <v>4062</v>
      </c>
      <c r="B4123" s="1832">
        <f>'Acct Summary 7-8'!D10</f>
        <v>333618</v>
      </c>
      <c r="C4123" s="2" t="s">
        <v>568</v>
      </c>
      <c r="D4123" s="2" t="str">
        <f t="shared" si="63"/>
        <v>Error?</v>
      </c>
    </row>
    <row r="4124" spans="1:4" x14ac:dyDescent="0.2">
      <c r="A4124" s="5">
        <v>4063</v>
      </c>
      <c r="B4124" s="1832">
        <f>'Acct Summary 7-8'!E10</f>
        <v>544850</v>
      </c>
      <c r="C4124" s="2" t="s">
        <v>568</v>
      </c>
      <c r="D4124" s="2" t="str">
        <f t="shared" si="63"/>
        <v>Error?</v>
      </c>
    </row>
    <row r="4125" spans="1:4" x14ac:dyDescent="0.2">
      <c r="A4125" s="5">
        <v>4064</v>
      </c>
      <c r="B4125" s="1832">
        <f>'Acct Summary 7-8'!F10</f>
        <v>209530</v>
      </c>
      <c r="C4125" s="2" t="s">
        <v>568</v>
      </c>
      <c r="D4125" s="2" t="str">
        <f t="shared" si="63"/>
        <v>Error?</v>
      </c>
    </row>
    <row r="4126" spans="1:4" x14ac:dyDescent="0.2">
      <c r="A4126" s="5">
        <v>4065</v>
      </c>
      <c r="B4126" s="1832">
        <f>'Acct Summary 7-8'!G10</f>
        <v>59304</v>
      </c>
      <c r="C4126" s="2" t="s">
        <v>568</v>
      </c>
      <c r="D4126" s="2" t="str">
        <f t="shared" si="63"/>
        <v>Error?</v>
      </c>
    </row>
    <row r="4127" spans="1:4" x14ac:dyDescent="0.2">
      <c r="A4127" s="5">
        <v>4066</v>
      </c>
      <c r="B4127" s="1832">
        <f>'Acct Summary 7-8'!H10</f>
        <v>89050</v>
      </c>
      <c r="C4127" s="2" t="s">
        <v>568</v>
      </c>
      <c r="D4127" s="2" t="str">
        <f t="shared" si="63"/>
        <v>Error?</v>
      </c>
    </row>
    <row r="4128" spans="1:4" x14ac:dyDescent="0.2">
      <c r="A4128" s="5">
        <v>4067</v>
      </c>
      <c r="B4128" s="1832">
        <f>'Acct Summary 7-8'!I10</f>
        <v>22714</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7806</v>
      </c>
      <c r="C4130" s="2" t="s">
        <v>568</v>
      </c>
      <c r="D4130" s="2" t="str">
        <f t="shared" si="63"/>
        <v>Error?</v>
      </c>
    </row>
    <row r="4131" spans="1:4" x14ac:dyDescent="0.2">
      <c r="A4131" s="5">
        <v>4070</v>
      </c>
      <c r="B4131" s="1832">
        <f>'Acct Summary 7-8'!C18</f>
        <v>1022112</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3135560</v>
      </c>
      <c r="C4136" s="2" t="s">
        <v>568</v>
      </c>
      <c r="D4136" s="2" t="str">
        <f t="shared" si="63"/>
        <v>Error?</v>
      </c>
    </row>
    <row r="4137" spans="1:4" x14ac:dyDescent="0.2">
      <c r="A4137" s="5">
        <v>4076</v>
      </c>
      <c r="B4137" s="1832">
        <f>'Acct Summary 7-8'!D19</f>
        <v>282559</v>
      </c>
      <c r="C4137" s="2" t="s">
        <v>568</v>
      </c>
      <c r="D4137" s="2" t="str">
        <f t="shared" si="63"/>
        <v>Error?</v>
      </c>
    </row>
    <row r="4138" spans="1:4" x14ac:dyDescent="0.2">
      <c r="A4138" s="5">
        <v>4077</v>
      </c>
      <c r="B4138" s="1832">
        <f>'Acct Summary 7-8'!E19</f>
        <v>548325</v>
      </c>
      <c r="C4138" s="2" t="s">
        <v>568</v>
      </c>
      <c r="D4138" s="2" t="str">
        <f t="shared" si="63"/>
        <v>Error?</v>
      </c>
    </row>
    <row r="4139" spans="1:4" x14ac:dyDescent="0.2">
      <c r="A4139" s="5">
        <v>4078</v>
      </c>
      <c r="B4139" s="1832">
        <f>'Acct Summary 7-8'!F19</f>
        <v>196642</v>
      </c>
      <c r="C4139" s="2" t="s">
        <v>568</v>
      </c>
      <c r="D4139" s="2" t="str">
        <f t="shared" si="63"/>
        <v>Error?</v>
      </c>
    </row>
    <row r="4140" spans="1:4" x14ac:dyDescent="0.2">
      <c r="A4140" s="5">
        <v>4079</v>
      </c>
      <c r="B4140" s="1832">
        <f>'Acct Summary 7-8'!G19</f>
        <v>59276</v>
      </c>
      <c r="C4140" s="2" t="s">
        <v>568</v>
      </c>
      <c r="D4140" s="2" t="str">
        <f t="shared" si="63"/>
        <v>Error?</v>
      </c>
    </row>
    <row r="4141" spans="1:4" x14ac:dyDescent="0.2">
      <c r="A4141" s="5">
        <v>4080</v>
      </c>
      <c r="B4141" s="1832">
        <f>'Acct Summary 7-8'!H19</f>
        <v>555246</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3600992</v>
      </c>
      <c r="C4171" s="2" t="s">
        <v>568</v>
      </c>
      <c r="D4171" s="2" t="str">
        <f t="shared" si="64"/>
        <v>Error?</v>
      </c>
    </row>
    <row r="4172" spans="1:4" x14ac:dyDescent="0.2">
      <c r="A4172" s="5">
        <v>4111</v>
      </c>
      <c r="B4172" s="1832">
        <f>'Short-Term Long-Term Debt 24'!J49</f>
        <v>3582601</v>
      </c>
      <c r="C4172" s="2" t="s">
        <v>568</v>
      </c>
      <c r="D4172" s="2" t="str">
        <f t="shared" si="64"/>
        <v>Error?</v>
      </c>
    </row>
    <row r="4173" spans="1:4" x14ac:dyDescent="0.2">
      <c r="A4173" s="5">
        <v>4112</v>
      </c>
      <c r="B4173" s="1832">
        <f>'Short-Term Long-Term Debt 24'!H49</f>
        <v>432976</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520000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4233.3999999999996</v>
      </c>
      <c r="C4265" s="2" t="s">
        <v>568</v>
      </c>
      <c r="D4265" s="2" t="str">
        <f t="shared" si="65"/>
        <v>Error?</v>
      </c>
      <c r="E4265" s="125"/>
    </row>
    <row r="4266" spans="1:5" x14ac:dyDescent="0.2">
      <c r="A4266" s="12">
        <v>4205</v>
      </c>
      <c r="B4266" s="1832">
        <f>('FP Info 3'!F10)*100000</f>
        <v>632.80000000000007</v>
      </c>
      <c r="C4266" s="2" t="s">
        <v>568</v>
      </c>
      <c r="D4266" s="2" t="str">
        <f t="shared" si="65"/>
        <v>Error?</v>
      </c>
      <c r="E4266" s="125"/>
    </row>
    <row r="4267" spans="1:5" x14ac:dyDescent="0.2">
      <c r="A4267" s="12">
        <v>4206</v>
      </c>
      <c r="B4267" s="1832">
        <f>('FP Info 3'!H10)*100000</f>
        <v>454.8</v>
      </c>
      <c r="C4267" s="2" t="s">
        <v>568</v>
      </c>
      <c r="D4267" s="2" t="str">
        <f t="shared" si="65"/>
        <v>Error?</v>
      </c>
      <c r="E4267" s="125"/>
    </row>
    <row r="4268" spans="1:5" x14ac:dyDescent="0.2">
      <c r="A4268" s="12">
        <v>4207</v>
      </c>
      <c r="B4268" s="1832">
        <f>('FP Info 3'!J10)*100000</f>
        <v>5321</v>
      </c>
      <c r="C4268" s="2" t="s">
        <v>568</v>
      </c>
      <c r="D4268" s="2" t="str">
        <f t="shared" si="65"/>
        <v>Error?</v>
      </c>
    </row>
    <row r="4269" spans="1:5" x14ac:dyDescent="0.2">
      <c r="A4269" s="12">
        <v>4208</v>
      </c>
      <c r="B4269" s="1832">
        <f>'FP Info 3'!J16</f>
        <v>1496690</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4275</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2247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1782</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8466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49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1679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12314</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49533393</v>
      </c>
      <c r="D4995" s="2" t="str">
        <f t="shared" si="77"/>
        <v>Error?</v>
      </c>
    </row>
    <row r="4996" spans="1:4" x14ac:dyDescent="0.2">
      <c r="A4996" s="12">
        <v>4935</v>
      </c>
      <c r="B4996" s="1832">
        <f>'FP Info 3'!H31</f>
        <v>6835608.2340000002</v>
      </c>
      <c r="D4996" s="2" t="str">
        <f t="shared" si="77"/>
        <v>Error?</v>
      </c>
    </row>
    <row r="4997" spans="1:4" x14ac:dyDescent="0.2">
      <c r="A4997" s="12">
        <v>4936</v>
      </c>
      <c r="B4997" s="1832">
        <f>'FP Info 3'!H37</f>
        <v>3600992</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14417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1665042</v>
      </c>
      <c r="D5061" s="2" t="str">
        <f t="shared" si="78"/>
        <v>Error?</v>
      </c>
    </row>
    <row r="5062" spans="1:4" x14ac:dyDescent="0.2">
      <c r="A5062" s="10">
        <v>5001</v>
      </c>
      <c r="B5062" s="1832"/>
      <c r="D5062" s="2" t="str">
        <f t="shared" si="78"/>
        <v>OK</v>
      </c>
    </row>
    <row r="5063" spans="1:4" x14ac:dyDescent="0.2">
      <c r="A5063" s="5">
        <v>5002</v>
      </c>
      <c r="B5063" s="1832">
        <f>'Revenues 9-14'!C7</f>
        <v>16873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1696332</v>
      </c>
      <c r="C5066" s="2" t="s">
        <v>568</v>
      </c>
      <c r="D5066" s="2" t="str">
        <f t="shared" si="78"/>
        <v>Error?</v>
      </c>
    </row>
    <row r="5067" spans="1:4" x14ac:dyDescent="0.2">
      <c r="A5067" s="5">
        <v>5006</v>
      </c>
      <c r="B5067" s="1832">
        <f>'Revenues 9-14'!C14</f>
        <v>189</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60637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60826</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8822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8822</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2835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15208</v>
      </c>
      <c r="C5096" s="2" t="s">
        <v>568</v>
      </c>
      <c r="D5096" s="2" t="str">
        <f t="shared" si="78"/>
        <v>Error?</v>
      </c>
    </row>
    <row r="5097" spans="1:4" x14ac:dyDescent="0.2">
      <c r="A5097" s="5">
        <v>5036</v>
      </c>
      <c r="B5097" s="1832">
        <f>'Revenues 9-14'!C77</f>
        <v>3490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157</v>
      </c>
      <c r="D5101" s="2" t="str">
        <f t="shared" si="78"/>
        <v>Error?</v>
      </c>
    </row>
    <row r="5102" spans="1:4" x14ac:dyDescent="0.2">
      <c r="A5102" s="5">
        <v>5041</v>
      </c>
      <c r="B5102" s="1832">
        <f>'Revenues 9-14'!C82</f>
        <v>3647</v>
      </c>
      <c r="C5102" s="2" t="s">
        <v>568</v>
      </c>
      <c r="D5102" s="2" t="str">
        <f t="shared" si="78"/>
        <v>Error?</v>
      </c>
    </row>
    <row r="5103" spans="1:4" x14ac:dyDescent="0.2">
      <c r="A5103" s="5">
        <v>5042</v>
      </c>
      <c r="B5103" s="1832">
        <f>'Revenues 9-14'!C84</f>
        <v>4760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50</v>
      </c>
      <c r="D5111" s="2" t="str">
        <f t="shared" si="78"/>
        <v>Error?</v>
      </c>
    </row>
    <row r="5112" spans="1:4" x14ac:dyDescent="0.2">
      <c r="A5112" s="5">
        <v>5051</v>
      </c>
      <c r="B5112" s="1832">
        <f>'Revenues 9-14'!C93</f>
        <v>4810</v>
      </c>
      <c r="C5112" s="2" t="s">
        <v>568</v>
      </c>
      <c r="D5112" s="2" t="str">
        <f t="shared" si="78"/>
        <v>Error?</v>
      </c>
    </row>
    <row r="5113" spans="1:4" x14ac:dyDescent="0.2">
      <c r="A5113" s="5">
        <v>5052</v>
      </c>
      <c r="B5113" s="1832">
        <f>'Revenues 9-14'!C95</f>
        <v>668</v>
      </c>
      <c r="D5113" s="2" t="str">
        <f t="shared" si="78"/>
        <v>Error?</v>
      </c>
    </row>
    <row r="5114" spans="1:4" x14ac:dyDescent="0.2">
      <c r="A5114" s="5">
        <v>5053</v>
      </c>
      <c r="B5114" s="1832">
        <f>'Revenues 9-14'!C96</f>
        <v>809</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6297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20</v>
      </c>
      <c r="D5119" s="2" t="str">
        <f t="shared" ref="D5119:D5182" si="79">IF(ISBLANK(B5119),"OK",IF(A5119-B5119=0,"OK","Error?"))</f>
        <v>Error?</v>
      </c>
    </row>
    <row r="5120" spans="1:4" x14ac:dyDescent="0.2">
      <c r="A5120" s="5">
        <v>5059</v>
      </c>
      <c r="B5120" s="1832">
        <f>'Revenues 9-14'!C108</f>
        <v>72647</v>
      </c>
      <c r="C5120" s="2" t="s">
        <v>568</v>
      </c>
      <c r="D5120" s="2" t="str">
        <f t="shared" si="79"/>
        <v>Error?</v>
      </c>
    </row>
    <row r="5121" spans="1:4" x14ac:dyDescent="0.2">
      <c r="A5121" s="5">
        <v>5060</v>
      </c>
      <c r="B5121" s="1832">
        <f>'Revenues 9-14'!C109</f>
        <v>1862292</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238471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238471</v>
      </c>
      <c r="C5132" s="2" t="s">
        <v>568</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281</v>
      </c>
      <c r="D5167" s="2" t="str">
        <f t="shared" si="79"/>
        <v>Error?</v>
      </c>
    </row>
    <row r="5168" spans="1:4" x14ac:dyDescent="0.2">
      <c r="A5168" s="5">
        <v>5107</v>
      </c>
      <c r="B5168" s="1832">
        <f>'Revenues 9-14'!C148</f>
        <v>1762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2793</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241264</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12314</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22992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5913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28905</v>
      </c>
      <c r="C5246" s="2" t="s">
        <v>568</v>
      </c>
      <c r="D5246" s="2" t="str">
        <f t="shared" si="80"/>
        <v>Error?</v>
      </c>
    </row>
    <row r="5247" spans="1:4" x14ac:dyDescent="0.2">
      <c r="A5247" s="5">
        <v>5186</v>
      </c>
      <c r="B5247" s="1832">
        <f>'Revenues 9-14'!C200</f>
        <v>50174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54449</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105849</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118163</v>
      </c>
      <c r="C5326" s="2" t="s">
        <v>568</v>
      </c>
      <c r="D5326" s="2" t="str">
        <f t="shared" si="82"/>
        <v>Error?</v>
      </c>
    </row>
    <row r="5327" spans="1:5" x14ac:dyDescent="0.2">
      <c r="A5327" s="5">
        <v>5266</v>
      </c>
      <c r="B5327" s="1832">
        <f>'Revenues 9-14'!C268</f>
        <v>2221719</v>
      </c>
      <c r="C5327" s="2" t="s">
        <v>568</v>
      </c>
      <c r="D5327" s="2" t="str">
        <f t="shared" si="82"/>
        <v>Error?</v>
      </c>
    </row>
    <row r="5328" spans="1:5" x14ac:dyDescent="0.2">
      <c r="A5328" s="5">
        <v>5267</v>
      </c>
      <c r="B5328" s="1832">
        <f>'Revenues 9-14'!D5</f>
        <v>234574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234574</v>
      </c>
      <c r="C5334" s="2" t="s">
        <v>568</v>
      </c>
      <c r="D5334" s="2" t="str">
        <f t="shared" si="82"/>
        <v>Error?</v>
      </c>
    </row>
    <row r="5335" spans="1:4" x14ac:dyDescent="0.2">
      <c r="A5335" s="5">
        <v>5274</v>
      </c>
      <c r="B5335" s="1832">
        <f>'Revenues 9-14'!D14</f>
        <v>26</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v>
      </c>
      <c r="C5339" s="2" t="s">
        <v>568</v>
      </c>
      <c r="D5339" s="2" t="str">
        <f t="shared" si="82"/>
        <v>Error?</v>
      </c>
    </row>
    <row r="5340" spans="1:4" x14ac:dyDescent="0.2">
      <c r="A5340" s="5">
        <v>5279</v>
      </c>
      <c r="B5340" s="1832">
        <f>'Revenues 9-14'!D65</f>
        <v>519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519</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1352</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7147</v>
      </c>
      <c r="D5354" s="2" t="str">
        <f t="shared" si="82"/>
        <v>Error?</v>
      </c>
    </row>
    <row r="5355" spans="1:4" x14ac:dyDescent="0.2">
      <c r="A5355" s="5">
        <v>5294</v>
      </c>
      <c r="B5355" s="1832">
        <f>'Revenues 9-14'!D108</f>
        <v>8499</v>
      </c>
      <c r="C5355" s="2" t="s">
        <v>568</v>
      </c>
      <c r="D5355" s="2" t="str">
        <f t="shared" si="82"/>
        <v>Error?</v>
      </c>
    </row>
    <row r="5356" spans="1:4" x14ac:dyDescent="0.2">
      <c r="A5356" s="5">
        <v>5295</v>
      </c>
      <c r="B5356" s="1832">
        <f>'Revenues 9-14'!D109</f>
        <v>243618</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40000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40000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90000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333618</v>
      </c>
      <c r="C5508" s="2" t="s">
        <v>568</v>
      </c>
      <c r="D5508" s="2" t="str">
        <f t="shared" si="85"/>
        <v>Error?</v>
      </c>
    </row>
    <row r="5509" spans="1:4" x14ac:dyDescent="0.2">
      <c r="A5509" s="5">
        <v>5448</v>
      </c>
      <c r="B5509" s="1832">
        <f>'Revenues 9-14'!E5</f>
        <v>543857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543857</v>
      </c>
      <c r="C5513" s="2" t="s">
        <v>568</v>
      </c>
      <c r="D5513" s="2" t="str">
        <f t="shared" si="85"/>
        <v>Error?</v>
      </c>
    </row>
    <row r="5514" spans="1:4" x14ac:dyDescent="0.2">
      <c r="A5514" s="5">
        <v>5453</v>
      </c>
      <c r="B5514" s="1832">
        <f>'Revenues 9-14'!E14</f>
        <v>60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60</v>
      </c>
      <c r="C5518" s="2" t="s">
        <v>568</v>
      </c>
      <c r="D5518" s="2" t="str">
        <f t="shared" si="85"/>
        <v>Error?</v>
      </c>
    </row>
    <row r="5519" spans="1:4" x14ac:dyDescent="0.2">
      <c r="A5519" s="5">
        <v>5458</v>
      </c>
      <c r="B5519" s="1832">
        <f>'Revenues 9-14'!E65</f>
        <v>933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933</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544850</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544850</v>
      </c>
      <c r="C5552" s="2" t="s">
        <v>568</v>
      </c>
      <c r="D5552" s="2" t="str">
        <f t="shared" si="85"/>
        <v>Error?</v>
      </c>
    </row>
    <row r="5553" spans="1:4" x14ac:dyDescent="0.2">
      <c r="A5553" s="5">
        <v>5492</v>
      </c>
      <c r="B5553" s="1832">
        <f>'Revenues 9-14'!F5</f>
        <v>112986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112986</v>
      </c>
      <c r="C5557" s="2" t="s">
        <v>568</v>
      </c>
      <c r="D5557" s="2" t="str">
        <f t="shared" si="85"/>
        <v>Error?</v>
      </c>
    </row>
    <row r="5558" spans="1:4" x14ac:dyDescent="0.2">
      <c r="A5558" s="5">
        <v>5497</v>
      </c>
      <c r="B5558" s="1832">
        <f>'Revenues 9-14'!F14</f>
        <v>12</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12</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352</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352</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568</v>
      </c>
      <c r="D5587" s="2" t="str">
        <f t="shared" si="86"/>
        <v>Error?</v>
      </c>
    </row>
    <row r="5588" spans="1:4" x14ac:dyDescent="0.2">
      <c r="A5588" s="5">
        <v>5527</v>
      </c>
      <c r="B5588" s="1832">
        <f>'Revenues 9-14'!F109</f>
        <v>113350</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5000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5000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56906</v>
      </c>
      <c r="D5615" s="2" t="str">
        <f t="shared" si="86"/>
        <v>Error?</v>
      </c>
    </row>
    <row r="5616" spans="1:4" x14ac:dyDescent="0.2">
      <c r="A5616" s="10">
        <v>5555</v>
      </c>
      <c r="B5616" s="1832"/>
      <c r="D5616" s="2" t="str">
        <f t="shared" si="86"/>
        <v>OK</v>
      </c>
    </row>
    <row r="5617" spans="1:5" x14ac:dyDescent="0.2">
      <c r="A5617" s="5">
        <v>5556</v>
      </c>
      <c r="B5617" s="1832">
        <f>'Revenues 9-14'!F153</f>
        <v>34274</v>
      </c>
      <c r="D5617" s="2" t="str">
        <f t="shared" si="86"/>
        <v>Error?</v>
      </c>
    </row>
    <row r="5618" spans="1:5" x14ac:dyDescent="0.2">
      <c r="A5618" s="5">
        <v>5557</v>
      </c>
      <c r="B5618" s="1832">
        <f>'Revenues 9-14'!F155</f>
        <v>91180</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91180</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96180</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209530</v>
      </c>
      <c r="C5720" s="2" t="s">
        <v>568</v>
      </c>
      <c r="D5720" s="2" t="str">
        <f t="shared" si="88"/>
        <v>Error?</v>
      </c>
    </row>
    <row r="5721" spans="1:4" x14ac:dyDescent="0.2">
      <c r="A5721" s="5">
        <v>5660</v>
      </c>
      <c r="B5721" s="1832">
        <f>'Revenues 9-14'!G5</f>
        <v>90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48591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48681</v>
      </c>
      <c r="C5725" s="2" t="s">
        <v>568</v>
      </c>
      <c r="D5725" s="2" t="str">
        <f t="shared" si="88"/>
        <v>Error?</v>
      </c>
    </row>
    <row r="5726" spans="1:4" x14ac:dyDescent="0.2">
      <c r="A5726" s="5">
        <v>5665</v>
      </c>
      <c r="B5726" s="1832">
        <f>'Revenues 9-14'!G14</f>
        <v>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10005</v>
      </c>
      <c r="C5730" s="2" t="s">
        <v>568</v>
      </c>
      <c r="D5730" s="2" t="str">
        <f t="shared" si="88"/>
        <v>Error?</v>
      </c>
    </row>
    <row r="5731" spans="1:4" x14ac:dyDescent="0.2">
      <c r="A5731" s="5">
        <v>5670</v>
      </c>
      <c r="B5731" s="1832">
        <f>'Revenues 9-14'!G65</f>
        <v>618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618</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59304</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591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591</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88459</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89050</v>
      </c>
      <c r="C5915" s="2" t="s">
        <v>568</v>
      </c>
      <c r="D5915" s="2" t="str">
        <f t="shared" si="91"/>
        <v>Error?</v>
      </c>
    </row>
    <row r="5916" spans="1:4" x14ac:dyDescent="0.2">
      <c r="A5916" s="5">
        <v>5855</v>
      </c>
      <c r="B5916" s="1832">
        <f>'Revenues 9-14'!I5</f>
        <v>20421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20421</v>
      </c>
      <c r="C5918" s="2" t="s">
        <v>568</v>
      </c>
      <c r="D5918" s="2" t="str">
        <f t="shared" si="91"/>
        <v>Error?</v>
      </c>
    </row>
    <row r="5919" spans="1:4" x14ac:dyDescent="0.2">
      <c r="A5919" s="5">
        <v>5858</v>
      </c>
      <c r="B5919" s="1832">
        <f>'Revenues 9-14'!I14</f>
        <v>2</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v>
      </c>
      <c r="C5923" s="2" t="s">
        <v>568</v>
      </c>
      <c r="D5923" s="2" t="str">
        <f t="shared" si="91"/>
        <v>Error?</v>
      </c>
    </row>
    <row r="5924" spans="1:4" x14ac:dyDescent="0.2">
      <c r="A5924" s="5">
        <v>5863</v>
      </c>
      <c r="B5924" s="1832">
        <f>'Revenues 9-14'!I65</f>
        <v>2291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2291</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22714</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7663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7663</v>
      </c>
      <c r="C5987" s="2" t="s">
        <v>568</v>
      </c>
      <c r="D5987" s="2" t="str">
        <f t="shared" si="92"/>
        <v>Error?</v>
      </c>
    </row>
    <row r="5988" spans="1:4" x14ac:dyDescent="0.2">
      <c r="A5988" s="5">
        <v>5927</v>
      </c>
      <c r="B5988" s="1832">
        <f>'Revenues 9-14'!K14</f>
        <v>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v>
      </c>
      <c r="C5992" s="2" t="s">
        <v>568</v>
      </c>
      <c r="D5992" s="2" t="str">
        <f t="shared" si="92"/>
        <v>Error?</v>
      </c>
    </row>
    <row r="5993" spans="1:4" x14ac:dyDescent="0.2">
      <c r="A5993" s="5">
        <v>5932</v>
      </c>
      <c r="B5993" s="1832">
        <f>'Revenues 9-14'!K65</f>
        <v>142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142</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7806</v>
      </c>
      <c r="C6023" s="2" t="s">
        <v>568</v>
      </c>
      <c r="D6023" s="2" t="str">
        <f t="shared" si="93"/>
        <v>Error?</v>
      </c>
    </row>
    <row r="6024" spans="1:5" x14ac:dyDescent="0.2">
      <c r="A6024" s="5">
        <v>5963</v>
      </c>
      <c r="B6024" s="1832">
        <f>'Revenues 9-14'!G109</f>
        <v>59304</v>
      </c>
      <c r="C6024" s="2" t="s">
        <v>568</v>
      </c>
      <c r="D6024" s="2" t="str">
        <f t="shared" si="93"/>
        <v>Error?</v>
      </c>
    </row>
    <row r="6025" spans="1:5" x14ac:dyDescent="0.2">
      <c r="A6025" s="5">
        <v>5964</v>
      </c>
      <c r="B6025" s="1832">
        <f>'Revenues 9-14'!H109</f>
        <v>89050</v>
      </c>
      <c r="C6025" s="2" t="s">
        <v>568</v>
      </c>
      <c r="D6025" s="2" t="str">
        <f t="shared" si="93"/>
        <v>Error?</v>
      </c>
    </row>
    <row r="6026" spans="1:5" x14ac:dyDescent="0.2">
      <c r="A6026" s="5">
        <v>5965</v>
      </c>
      <c r="B6026" s="1832">
        <f>'Revenues 9-14'!I109</f>
        <v>22714</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7806</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12373</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6465</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149.9</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43114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43114</v>
      </c>
      <c r="D6215" s="2" t="str">
        <f t="shared" si="96"/>
        <v>Error?</v>
      </c>
      <c r="E6215" s="2" t="s">
        <v>189</v>
      </c>
    </row>
    <row r="6216" spans="1:5" x14ac:dyDescent="0.2">
      <c r="A6216">
        <v>6155</v>
      </c>
      <c r="B6216" s="1832">
        <f>'Assets-Liab 5-6'!J41</f>
        <v>43114</v>
      </c>
      <c r="D6216" s="2" t="str">
        <f t="shared" si="96"/>
        <v>Error?</v>
      </c>
      <c r="E6216" s="2" t="s">
        <v>189</v>
      </c>
    </row>
    <row r="6217" spans="1:5" x14ac:dyDescent="0.2">
      <c r="A6217">
        <v>6156</v>
      </c>
      <c r="B6217" s="1832">
        <f>'Assets-Liab 5-6'!J4</f>
        <v>43114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156700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156700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156700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134915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134915</v>
      </c>
      <c r="D6229" s="2" t="str">
        <f t="shared" si="96"/>
        <v>Error?</v>
      </c>
      <c r="E6229" s="2" t="s">
        <v>189</v>
      </c>
    </row>
    <row r="6230" spans="1:5" x14ac:dyDescent="0.2">
      <c r="A6230">
        <v>6169</v>
      </c>
      <c r="B6230" s="1832">
        <f>'Acct Summary 7-8'!J20</f>
        <v>21785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2976</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21785</v>
      </c>
      <c r="D6263" s="2" t="str">
        <f t="shared" si="96"/>
        <v>Error?</v>
      </c>
      <c r="E6263" s="2" t="s">
        <v>189</v>
      </c>
    </row>
    <row r="6264" spans="1:5" x14ac:dyDescent="0.2">
      <c r="A6264">
        <v>6203</v>
      </c>
      <c r="B6264" s="1832">
        <f>'Acct Summary 7-8'!J79</f>
        <v>21329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43114</v>
      </c>
      <c r="D6266" s="2" t="str">
        <f t="shared" si="96"/>
        <v>Error?</v>
      </c>
      <c r="E6266" s="2" t="s">
        <v>189</v>
      </c>
    </row>
    <row r="6267" spans="1:5" x14ac:dyDescent="0.2">
      <c r="A6267">
        <v>6206</v>
      </c>
      <c r="B6267" s="1832">
        <f>'Acct Summary 7-8'!C82</f>
        <v>108271</v>
      </c>
      <c r="D6267" s="2" t="str">
        <f t="shared" si="96"/>
        <v>Error?</v>
      </c>
      <c r="E6267" s="2" t="s">
        <v>189</v>
      </c>
    </row>
    <row r="6268" spans="1:5" x14ac:dyDescent="0.2">
      <c r="A6268">
        <v>6207</v>
      </c>
      <c r="B6268" s="1832">
        <f>'Acct Summary 7-8'!D82</f>
        <v>88083</v>
      </c>
      <c r="D6268" s="2" t="str">
        <f t="shared" si="96"/>
        <v>Error?</v>
      </c>
      <c r="E6268" s="2" t="s">
        <v>189</v>
      </c>
    </row>
    <row r="6269" spans="1:5" x14ac:dyDescent="0.2">
      <c r="A6269">
        <v>6208</v>
      </c>
      <c r="B6269" s="1832">
        <f>'Acct Summary 7-8'!E82</f>
        <v>-499</v>
      </c>
      <c r="D6269" s="2" t="str">
        <f t="shared" si="96"/>
        <v>Error?</v>
      </c>
      <c r="E6269" s="2" t="s">
        <v>189</v>
      </c>
    </row>
    <row r="6270" spans="1:5" x14ac:dyDescent="0.2">
      <c r="A6270">
        <v>6209</v>
      </c>
      <c r="B6270" s="1832">
        <f>'Acct Summary 7-8'!F82</f>
        <v>37888</v>
      </c>
      <c r="D6270" s="2" t="str">
        <f t="shared" si="96"/>
        <v>Error?</v>
      </c>
      <c r="E6270" s="2" t="s">
        <v>189</v>
      </c>
    </row>
    <row r="6271" spans="1:5" x14ac:dyDescent="0.2">
      <c r="A6271">
        <v>6210</v>
      </c>
      <c r="B6271" s="1832">
        <f>'Acct Summary 7-8'!G82</f>
        <v>28</v>
      </c>
      <c r="D6271" s="2" t="str">
        <f t="shared" ref="D6271:D6334" si="97">IF(ISBLANK(B6271),"OK",IF(A6271-B6271=0,"OK","Error?"))</f>
        <v>Error?</v>
      </c>
      <c r="E6271" s="2" t="s">
        <v>189</v>
      </c>
    </row>
    <row r="6272" spans="1:5" x14ac:dyDescent="0.2">
      <c r="A6272">
        <v>6211</v>
      </c>
      <c r="B6272" s="1832">
        <f>'Acct Summary 7-8'!H82</f>
        <v>43804</v>
      </c>
      <c r="D6272" s="2" t="str">
        <f t="shared" si="97"/>
        <v>Error?</v>
      </c>
      <c r="E6272" s="2" t="s">
        <v>189</v>
      </c>
    </row>
    <row r="6273" spans="1:5" x14ac:dyDescent="0.2">
      <c r="A6273">
        <v>6212</v>
      </c>
      <c r="B6273" s="1832">
        <f>'Acct Summary 7-8'!I82</f>
        <v>-42286</v>
      </c>
      <c r="D6273" s="2" t="str">
        <f t="shared" si="97"/>
        <v>Error?</v>
      </c>
      <c r="E6273" s="2" t="s">
        <v>189</v>
      </c>
    </row>
    <row r="6274" spans="1:5" x14ac:dyDescent="0.2">
      <c r="A6274">
        <v>6213</v>
      </c>
      <c r="B6274" s="1832">
        <f>'Acct Summary 7-8'!J82</f>
        <v>21785</v>
      </c>
      <c r="D6274" s="2" t="str">
        <f t="shared" si="97"/>
        <v>Error?</v>
      </c>
      <c r="E6274" s="2" t="s">
        <v>189</v>
      </c>
    </row>
    <row r="6275" spans="1:5" x14ac:dyDescent="0.2">
      <c r="A6275">
        <v>6214</v>
      </c>
      <c r="B6275" s="1832">
        <f>'Acct Summary 7-8'!K82</f>
        <v>7806</v>
      </c>
      <c r="D6275" s="2" t="str">
        <f t="shared" si="97"/>
        <v>Error?</v>
      </c>
      <c r="E6275" s="2" t="s">
        <v>189</v>
      </c>
    </row>
    <row r="6276" spans="1:5" x14ac:dyDescent="0.2">
      <c r="A6276">
        <v>6215</v>
      </c>
      <c r="B6276" s="1832">
        <f>'Acct Summary 7-8'!C83</f>
        <v>0.12804014181612627</v>
      </c>
      <c r="D6276" s="2" t="str">
        <f t="shared" si="97"/>
        <v>Error?</v>
      </c>
      <c r="E6276" s="2" t="s">
        <v>189</v>
      </c>
    </row>
    <row r="6277" spans="1:5" x14ac:dyDescent="0.2">
      <c r="A6277">
        <v>6216</v>
      </c>
      <c r="B6277" s="1832">
        <f>'Acct Summary 7-8'!D83</f>
        <v>0.92768749539226325</v>
      </c>
      <c r="D6277" s="2" t="str">
        <f t="shared" si="97"/>
        <v>Error?</v>
      </c>
      <c r="E6277" s="2" t="s">
        <v>189</v>
      </c>
    </row>
    <row r="6278" spans="1:5" x14ac:dyDescent="0.2">
      <c r="A6278">
        <v>6217</v>
      </c>
      <c r="B6278" s="1832">
        <f>'Acct Summary 7-8'!E83</f>
        <v>-2.7132836713609918E-2</v>
      </c>
      <c r="D6278" s="2" t="str">
        <f t="shared" si="97"/>
        <v>Error?</v>
      </c>
      <c r="E6278" s="2" t="s">
        <v>189</v>
      </c>
    </row>
    <row r="6279" spans="1:5" x14ac:dyDescent="0.2">
      <c r="A6279">
        <v>6218</v>
      </c>
      <c r="B6279" s="1832">
        <f>'Acct Summary 7-8'!F83</f>
        <v>0.37719394307445719</v>
      </c>
      <c r="D6279" s="2" t="str">
        <f t="shared" si="97"/>
        <v>Error?</v>
      </c>
      <c r="E6279" s="2" t="s">
        <v>189</v>
      </c>
    </row>
    <row r="6280" spans="1:5" x14ac:dyDescent="0.2">
      <c r="A6280">
        <v>6219</v>
      </c>
      <c r="B6280" s="1832">
        <f>'Acct Summary 7-8'!G83</f>
        <v>2.257718575379579E-4</v>
      </c>
      <c r="D6280" s="2" t="str">
        <f t="shared" si="97"/>
        <v>Error?</v>
      </c>
      <c r="E6280" s="2" t="s">
        <v>189</v>
      </c>
    </row>
    <row r="6281" spans="1:5" x14ac:dyDescent="0.2">
      <c r="A6281">
        <v>6220</v>
      </c>
      <c r="B6281" s="1832">
        <f>'Acct Summary 7-8'!H83</f>
        <v>0.67185079525759595</v>
      </c>
      <c r="D6281" s="2" t="str">
        <f t="shared" si="97"/>
        <v>Error?</v>
      </c>
      <c r="E6281" s="2" t="s">
        <v>189</v>
      </c>
    </row>
    <row r="6282" spans="1:5" x14ac:dyDescent="0.2">
      <c r="A6282">
        <v>6221</v>
      </c>
      <c r="B6282" s="1832">
        <f>'Acct Summary 7-8'!I83</f>
        <v>-9.2795133555120562E-2</v>
      </c>
      <c r="D6282" s="2" t="str">
        <f t="shared" si="97"/>
        <v>Error?</v>
      </c>
      <c r="E6282" s="2" t="s">
        <v>189</v>
      </c>
    </row>
    <row r="6283" spans="1:5" x14ac:dyDescent="0.2">
      <c r="A6283">
        <v>6222</v>
      </c>
      <c r="B6283" s="1832">
        <f>'Acct Summary 7-8'!J83</f>
        <v>0.50528830542283254</v>
      </c>
      <c r="D6283" s="2" t="str">
        <f t="shared" si="97"/>
        <v>Error?</v>
      </c>
      <c r="E6283" s="2" t="s">
        <v>189</v>
      </c>
    </row>
    <row r="6284" spans="1:5" x14ac:dyDescent="0.2">
      <c r="A6284">
        <v>6223</v>
      </c>
      <c r="B6284" s="1832">
        <f>'Acct Summary 7-8'!K83</f>
        <v>0.23526929684438952</v>
      </c>
      <c r="D6284" s="2" t="str">
        <f t="shared" si="97"/>
        <v>Error?</v>
      </c>
      <c r="E6284" s="2" t="s">
        <v>189</v>
      </c>
    </row>
    <row r="6285" spans="1:5" x14ac:dyDescent="0.2">
      <c r="A6285">
        <v>6224</v>
      </c>
      <c r="B6285" s="1832">
        <f>'Acct Summary 7-8'!E37</f>
        <v>2976</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153734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153734</v>
      </c>
      <c r="D6301" s="2" t="str">
        <f t="shared" si="97"/>
        <v>Error?</v>
      </c>
      <c r="E6301" s="2" t="s">
        <v>189</v>
      </c>
    </row>
    <row r="6302" spans="1:5" x14ac:dyDescent="0.2">
      <c r="A6302">
        <v>6241</v>
      </c>
      <c r="B6302" s="1832">
        <f>'Revenues 9-14'!J14</f>
        <v>17</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17</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566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566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827</v>
      </c>
      <c r="D6329" s="2" t="str">
        <f t="shared" si="97"/>
        <v>Error?</v>
      </c>
      <c r="E6329" s="2" t="s">
        <v>189</v>
      </c>
    </row>
    <row r="6330" spans="1:5" x14ac:dyDescent="0.2">
      <c r="A6330">
        <v>6269</v>
      </c>
      <c r="B6330" s="1832">
        <f>'Revenues 9-14'!C100</f>
        <v>54174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9000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2383</v>
      </c>
      <c r="D6351" s="2" t="str">
        <f t="shared" si="98"/>
        <v>Error?</v>
      </c>
      <c r="E6351" s="2" t="s">
        <v>189</v>
      </c>
    </row>
    <row r="6352" spans="1:5" x14ac:dyDescent="0.2">
      <c r="A6352">
        <v>6291</v>
      </c>
      <c r="B6352" s="1832">
        <f>'Revenues 9-14'!J109</f>
        <v>156700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502022</v>
      </c>
      <c r="D6981" s="2" t="str">
        <f t="shared" si="108"/>
        <v>Error?</v>
      </c>
    </row>
    <row r="6982" spans="1:4" x14ac:dyDescent="0.2">
      <c r="A6982">
        <v>6921</v>
      </c>
      <c r="B6982" s="1832">
        <f>'Expenditures 15-22'!K85</f>
        <v>502022</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502022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134915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156700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3367</v>
      </c>
      <c r="D7093" s="2" t="str">
        <f t="shared" si="109"/>
        <v>Error?</v>
      </c>
    </row>
    <row r="7094" spans="1:4" x14ac:dyDescent="0.2">
      <c r="A7094">
        <v>7033</v>
      </c>
      <c r="B7094" s="1832">
        <f>'Expenditures 15-22'!K254</f>
        <v>3367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19784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19784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30812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30812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11355</v>
      </c>
      <c r="D7156" s="2" t="str">
        <f t="shared" si="110"/>
        <v>Error?</v>
      </c>
    </row>
    <row r="7157" spans="1:4" x14ac:dyDescent="0.2">
      <c r="A7157">
        <v>7096</v>
      </c>
      <c r="B7157" s="1832">
        <f>'Expenditures 15-22'!F323</f>
        <v>1152</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12507</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59490</v>
      </c>
      <c r="D7172" s="2" t="str">
        <f t="shared" si="111"/>
        <v>Error?</v>
      </c>
    </row>
    <row r="7173" spans="1:4" x14ac:dyDescent="0.2">
      <c r="A7173">
        <v>7112</v>
      </c>
      <c r="B7173" s="1832">
        <f>'Expenditures 15-22'!D325</f>
        <v>4777</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64267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7545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7545</v>
      </c>
      <c r="D7198" s="2" t="str">
        <f t="shared" si="111"/>
        <v>Error?</v>
      </c>
    </row>
    <row r="7199" spans="1:4" x14ac:dyDescent="0.2">
      <c r="A7199">
        <v>7138</v>
      </c>
      <c r="B7199" s="1832">
        <f>'Expenditures 15-22'!C330</f>
        <v>59490</v>
      </c>
      <c r="D7199" s="2" t="str">
        <f t="shared" si="111"/>
        <v>Error?</v>
      </c>
    </row>
    <row r="7200" spans="1:4" x14ac:dyDescent="0.2">
      <c r="A7200">
        <v>7139</v>
      </c>
      <c r="B7200" s="1832">
        <f>'Expenditures 15-22'!D330</f>
        <v>4777</v>
      </c>
      <c r="D7200" s="2" t="str">
        <f t="shared" si="111"/>
        <v>Error?</v>
      </c>
    </row>
    <row r="7201" spans="1:4" x14ac:dyDescent="0.2">
      <c r="A7201">
        <v>7140</v>
      </c>
      <c r="B7201" s="1832">
        <f>'Expenditures 15-22'!E330</f>
        <v>69496</v>
      </c>
      <c r="D7201" s="2" t="str">
        <f t="shared" si="111"/>
        <v>Error?</v>
      </c>
    </row>
    <row r="7202" spans="1:4" x14ac:dyDescent="0.2">
      <c r="A7202">
        <v>7141</v>
      </c>
      <c r="B7202" s="1832">
        <f>'Expenditures 15-22'!F330</f>
        <v>1152</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134915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59490</v>
      </c>
      <c r="D7216" s="2" t="str">
        <f t="shared" si="111"/>
        <v>Error?</v>
      </c>
    </row>
    <row r="7217" spans="1:4" x14ac:dyDescent="0.2">
      <c r="A7217">
        <v>7156</v>
      </c>
      <c r="B7217" s="1832">
        <f>'Expenditures 15-22'!D342</f>
        <v>4777</v>
      </c>
      <c r="D7217" s="2" t="str">
        <f t="shared" si="111"/>
        <v>Error?</v>
      </c>
    </row>
    <row r="7218" spans="1:4" x14ac:dyDescent="0.2">
      <c r="A7218">
        <v>7157</v>
      </c>
      <c r="B7218" s="1832">
        <f>'Expenditures 15-22'!E342</f>
        <v>69496</v>
      </c>
      <c r="D7218" s="2" t="str">
        <f t="shared" si="111"/>
        <v>Error?</v>
      </c>
    </row>
    <row r="7219" spans="1:4" x14ac:dyDescent="0.2">
      <c r="A7219">
        <v>7158</v>
      </c>
      <c r="B7219" s="1832">
        <f>'Expenditures 15-22'!F342</f>
        <v>1152</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134915</v>
      </c>
      <c r="D7224" s="2" t="str">
        <f t="shared" si="111"/>
        <v>Error?</v>
      </c>
    </row>
    <row r="7225" spans="1:4" x14ac:dyDescent="0.2">
      <c r="A7225">
        <v>7164</v>
      </c>
      <c r="B7225" s="1832">
        <f>'Expenditures 15-22'!K343</f>
        <v>21785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181981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1556</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21395</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591</v>
      </c>
      <c r="D7710" s="2" t="str">
        <f t="shared" si="126"/>
        <v>Error?</v>
      </c>
      <c r="E7710" s="2" t="s">
        <v>821</v>
      </c>
    </row>
    <row r="7711" spans="1:5" x14ac:dyDescent="0.2">
      <c r="A7711">
        <v>7650</v>
      </c>
      <c r="B7711" s="1832">
        <f>'Rest Tax Levies-Tort Im 25'!K6</f>
        <v>5</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88459</v>
      </c>
      <c r="D7713" s="2" t="str">
        <f t="shared" si="126"/>
        <v>Error?</v>
      </c>
      <c r="E7713" s="2" t="s">
        <v>821</v>
      </c>
    </row>
    <row r="7714" spans="1:6" x14ac:dyDescent="0.2">
      <c r="A7714">
        <v>7653</v>
      </c>
      <c r="B7714" s="1832">
        <f>'Rest Tax Levies-Tort Im 25'!K9</f>
        <v>1762</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89050</v>
      </c>
      <c r="D7718" s="2" t="str">
        <f t="shared" si="126"/>
        <v>Error?</v>
      </c>
      <c r="E7718" s="2" t="s">
        <v>821</v>
      </c>
    </row>
    <row r="7719" spans="1:6" x14ac:dyDescent="0.2">
      <c r="A7719">
        <v>7658</v>
      </c>
      <c r="B7719" s="1832">
        <f>'Rest Tax Levies-Tort Im 25'!K12</f>
        <v>1767</v>
      </c>
      <c r="D7719" s="2" t="str">
        <f t="shared" si="126"/>
        <v>Error?</v>
      </c>
      <c r="E7719" s="2" t="s">
        <v>821</v>
      </c>
    </row>
    <row r="7720" spans="1:6" x14ac:dyDescent="0.2">
      <c r="A7720">
        <v>7659</v>
      </c>
      <c r="B7720" s="1832">
        <f>'Rest Tax Levies-Tort Im 25'!H14</f>
        <v>16889</v>
      </c>
      <c r="D7720" s="2" t="str">
        <f t="shared" si="126"/>
        <v>Error?</v>
      </c>
      <c r="E7720" s="2" t="s">
        <v>821</v>
      </c>
    </row>
    <row r="7721" spans="1:6" x14ac:dyDescent="0.2">
      <c r="A7721">
        <v>7660</v>
      </c>
      <c r="B7721" s="1832">
        <f>'Rest Tax Levies-Tort Im 25'!K14</f>
        <v>0</v>
      </c>
      <c r="D7721" s="2" t="str">
        <f t="shared" si="126"/>
        <v>Error?</v>
      </c>
      <c r="E7721" s="2" t="s">
        <v>821</v>
      </c>
    </row>
    <row r="7722" spans="1:6" x14ac:dyDescent="0.2">
      <c r="A7722">
        <v>7661</v>
      </c>
      <c r="B7722" s="1832">
        <f>'Rest Tax Levies-Tort Im 25'!J15</f>
        <v>45246</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45246</v>
      </c>
      <c r="D7730" s="2" t="str">
        <f t="shared" si="126"/>
        <v>Error?</v>
      </c>
      <c r="E7730" s="2" t="s">
        <v>821</v>
      </c>
    </row>
    <row r="7731" spans="1:6" x14ac:dyDescent="0.2">
      <c r="A7731">
        <v>7670</v>
      </c>
      <c r="B7731" s="1832">
        <f>'Revenues 9-14'!H103</f>
        <v>88459</v>
      </c>
      <c r="D7731" s="2" t="str">
        <f t="shared" si="126"/>
        <v>Error?</v>
      </c>
      <c r="E7731" s="2" t="s">
        <v>821</v>
      </c>
    </row>
    <row r="7732" spans="1:6" x14ac:dyDescent="0.2">
      <c r="A7732">
        <v>7671</v>
      </c>
      <c r="B7732" s="1832">
        <f>'Rest Tax Levies-Tort Im 25'!J24</f>
        <v>65199</v>
      </c>
      <c r="D7732" s="2" t="str">
        <f t="shared" si="126"/>
        <v>Error?</v>
      </c>
      <c r="E7732" s="2" t="s">
        <v>821</v>
      </c>
    </row>
    <row r="7733" spans="1:6" x14ac:dyDescent="0.2">
      <c r="A7733">
        <v>7672</v>
      </c>
      <c r="B7733" s="1832">
        <f>'Rest Tax Levies-Tort Im 25'!K24</f>
        <v>1767</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65199</v>
      </c>
      <c r="D7742" s="2" t="str">
        <f t="shared" si="126"/>
        <v>Error?</v>
      </c>
      <c r="E7742" s="2" t="s">
        <v>821</v>
      </c>
    </row>
    <row r="7743" spans="1:6" x14ac:dyDescent="0.2">
      <c r="A7743">
        <v>7682</v>
      </c>
      <c r="B7743" s="1832">
        <f>'Rest Tax Levies-Tort Im 25'!K26</f>
        <v>1767</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40000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25000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1</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1</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0</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6226563</v>
      </c>
      <c r="D7817" s="2" t="str">
        <f t="shared" si="128"/>
        <v>Error?</v>
      </c>
      <c r="E7817" s="4" t="s">
        <v>1965</v>
      </c>
    </row>
    <row r="7818" spans="1:5" x14ac:dyDescent="0.2">
      <c r="A7818">
        <v>7757</v>
      </c>
      <c r="B7818" s="1832">
        <f>'PCTC-OEPP 27-28'!F172</f>
        <v>54513</v>
      </c>
      <c r="D7818" s="2" t="str">
        <f t="shared" si="128"/>
        <v>Error?</v>
      </c>
      <c r="E7818" s="4" t="s">
        <v>1979</v>
      </c>
    </row>
    <row r="7819" spans="1:5" x14ac:dyDescent="0.2">
      <c r="A7819">
        <v>7758</v>
      </c>
      <c r="B7819" s="1832">
        <f>'PCTC-OEPP 27-28'!F173</f>
        <v>10</v>
      </c>
      <c r="D7819" s="2" t="str">
        <f t="shared" si="128"/>
        <v>Error?</v>
      </c>
      <c r="E7819" s="4" t="s">
        <v>1979</v>
      </c>
    </row>
    <row r="7820" spans="1:5" x14ac:dyDescent="0.2">
      <c r="A7820">
        <v>7759</v>
      </c>
      <c r="B7820" s="1832">
        <f>'ICR Computation 30'!E40</f>
        <v>-72226</v>
      </c>
      <c r="D7820" s="2" t="str">
        <f t="shared" si="128"/>
        <v>Error?</v>
      </c>
    </row>
    <row r="7821" spans="1:5" x14ac:dyDescent="0.2">
      <c r="A7821">
        <v>7760</v>
      </c>
      <c r="B7821" s="1832">
        <f>'ICR Computation 30'!G40</f>
        <v>-72226</v>
      </c>
      <c r="D7821" s="2" t="str">
        <f t="shared" si="128"/>
        <v>Error?</v>
      </c>
    </row>
    <row r="7822" spans="1:5" x14ac:dyDescent="0.2">
      <c r="A7822" s="1">
        <v>7761</v>
      </c>
      <c r="B7822" s="1832">
        <f>'PCTC-OEPP 27-28'!F14</f>
        <v>3335165</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982916</v>
      </c>
      <c r="D7834" s="2" t="str">
        <f t="shared" si="129"/>
        <v>Error?</v>
      </c>
      <c r="E7834" s="4" t="s">
        <v>1997</v>
      </c>
    </row>
    <row r="7835" spans="1:5" x14ac:dyDescent="0.2">
      <c r="A7835">
        <v>7774</v>
      </c>
      <c r="B7835" s="1832">
        <f>'PCTC-OEPP 27-28'!F78</f>
        <v>2352249</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15692.121414276184</v>
      </c>
      <c r="D7837" s="2" t="str">
        <f t="shared" si="129"/>
        <v>Error?</v>
      </c>
      <c r="E7837" s="4" t="s">
        <v>1997</v>
      </c>
    </row>
    <row r="7838" spans="1:5" x14ac:dyDescent="0.2">
      <c r="A7838">
        <v>7777</v>
      </c>
      <c r="B7838" s="1832">
        <f>'PCTC-OEPP 27-28'!F96</f>
        <v>3647</v>
      </c>
      <c r="D7838" s="2" t="str">
        <f t="shared" si="129"/>
        <v>Error?</v>
      </c>
      <c r="E7838" s="4" t="s">
        <v>1997</v>
      </c>
    </row>
    <row r="7839" spans="1:5" x14ac:dyDescent="0.2">
      <c r="A7839">
        <v>7778</v>
      </c>
      <c r="B7839" s="1832">
        <f>'PCTC-OEPP 27-28'!F102</f>
        <v>668</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1679</v>
      </c>
      <c r="D7841" s="2" t="str">
        <f t="shared" si="129"/>
        <v>Error?</v>
      </c>
      <c r="E7841" s="4" t="s">
        <v>1997</v>
      </c>
    </row>
    <row r="7842" spans="1:5" x14ac:dyDescent="0.2">
      <c r="A7842">
        <v>7781</v>
      </c>
      <c r="B7842" s="1832">
        <f>'PCTC-OEPP 27-28'!F106</f>
        <v>0</v>
      </c>
      <c r="D7842" s="2" t="str">
        <f t="shared" si="129"/>
        <v>Error?</v>
      </c>
      <c r="E7842" s="4" t="s">
        <v>1997</v>
      </c>
    </row>
    <row r="7843" spans="1:5" x14ac:dyDescent="0.2">
      <c r="A7843">
        <v>7782</v>
      </c>
      <c r="B7843" s="1832">
        <f>'PCTC-OEPP 27-28'!F107</f>
        <v>0</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1762</v>
      </c>
      <c r="D7846" s="2" t="str">
        <f t="shared" si="129"/>
        <v>Error?</v>
      </c>
      <c r="E7846" s="4" t="s">
        <v>1997</v>
      </c>
    </row>
    <row r="7847" spans="1:5" x14ac:dyDescent="0.2">
      <c r="A7847">
        <v>7786</v>
      </c>
      <c r="B7847" s="1832">
        <f>'PCTC-OEPP 27-28'!F112</f>
        <v>91180</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750</v>
      </c>
      <c r="D7855" s="2" t="str">
        <f t="shared" si="129"/>
        <v>Error?</v>
      </c>
      <c r="E7855" s="4" t="s">
        <v>1997</v>
      </c>
    </row>
    <row r="7856" spans="1:5" x14ac:dyDescent="0.2">
      <c r="A7856">
        <v>7795</v>
      </c>
      <c r="B7856" s="1832">
        <f>'PCTC-OEPP 27-28'!F124</f>
        <v>12314</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28905</v>
      </c>
      <c r="D7858" s="2" t="str">
        <f t="shared" si="129"/>
        <v>Error?</v>
      </c>
      <c r="E7858" s="4" t="s">
        <v>1997</v>
      </c>
    </row>
    <row r="7859" spans="1:5" x14ac:dyDescent="0.2">
      <c r="A7859">
        <v>7798</v>
      </c>
      <c r="B7859" s="1832">
        <f>'PCTC-OEPP 27-28'!F127</f>
        <v>54449</v>
      </c>
      <c r="D7859" s="2" t="str">
        <f t="shared" si="129"/>
        <v>Error?</v>
      </c>
      <c r="E7859" s="4" t="s">
        <v>1997</v>
      </c>
    </row>
    <row r="7860" spans="1:5" x14ac:dyDescent="0.2">
      <c r="A7860">
        <v>7799</v>
      </c>
      <c r="B7860" s="1832">
        <f>'PCTC-OEPP 27-28'!F128</f>
        <v>10000</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8466</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2247</v>
      </c>
      <c r="D7874" s="2" t="str">
        <f t="shared" si="129"/>
        <v>Error?</v>
      </c>
      <c r="E7874" s="4" t="s">
        <v>1997</v>
      </c>
    </row>
    <row r="7875" spans="1:5" x14ac:dyDescent="0.2">
      <c r="A7875">
        <v>7814</v>
      </c>
      <c r="B7875" s="1832">
        <f>'PCTC-OEPP 27-28'!F170</f>
        <v>1782</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342671</v>
      </c>
      <c r="D7877" s="2" t="str">
        <f t="shared" si="129"/>
        <v>Error?</v>
      </c>
      <c r="E7877" s="4" t="s">
        <v>1997</v>
      </c>
    </row>
    <row r="7878" spans="1:5" x14ac:dyDescent="0.2">
      <c r="A7878">
        <v>7817</v>
      </c>
      <c r="B7878" s="1832">
        <f>'PCTC-OEPP 27-28'!F176</f>
        <v>2009578</v>
      </c>
      <c r="D7878" s="2" t="str">
        <f t="shared" si="129"/>
        <v>Error?</v>
      </c>
      <c r="E7878" s="4" t="s">
        <v>1997</v>
      </c>
    </row>
    <row r="7879" spans="1:5" x14ac:dyDescent="0.2">
      <c r="A7879">
        <v>7818</v>
      </c>
      <c r="B7879" s="1832">
        <f>'PCTC-OEPP 27-28'!F178</f>
        <v>2191559</v>
      </c>
      <c r="D7879" s="2" t="str">
        <f t="shared" si="129"/>
        <v>Error?</v>
      </c>
      <c r="E7879" s="4" t="s">
        <v>1997</v>
      </c>
    </row>
    <row r="7880" spans="1:5" x14ac:dyDescent="0.2">
      <c r="A7880">
        <v>7819</v>
      </c>
      <c r="B7880" s="1832">
        <f>'PCTC-OEPP 27-28'!F180</f>
        <v>14620.140093395596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1180</v>
      </c>
      <c r="B2" s="2534"/>
      <c r="C2" s="2534"/>
      <c r="D2" s="2534"/>
      <c r="E2" s="2534"/>
      <c r="F2" s="2534"/>
      <c r="G2" s="2534"/>
      <c r="H2" s="2534"/>
      <c r="I2" s="2534"/>
      <c r="J2" s="2534"/>
      <c r="K2" s="2534"/>
      <c r="L2" s="2534"/>
    </row>
    <row r="3" spans="1:29" ht="13.5" customHeight="1" x14ac:dyDescent="0.2">
      <c r="A3" s="2566" t="s">
        <v>1179</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57" t="str">
        <f>COVER!A17</f>
        <v xml:space="preserve">  Paw Paw CUSD 271</v>
      </c>
      <c r="B7" s="2558"/>
      <c r="C7" s="2558"/>
      <c r="D7" s="2559"/>
      <c r="E7" s="2560">
        <f>COVER!A13</f>
        <v>47052271026</v>
      </c>
      <c r="F7" s="2561"/>
      <c r="G7" s="2567" t="str">
        <f>COVER!T23</f>
        <v>066-005027</v>
      </c>
      <c r="H7" s="2568"/>
      <c r="I7" s="2568"/>
      <c r="J7" s="2568"/>
      <c r="K7" s="2568"/>
      <c r="L7" s="256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70"/>
      <c r="B9" s="2571"/>
      <c r="C9" s="2571"/>
      <c r="D9" s="2571"/>
      <c r="E9" s="2571"/>
      <c r="F9" s="2572"/>
      <c r="G9" s="2540" t="str">
        <f>COVER!T13</f>
        <v>Gorenz and Associates, Ltd.</v>
      </c>
      <c r="H9" s="2573"/>
      <c r="I9" s="2573"/>
      <c r="J9" s="2573"/>
      <c r="K9" s="2573"/>
      <c r="L9" s="2574"/>
    </row>
    <row r="10" spans="1:29" ht="13.5" customHeight="1" x14ac:dyDescent="0.2">
      <c r="A10" s="2546" t="str">
        <f>COVER!A38</f>
        <v>Steve Epperson</v>
      </c>
      <c r="B10" s="2547"/>
      <c r="C10" s="2547"/>
      <c r="D10" s="2547"/>
      <c r="E10" s="2547"/>
      <c r="F10" s="2548"/>
      <c r="G10" s="2540" t="str">
        <f>COVER!T17</f>
        <v>4200 N Knoxville Ave.</v>
      </c>
      <c r="H10" s="2541"/>
      <c r="I10" s="2541"/>
      <c r="J10" s="2541"/>
      <c r="K10" s="2541"/>
      <c r="L10" s="2542"/>
    </row>
    <row r="11" spans="1:29" ht="13.5" customHeight="1" x14ac:dyDescent="0.2">
      <c r="A11" s="963" t="s">
        <v>1501</v>
      </c>
      <c r="B11" s="964"/>
      <c r="C11" s="965"/>
      <c r="D11" s="970"/>
      <c r="E11" s="965"/>
      <c r="F11" s="969"/>
      <c r="G11" s="2540" t="str">
        <f>COVER!T19</f>
        <v>Peoria</v>
      </c>
      <c r="H11" s="2541"/>
      <c r="I11" s="2541"/>
      <c r="J11" s="2541"/>
      <c r="K11" s="2541"/>
      <c r="L11" s="2542"/>
    </row>
    <row r="12" spans="1:29" ht="13.5" customHeight="1" x14ac:dyDescent="0.2">
      <c r="A12" s="2549" t="s">
        <v>1500</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1502</v>
      </c>
      <c r="H13" s="2536"/>
      <c r="I13" s="2552" t="str">
        <f>COVER!T25</f>
        <v>jhohulin@gorenzcpa.com</v>
      </c>
      <c r="J13" s="2553"/>
      <c r="K13" s="2553"/>
      <c r="L13" s="2554"/>
    </row>
    <row r="14" spans="1:29" ht="13.5" customHeight="1" x14ac:dyDescent="0.2">
      <c r="A14" s="2540" t="str">
        <f>COVER!A19</f>
        <v>P.O. Box 508</v>
      </c>
      <c r="B14" s="2541"/>
      <c r="C14" s="2541"/>
      <c r="D14" s="2541"/>
      <c r="E14" s="2541"/>
      <c r="F14" s="2542"/>
      <c r="G14" s="974" t="s">
        <v>1174</v>
      </c>
      <c r="H14" s="972"/>
      <c r="I14" s="972"/>
      <c r="J14" s="972"/>
      <c r="K14" s="972"/>
      <c r="L14" s="973"/>
    </row>
    <row r="15" spans="1:29" ht="13.5" customHeight="1" x14ac:dyDescent="0.2">
      <c r="A15" s="2540" t="str">
        <f>COVER!A21</f>
        <v>Paw Paw</v>
      </c>
      <c r="B15" s="2541"/>
      <c r="C15" s="2541"/>
      <c r="D15" s="2541"/>
      <c r="E15" s="2541"/>
      <c r="F15" s="2542"/>
      <c r="G15" s="2537" t="str">
        <f>COVER!T15</f>
        <v>Jason A. Hohulin, CPA</v>
      </c>
      <c r="H15" s="2538"/>
      <c r="I15" s="2538"/>
      <c r="J15" s="2538"/>
      <c r="K15" s="2538"/>
      <c r="L15" s="2539"/>
    </row>
    <row r="16" spans="1:29" ht="12.2" customHeight="1" x14ac:dyDescent="0.2">
      <c r="A16" s="2563">
        <f>COVER!A25</f>
        <v>61353</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74" t="s">
        <v>1173</v>
      </c>
      <c r="H17" s="972"/>
      <c r="I17" s="972"/>
      <c r="J17" s="972"/>
      <c r="K17" s="976" t="s">
        <v>1172</v>
      </c>
      <c r="L17" s="969"/>
      <c r="M17" s="962"/>
    </row>
    <row r="18" spans="1:13" ht="12.2" customHeight="1" x14ac:dyDescent="0.2">
      <c r="A18" s="2546"/>
      <c r="B18" s="2547"/>
      <c r="C18" s="2547"/>
      <c r="D18" s="2547"/>
      <c r="E18" s="2547"/>
      <c r="F18" s="2548"/>
      <c r="G18" s="2557" t="str">
        <f>COVER!T21</f>
        <v>309-685-7621</v>
      </c>
      <c r="H18" s="2558"/>
      <c r="I18" s="2558"/>
      <c r="J18" s="2558"/>
      <c r="K18" s="2557" t="str">
        <f>COVER!X21</f>
        <v>309-685-4758</v>
      </c>
      <c r="L18" s="25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 xml:space="preserve">  Paw Paw CUSD 271</v>
      </c>
      <c r="B1" s="2580"/>
      <c r="C1" s="2580"/>
      <c r="D1" s="2580"/>
    </row>
    <row r="2" spans="1:11" s="991" customFormat="1" ht="12.75" x14ac:dyDescent="0.2">
      <c r="A2" s="2581">
        <f>'Single Audit Cover'!E7</f>
        <v>47052271026</v>
      </c>
      <c r="B2" s="2582"/>
      <c r="C2" s="2582"/>
      <c r="D2" s="2582"/>
    </row>
    <row r="3" spans="1:11" s="991" customFormat="1" ht="12.75" x14ac:dyDescent="0.2">
      <c r="A3" s="2579" t="s">
        <v>1495</v>
      </c>
      <c r="B3" s="2580"/>
      <c r="C3" s="2580"/>
      <c r="D3" s="258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 xml:space="preserve">  Paw Paw CUSD 271</v>
      </c>
      <c r="B1" s="2584"/>
      <c r="C1" s="2584"/>
      <c r="D1" s="2584"/>
      <c r="E1" s="2584"/>
    </row>
    <row r="2" spans="1:5" x14ac:dyDescent="0.2">
      <c r="A2" s="2585">
        <f>'Single Audit Cover'!E7</f>
        <v>47052271026</v>
      </c>
      <c r="B2" s="2585"/>
      <c r="C2" s="2585"/>
      <c r="D2" s="2585"/>
      <c r="E2" s="2585"/>
    </row>
    <row r="3" spans="1:5" ht="4.5" customHeight="1" x14ac:dyDescent="0.2"/>
    <row r="4" spans="1:5" x14ac:dyDescent="0.2">
      <c r="A4" s="2584" t="s">
        <v>1233</v>
      </c>
      <c r="B4" s="2584"/>
      <c r="C4" s="2584"/>
      <c r="D4" s="2584"/>
      <c r="E4" s="2584"/>
    </row>
    <row r="5" spans="1:5" x14ac:dyDescent="0.2">
      <c r="A5" s="2587" t="str">
        <f>'Single Audit Cover'!A4</f>
        <v>Year Ending June 30, 2020</v>
      </c>
      <c r="B5" s="2587"/>
      <c r="C5" s="2587"/>
      <c r="D5" s="2587"/>
      <c r="E5" s="2587"/>
    </row>
    <row r="6" spans="1:5" x14ac:dyDescent="0.2">
      <c r="A6" s="2584" t="s">
        <v>1232</v>
      </c>
      <c r="B6" s="2584"/>
      <c r="C6" s="2584"/>
      <c r="D6" s="2584"/>
      <c r="E6" s="2584"/>
    </row>
    <row r="8" spans="1:5" x14ac:dyDescent="0.2">
      <c r="A8" s="1036" t="s">
        <v>1231</v>
      </c>
    </row>
    <row r="10" spans="1:5" x14ac:dyDescent="0.2">
      <c r="A10" s="1037" t="s">
        <v>1230</v>
      </c>
      <c r="B10" s="1038" t="s">
        <v>1229</v>
      </c>
      <c r="C10" s="1038"/>
      <c r="D10" s="1039">
        <f>SUM('Acct Summary 7-8'!C7:K7)</f>
        <v>118163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6465</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-1782</v>
      </c>
    </row>
    <row r="19" spans="1:4" ht="13.5" thickBot="1" x14ac:dyDescent="0.25">
      <c r="A19" s="1041" t="s">
        <v>1223</v>
      </c>
      <c r="D19" s="1042">
        <f>SUM(D10:D17)</f>
        <v>122846</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1221</v>
      </c>
      <c r="D32" s="1039">
        <f>SUM(D19:D30)</f>
        <v>122846</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1215</v>
      </c>
      <c r="C47" s="1048"/>
      <c r="D47" s="1049">
        <f>SUM(D35:D45)</f>
        <v>0</v>
      </c>
    </row>
    <row r="49" spans="2:4" x14ac:dyDescent="0.2">
      <c r="B49" s="1048" t="s">
        <v>1214</v>
      </c>
      <c r="C49" s="1048"/>
      <c r="D49" s="1049">
        <f>D32-D47</f>
        <v>122846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6" t="str">
        <f>'Single Audit Cover'!A7</f>
        <v xml:space="preserve">  Paw Paw CUSD 271</v>
      </c>
      <c r="C1" s="2588"/>
      <c r="D1" s="2588"/>
      <c r="E1" s="2588"/>
      <c r="F1" s="2588"/>
      <c r="G1" s="2588"/>
      <c r="H1" s="2588"/>
      <c r="I1" s="2588"/>
      <c r="J1" s="2588"/>
      <c r="K1" s="2588"/>
      <c r="L1" s="2588"/>
      <c r="M1" s="2588"/>
    </row>
    <row r="2" spans="2:14" ht="15" x14ac:dyDescent="0.2">
      <c r="B2" s="2589">
        <f>'Single Audit Cover'!E7</f>
        <v>47052271026</v>
      </c>
      <c r="C2" s="2589"/>
      <c r="D2" s="2589"/>
      <c r="E2" s="2589"/>
      <c r="F2" s="2589"/>
      <c r="G2" s="2589"/>
      <c r="H2" s="2589"/>
      <c r="I2" s="2589"/>
      <c r="J2" s="2589"/>
      <c r="K2" s="2589"/>
      <c r="L2" s="2589"/>
      <c r="M2" s="2589"/>
      <c r="N2" s="1078"/>
    </row>
    <row r="3" spans="2:14" ht="15" x14ac:dyDescent="0.2">
      <c r="B3" s="2590" t="s">
        <v>1207</v>
      </c>
      <c r="C3" s="2590"/>
      <c r="D3" s="2590"/>
      <c r="E3" s="2590"/>
      <c r="F3" s="2590"/>
      <c r="G3" s="2590"/>
      <c r="H3" s="2590"/>
      <c r="I3" s="2590"/>
      <c r="J3" s="2590"/>
      <c r="K3" s="2590"/>
      <c r="L3" s="2590"/>
      <c r="M3" s="2590"/>
      <c r="N3" s="1078"/>
    </row>
    <row r="4" spans="2:14" ht="15" x14ac:dyDescent="0.2">
      <c r="B4" s="2591" t="str">
        <f>'Single Audit Cover'!A4</f>
        <v>Year Ending June 30, 2020</v>
      </c>
      <c r="C4" s="2591"/>
      <c r="D4" s="2591"/>
      <c r="E4" s="2591"/>
      <c r="F4" s="2591"/>
      <c r="G4" s="2591"/>
      <c r="H4" s="2591"/>
      <c r="I4" s="2591"/>
      <c r="J4" s="2591"/>
      <c r="K4" s="2591"/>
      <c r="L4" s="2591"/>
      <c r="M4" s="2591"/>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2058</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 xml:space="preserve">  Paw Paw CUSD 271</v>
      </c>
      <c r="B1" s="2601"/>
      <c r="C1" s="2601"/>
      <c r="D1" s="2601"/>
      <c r="E1" s="2601"/>
      <c r="F1" s="2601"/>
    </row>
    <row r="2" spans="1:7" ht="13.5" customHeight="1" x14ac:dyDescent="0.2">
      <c r="A2" s="2589">
        <f>'Single Audit Cover'!E7</f>
        <v>47052271026</v>
      </c>
      <c r="B2" s="2589"/>
      <c r="C2" s="2589"/>
      <c r="D2" s="2589"/>
      <c r="E2" s="2589"/>
      <c r="F2" s="2589"/>
      <c r="G2" s="1051"/>
    </row>
    <row r="3" spans="1:7" ht="15.75" customHeight="1" x14ac:dyDescent="0.2">
      <c r="A3" s="2602" t="s">
        <v>1259</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1704</v>
      </c>
      <c r="C6" s="295"/>
      <c r="D6" s="295"/>
    </row>
    <row r="7" spans="1:7" ht="60.95" customHeight="1" x14ac:dyDescent="0.2">
      <c r="A7" s="2600" t="s">
        <v>1705</v>
      </c>
      <c r="B7" s="2600"/>
      <c r="C7" s="2600"/>
      <c r="D7" s="2600"/>
      <c r="E7" s="2600"/>
      <c r="F7" s="260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600" t="s">
        <v>1707</v>
      </c>
      <c r="B13" s="2600"/>
      <c r="C13" s="2600"/>
      <c r="D13" s="2600"/>
      <c r="E13" s="2600"/>
      <c r="F13" s="2600"/>
    </row>
    <row r="14" spans="1:7" ht="9.75" customHeight="1" x14ac:dyDescent="0.2">
      <c r="C14" s="1036"/>
      <c r="D14" s="1036"/>
    </row>
    <row r="15" spans="1:7" ht="13.5" customHeight="1" x14ac:dyDescent="0.2">
      <c r="C15" s="1476" t="s">
        <v>1258</v>
      </c>
      <c r="D15" s="2598" t="s">
        <v>1257</v>
      </c>
      <c r="E15" s="2598"/>
      <c r="F15" s="2598"/>
    </row>
    <row r="16" spans="1:7" ht="13.5" customHeight="1" x14ac:dyDescent="0.2">
      <c r="A16" s="1058"/>
      <c r="B16" s="1052" t="s">
        <v>1256</v>
      </c>
      <c r="C16" s="1476" t="s">
        <v>1255</v>
      </c>
      <c r="D16" s="2599" t="s">
        <v>1570</v>
      </c>
      <c r="E16" s="2599"/>
      <c r="F16" s="2599"/>
    </row>
    <row r="17" spans="1:6" ht="20.45" customHeight="1" x14ac:dyDescent="0.2">
      <c r="A17" s="1059"/>
      <c r="B17" s="1060"/>
      <c r="C17" s="1061"/>
      <c r="D17" s="2593"/>
      <c r="E17" s="2593"/>
      <c r="F17" s="2593"/>
    </row>
    <row r="18" spans="1:6" ht="20.65" customHeight="1" x14ac:dyDescent="0.2">
      <c r="A18" s="1059"/>
      <c r="B18" s="1060"/>
      <c r="C18" s="1061"/>
      <c r="D18" s="2593"/>
      <c r="E18" s="2593"/>
      <c r="F18" s="2593"/>
    </row>
    <row r="19" spans="1:6" ht="20.65" customHeight="1" x14ac:dyDescent="0.2">
      <c r="A19" s="1059"/>
      <c r="B19" s="1060"/>
      <c r="C19" s="1061"/>
      <c r="D19" s="2593"/>
      <c r="E19" s="2593"/>
      <c r="F19" s="2593"/>
    </row>
    <row r="20" spans="1:6" ht="20.65" customHeight="1" x14ac:dyDescent="0.2">
      <c r="A20" s="1059"/>
      <c r="B20" s="1060"/>
      <c r="C20" s="1061"/>
      <c r="D20" s="2593"/>
      <c r="E20" s="2593"/>
      <c r="F20" s="2593"/>
    </row>
    <row r="21" spans="1:6" ht="20.65" customHeight="1" x14ac:dyDescent="0.2">
      <c r="A21" s="1059"/>
      <c r="B21" s="1060"/>
      <c r="C21" s="1061"/>
      <c r="D21" s="2593"/>
      <c r="E21" s="2593"/>
      <c r="F21" s="2593"/>
    </row>
    <row r="22" spans="1:6" ht="20.65" customHeight="1" x14ac:dyDescent="0.2">
      <c r="A22" s="1059"/>
      <c r="B22" s="1060"/>
      <c r="C22" s="1061"/>
      <c r="D22" s="2593"/>
      <c r="E22" s="2593"/>
      <c r="F22" s="2593"/>
    </row>
    <row r="23" spans="1:6" ht="20.65" customHeight="1" x14ac:dyDescent="0.2">
      <c r="A23" s="1059"/>
      <c r="B23" s="1060"/>
      <c r="C23" s="1061"/>
      <c r="D23" s="2593"/>
      <c r="E23" s="2593"/>
      <c r="F23" s="2593"/>
    </row>
    <row r="24" spans="1:6" ht="20.65" customHeight="1" x14ac:dyDescent="0.2">
      <c r="A24" s="1059"/>
      <c r="B24" s="1060"/>
      <c r="C24" s="1061"/>
      <c r="D24" s="2593"/>
      <c r="E24" s="2593"/>
      <c r="F24" s="2593"/>
    </row>
    <row r="25" spans="1:6" ht="20.65" customHeight="1" x14ac:dyDescent="0.2">
      <c r="A25" s="1059"/>
      <c r="B25" s="1060"/>
      <c r="C25" s="1061"/>
      <c r="D25" s="2593"/>
      <c r="E25" s="2593"/>
      <c r="F25" s="2593"/>
    </row>
    <row r="26" spans="1:6" ht="20.65" customHeight="1" x14ac:dyDescent="0.2">
      <c r="A26" s="1059"/>
      <c r="B26" s="1060"/>
      <c r="C26" s="1061"/>
      <c r="D26" s="2593"/>
      <c r="E26" s="2593"/>
      <c r="F26" s="2593"/>
    </row>
    <row r="27" spans="1:6" ht="20.65" customHeight="1" x14ac:dyDescent="0.2">
      <c r="A27" s="1059"/>
      <c r="B27" s="1060"/>
      <c r="C27" s="1061"/>
      <c r="D27" s="2593"/>
      <c r="E27" s="2593"/>
      <c r="F27" s="2593"/>
    </row>
    <row r="28" spans="1:6" ht="20.65" customHeight="1" x14ac:dyDescent="0.2">
      <c r="A28" s="1059"/>
      <c r="B28" s="1060"/>
      <c r="C28" s="1061"/>
      <c r="D28" s="2593"/>
      <c r="E28" s="2593"/>
      <c r="F28" s="2593"/>
    </row>
    <row r="29" spans="1:6" ht="20.65" customHeight="1" x14ac:dyDescent="0.2">
      <c r="A29" s="1059"/>
      <c r="B29" s="1060"/>
      <c r="C29" s="1061"/>
      <c r="D29" s="2593"/>
      <c r="E29" s="2593"/>
      <c r="F29" s="2593"/>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94" t="s">
        <v>1708</v>
      </c>
      <c r="B32" s="2594"/>
      <c r="C32" s="2594"/>
      <c r="D32" s="2594"/>
      <c r="E32" s="2594"/>
      <c r="F32" s="2594"/>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95">
        <f>+C33+C34</f>
        <v>0</v>
      </c>
      <c r="F34" s="259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1572</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2" t="s">
        <v>1533</v>
      </c>
      <c r="C51" s="2592"/>
      <c r="D51" s="2592"/>
    </row>
    <row r="52" spans="1:5" ht="14.25" customHeight="1" x14ac:dyDescent="0.2">
      <c r="A52" s="1077"/>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Paw Paw CUSD 271</v>
      </c>
      <c r="C1" s="2616"/>
      <c r="D1" s="2616"/>
      <c r="E1" s="2616"/>
      <c r="F1" s="2616"/>
      <c r="G1" s="2616"/>
      <c r="H1" s="2616"/>
      <c r="I1" s="2616"/>
      <c r="J1" s="1178"/>
    </row>
    <row r="2" spans="2:10" s="295" customFormat="1" ht="12.75" customHeight="1" x14ac:dyDescent="0.2">
      <c r="B2" s="2617">
        <f>'Single Audit Cover'!E7</f>
        <v>47052271026</v>
      </c>
      <c r="C2" s="2618"/>
      <c r="D2" s="2618"/>
      <c r="E2" s="2618"/>
      <c r="F2" s="2618"/>
      <c r="G2" s="2618"/>
      <c r="H2" s="2618"/>
      <c r="I2" s="2618"/>
      <c r="J2" s="1178"/>
    </row>
    <row r="3" spans="2:10" s="295" customFormat="1" ht="12.75" customHeight="1" x14ac:dyDescent="0.2">
      <c r="B3" s="2619" t="s">
        <v>1273</v>
      </c>
      <c r="C3" s="2620"/>
      <c r="D3" s="2620"/>
      <c r="E3" s="2620"/>
      <c r="F3" s="2620"/>
      <c r="G3" s="2620"/>
      <c r="H3" s="2620"/>
      <c r="I3" s="2620"/>
      <c r="J3" s="117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9" t="s">
        <v>1272</v>
      </c>
      <c r="C7" s="2620"/>
      <c r="D7" s="2620"/>
      <c r="E7" s="2620"/>
      <c r="F7" s="2620"/>
      <c r="G7" s="2620"/>
      <c r="H7" s="2620"/>
      <c r="I7" s="262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21"/>
      <c r="D11" s="262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22"/>
      <c r="E29" s="2622"/>
      <c r="F29" s="2622"/>
      <c r="G29" s="2622"/>
      <c r="H29" s="2622"/>
      <c r="I29" s="2622"/>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23" t="s">
        <v>1727</v>
      </c>
      <c r="D37" s="2624"/>
      <c r="E37" s="2624"/>
      <c r="F37" s="2625"/>
      <c r="G37" s="2623" t="s">
        <v>1574</v>
      </c>
      <c r="H37" s="2624"/>
      <c r="I37" s="2625"/>
    </row>
    <row r="38" spans="2:9" ht="16.5" customHeight="1" x14ac:dyDescent="0.2">
      <c r="B38" s="1200"/>
      <c r="C38" s="2611"/>
      <c r="D38" s="2612"/>
      <c r="E38" s="2612"/>
      <c r="F38" s="2613"/>
      <c r="G38" s="2626"/>
      <c r="H38" s="2627"/>
      <c r="I38" s="2628"/>
    </row>
    <row r="39" spans="2:9" ht="16.5" customHeight="1" x14ac:dyDescent="0.2">
      <c r="B39" s="1200"/>
      <c r="C39" s="2611"/>
      <c r="D39" s="2612"/>
      <c r="E39" s="2612"/>
      <c r="F39" s="2613"/>
      <c r="G39" s="2614"/>
      <c r="H39" s="2614"/>
      <c r="I39" s="2614"/>
    </row>
    <row r="40" spans="2:9" ht="16.5" customHeight="1" x14ac:dyDescent="0.2">
      <c r="B40" s="1200"/>
      <c r="C40" s="2611"/>
      <c r="D40" s="2612"/>
      <c r="E40" s="2612"/>
      <c r="F40" s="2613"/>
      <c r="G40" s="2614"/>
      <c r="H40" s="2614"/>
      <c r="I40" s="2614"/>
    </row>
    <row r="41" spans="2:9" ht="16.5" customHeight="1" x14ac:dyDescent="0.2">
      <c r="B41" s="1200"/>
      <c r="C41" s="2611"/>
      <c r="D41" s="2612"/>
      <c r="E41" s="2612"/>
      <c r="F41" s="2613"/>
      <c r="G41" s="2614"/>
      <c r="H41" s="2614"/>
      <c r="I41" s="2614"/>
    </row>
    <row r="42" spans="2:9" ht="16.5" customHeight="1" x14ac:dyDescent="0.2">
      <c r="B42" s="1200"/>
      <c r="C42" s="2611"/>
      <c r="D42" s="2612"/>
      <c r="E42" s="2612"/>
      <c r="F42" s="2613"/>
      <c r="G42" s="2614"/>
      <c r="H42" s="2614"/>
      <c r="I42" s="2614"/>
    </row>
    <row r="43" spans="2:9" ht="16.5" customHeight="1" x14ac:dyDescent="0.2">
      <c r="B43" s="1200"/>
      <c r="C43" s="2604" t="s">
        <v>1575</v>
      </c>
      <c r="D43" s="2605"/>
      <c r="E43" s="2605"/>
      <c r="F43" s="2606"/>
      <c r="G43" s="2607">
        <f>SUM(G38:I42)</f>
        <v>0</v>
      </c>
      <c r="H43" s="2607"/>
      <c r="I43" s="2607"/>
    </row>
    <row r="44" spans="2:9" ht="12.75" customHeight="1" x14ac:dyDescent="0.2"/>
    <row r="45" spans="2:9" ht="12.75" customHeight="1" x14ac:dyDescent="0.2">
      <c r="B45" s="1917" t="str">
        <f>"Total Federal Expenditures for 7/1/"&amp;MID('AFR20'!E2,3,2)-1&amp;"-6/30/"&amp;MID('AFR20'!E2,3,2)</f>
        <v>Total Federal Expenditures for 7/1/19-6/30/20</v>
      </c>
      <c r="C45" s="1918"/>
      <c r="D45" s="2608">
        <v>0</v>
      </c>
      <c r="E45" s="2609"/>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610"/>
      <c r="F49" s="2610"/>
      <c r="G49" s="2610"/>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574E-8A8B-46B2-B6E2-2273CE91FF02}">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Paw Paw CUSD 271</v>
      </c>
      <c r="C1" s="2615"/>
      <c r="D1" s="2615"/>
      <c r="E1" s="2615"/>
      <c r="F1" s="2615"/>
      <c r="G1" s="2615"/>
      <c r="H1" s="2615"/>
      <c r="I1" s="2615"/>
      <c r="J1" s="2615"/>
      <c r="K1" s="2615"/>
      <c r="L1" s="1144"/>
      <c r="M1" s="1144"/>
    </row>
    <row r="2" spans="1:13" ht="12" customHeight="1" x14ac:dyDescent="0.2">
      <c r="B2" s="2617">
        <f>'Single Audit Cover'!E7</f>
        <v>47052271026</v>
      </c>
      <c r="C2" s="2617"/>
      <c r="D2" s="2617"/>
      <c r="E2" s="2617"/>
      <c r="F2" s="2617"/>
      <c r="G2" s="2617"/>
      <c r="H2" s="2617"/>
      <c r="I2" s="2617"/>
      <c r="J2" s="2617"/>
      <c r="K2" s="2617"/>
      <c r="L2" s="1145"/>
      <c r="M2" s="1146"/>
    </row>
    <row r="3" spans="1:13" ht="10.35" customHeight="1" x14ac:dyDescent="0.2">
      <c r="B3" s="2631" t="s">
        <v>1273</v>
      </c>
      <c r="C3" s="2631"/>
      <c r="D3" s="2631"/>
      <c r="E3" s="2631"/>
      <c r="F3" s="2631"/>
      <c r="G3" s="2631"/>
      <c r="H3" s="2631"/>
      <c r="I3" s="2631"/>
      <c r="J3" s="2631"/>
      <c r="K3" s="2631"/>
      <c r="L3" s="2035"/>
      <c r="M3" s="2035"/>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1284</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v>1</v>
      </c>
      <c r="E10" s="300"/>
      <c r="F10" s="1156" t="s">
        <v>1283</v>
      </c>
      <c r="G10" s="1157"/>
      <c r="H10" s="1158" t="s">
        <v>1282</v>
      </c>
      <c r="I10" s="1157" t="s">
        <v>2050</v>
      </c>
      <c r="J10" s="1159" t="s">
        <v>1281</v>
      </c>
      <c r="K10" s="300"/>
      <c r="L10" s="1151"/>
    </row>
    <row r="11" spans="1:13" ht="13.5" customHeight="1" x14ac:dyDescent="0.2">
      <c r="B11" s="300"/>
      <c r="C11" s="300"/>
      <c r="D11" s="300"/>
      <c r="E11" s="300"/>
      <c r="F11" s="300"/>
      <c r="G11" s="1153"/>
      <c r="H11" s="300"/>
      <c r="I11" s="1160" t="s">
        <v>1280</v>
      </c>
      <c r="J11" s="300"/>
      <c r="K11" s="1161" t="s">
        <v>2080</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34" t="s">
        <v>2081</v>
      </c>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34" t="s">
        <v>2066</v>
      </c>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35" t="s">
        <v>2082</v>
      </c>
      <c r="C20" s="2635"/>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30" t="s">
        <v>2083</v>
      </c>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30" t="s">
        <v>2084</v>
      </c>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29" t="s">
        <v>2085</v>
      </c>
      <c r="C29" s="2629"/>
      <c r="D29" s="2630"/>
      <c r="E29" s="2630"/>
      <c r="F29" s="2630"/>
      <c r="G29" s="2630"/>
      <c r="H29" s="2630"/>
      <c r="I29" s="2630"/>
      <c r="J29" s="2630"/>
      <c r="K29" s="263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29" t="s">
        <v>2086</v>
      </c>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Paw Paw CUSD 271</v>
      </c>
      <c r="C1" s="2615"/>
      <c r="D1" s="2615"/>
      <c r="E1" s="2615"/>
      <c r="F1" s="2615"/>
      <c r="G1" s="2615"/>
      <c r="H1" s="2615"/>
      <c r="I1" s="2615"/>
      <c r="J1" s="2615"/>
      <c r="K1" s="2615"/>
      <c r="L1" s="1144"/>
      <c r="M1" s="1144"/>
    </row>
    <row r="2" spans="1:13" ht="12" customHeight="1" x14ac:dyDescent="0.2">
      <c r="B2" s="2617">
        <f>'Single Audit Cover'!E7</f>
        <v>47052271026</v>
      </c>
      <c r="C2" s="2617"/>
      <c r="D2" s="2617"/>
      <c r="E2" s="2617"/>
      <c r="F2" s="2617"/>
      <c r="G2" s="2617"/>
      <c r="H2" s="2617"/>
      <c r="I2" s="2617"/>
      <c r="J2" s="2617"/>
      <c r="K2" s="2617"/>
      <c r="L2" s="1145"/>
      <c r="M2" s="1146"/>
    </row>
    <row r="3" spans="1:13" ht="10.35" customHeight="1" x14ac:dyDescent="0.2">
      <c r="B3" s="2631" t="s">
        <v>1273</v>
      </c>
      <c r="C3" s="2631"/>
      <c r="D3" s="2631"/>
      <c r="E3" s="2631"/>
      <c r="F3" s="2631"/>
      <c r="G3" s="2631"/>
      <c r="H3" s="2631"/>
      <c r="I3" s="2631"/>
      <c r="J3" s="2631"/>
      <c r="K3" s="2631"/>
      <c r="L3" s="1147"/>
      <c r="M3" s="114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1284</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30"/>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30"/>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35"/>
      <c r="C20" s="2635"/>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30"/>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30"/>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29"/>
      <c r="C29" s="2629"/>
      <c r="D29" s="2630"/>
      <c r="E29" s="2630"/>
      <c r="F29" s="2630"/>
      <c r="G29" s="2630"/>
      <c r="H29" s="2630"/>
      <c r="I29" s="2630"/>
      <c r="J29" s="2630"/>
      <c r="K29" s="263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29"/>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9" t="str">
        <f>'Single Audit Cover'!A7</f>
        <v xml:space="preserve">  Paw Paw CUSD 271</v>
      </c>
      <c r="C1" s="2639"/>
      <c r="D1" s="2639"/>
      <c r="E1" s="2639"/>
      <c r="F1" s="2639"/>
      <c r="G1" s="2639"/>
      <c r="H1" s="2639"/>
      <c r="I1" s="2639"/>
      <c r="J1" s="2639"/>
      <c r="K1" s="2639"/>
      <c r="L1" s="1221"/>
    </row>
    <row r="2" spans="1:12" ht="12.75" customHeight="1" x14ac:dyDescent="0.2">
      <c r="B2" s="2640">
        <f>'Single Audit Cover'!E7</f>
        <v>47052271026</v>
      </c>
      <c r="C2" s="2640"/>
      <c r="D2" s="2640"/>
      <c r="E2" s="2640"/>
      <c r="F2" s="2640"/>
      <c r="G2" s="2640"/>
      <c r="H2" s="2640"/>
      <c r="I2" s="2640"/>
      <c r="J2" s="2640"/>
      <c r="K2" s="2640"/>
      <c r="L2" s="1222"/>
    </row>
    <row r="3" spans="1:12" ht="12.75" customHeight="1" x14ac:dyDescent="0.2">
      <c r="B3" s="2631" t="s">
        <v>1273</v>
      </c>
      <c r="C3" s="2631"/>
      <c r="D3" s="2631"/>
      <c r="E3" s="2631"/>
      <c r="F3" s="2631"/>
      <c r="G3" s="2631"/>
      <c r="H3" s="2631"/>
      <c r="I3" s="2631"/>
      <c r="J3" s="2631"/>
      <c r="K3" s="2631"/>
      <c r="L3" s="1147"/>
    </row>
    <row r="4" spans="1:12" ht="12.75" customHeight="1" x14ac:dyDescent="0.2">
      <c r="B4" s="2631" t="str">
        <f>'Single Audit Cover'!A4</f>
        <v>Year Ending June 30, 2020</v>
      </c>
      <c r="C4" s="2631"/>
      <c r="D4" s="2631"/>
      <c r="E4" s="2631"/>
      <c r="F4" s="2631"/>
      <c r="G4" s="2631"/>
      <c r="H4" s="2631"/>
      <c r="I4" s="2631"/>
      <c r="J4" s="2631"/>
      <c r="K4" s="2631"/>
      <c r="L4" s="1147"/>
    </row>
    <row r="5" spans="1:12" ht="5.25" customHeight="1" x14ac:dyDescent="0.2">
      <c r="B5" s="1036" t="s">
        <v>1158</v>
      </c>
      <c r="C5" s="1036"/>
      <c r="L5" s="300"/>
    </row>
    <row r="6" spans="1:12" ht="30.75" customHeight="1" x14ac:dyDescent="0.2">
      <c r="A6" s="300"/>
      <c r="B6" s="2641" t="s">
        <v>1296</v>
      </c>
      <c r="C6" s="2641"/>
      <c r="D6" s="2641"/>
      <c r="E6" s="2641"/>
      <c r="F6" s="2641"/>
      <c r="G6" s="2641"/>
      <c r="H6" s="2641"/>
      <c r="I6" s="2641"/>
      <c r="J6" s="2641"/>
      <c r="K6" s="2641"/>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22"/>
      <c r="G12" s="2622"/>
      <c r="H12" s="2622"/>
      <c r="I12" s="2622"/>
      <c r="J12" s="2622"/>
      <c r="K12" s="262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36"/>
      <c r="E14" s="2636"/>
      <c r="F14" s="2636"/>
      <c r="H14" s="1230" t="s">
        <v>1291</v>
      </c>
      <c r="I14" s="2637"/>
      <c r="J14" s="2637"/>
      <c r="K14" s="263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37"/>
      <c r="E16" s="2637"/>
      <c r="F16" s="2637"/>
      <c r="G16" s="2637"/>
      <c r="H16" s="2637"/>
      <c r="I16" s="2637"/>
      <c r="J16" s="2637"/>
      <c r="K16" s="2637"/>
      <c r="L16" s="300"/>
    </row>
    <row r="17" spans="2:12" ht="13.5" customHeight="1" x14ac:dyDescent="0.2">
      <c r="B17" s="1156" t="s">
        <v>1289</v>
      </c>
      <c r="C17" s="1156"/>
      <c r="D17" s="2638"/>
      <c r="E17" s="2638"/>
      <c r="F17" s="2638"/>
      <c r="G17" s="2638"/>
      <c r="H17" s="2638"/>
      <c r="I17" s="2638"/>
      <c r="J17" s="2638"/>
      <c r="K17" s="263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30"/>
      <c r="C20" s="2630"/>
      <c r="D20" s="2630"/>
      <c r="E20" s="2630"/>
      <c r="F20" s="2630"/>
      <c r="G20" s="2630"/>
      <c r="H20" s="2630"/>
      <c r="I20" s="2630"/>
      <c r="J20" s="2630"/>
      <c r="K20" s="263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 xml:space="preserve">  Paw Paw CUSD 271</v>
      </c>
      <c r="C1" s="2615"/>
      <c r="D1" s="2615"/>
      <c r="E1" s="1240"/>
    </row>
    <row r="2" spans="2:5" s="1058" customFormat="1" ht="12.75" customHeight="1" x14ac:dyDescent="0.2">
      <c r="B2" s="2617">
        <f>'Single Audit Cover'!E7</f>
        <v>47052271026</v>
      </c>
      <c r="C2" s="2617"/>
      <c r="D2" s="2617"/>
      <c r="E2" s="1241"/>
    </row>
    <row r="3" spans="2:5" ht="12.75" customHeight="1" x14ac:dyDescent="0.2">
      <c r="B3" s="2631" t="s">
        <v>1742</v>
      </c>
      <c r="C3" s="2631"/>
      <c r="D3" s="2631"/>
      <c r="E3" s="1050"/>
    </row>
    <row r="4" spans="2:5" s="1058" customFormat="1" ht="12.75" customHeight="1" x14ac:dyDescent="0.2">
      <c r="B4" s="2642" t="str">
        <f>'Single Audit Cover'!A4</f>
        <v>Year Ending June 30, 2020</v>
      </c>
      <c r="C4" s="2642"/>
      <c r="D4" s="2642"/>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t="s">
        <v>2059</v>
      </c>
      <c r="C7" s="302" t="s">
        <v>2060</v>
      </c>
      <c r="D7" s="302" t="s">
        <v>2061</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0C08-FC8F-43ED-B02D-042B883975DF}">
  <sheetPr codeName="Sheet5"/>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36" customWidth="1"/>
    <col min="2" max="2" width="11.28515625" style="2036" customWidth="1"/>
    <col min="3" max="3" width="6.42578125" style="2036" customWidth="1"/>
    <col min="4" max="4" width="5.42578125" style="2036" customWidth="1"/>
    <col min="5" max="5" width="74.7109375" style="2036" customWidth="1"/>
    <col min="6" max="6" width="1.5703125" style="2036" customWidth="1"/>
    <col min="7" max="8" width="2.42578125" style="2036" customWidth="1"/>
    <col min="9" max="9" width="9.28515625" style="2036" customWidth="1"/>
    <col min="10" max="10" width="14.42578125" style="2036" customWidth="1"/>
    <col min="11" max="11" width="7.28515625" style="2036" customWidth="1"/>
    <col min="12" max="12" width="3.140625" style="2036" customWidth="1"/>
    <col min="13" max="16384" width="9.140625" style="2036"/>
  </cols>
  <sheetData>
    <row r="1" spans="2:12" hidden="1" x14ac:dyDescent="0.2">
      <c r="B1" s="2036" t="str">
        <f>'CAP 2020-001'!B11:E11</f>
        <v>Paw Paw Community Unit School District No. 271</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44" t="s">
        <v>2079</v>
      </c>
      <c r="C11" s="2644"/>
      <c r="D11" s="2644"/>
      <c r="E11" s="2644"/>
      <c r="F11" s="2037"/>
      <c r="G11" s="2037"/>
      <c r="H11" s="2037"/>
      <c r="I11" s="2037"/>
      <c r="J11" s="2037"/>
      <c r="K11" s="2037"/>
      <c r="L11" s="2037"/>
    </row>
    <row r="12" spans="2:12" ht="13.5" customHeight="1" x14ac:dyDescent="0.2">
      <c r="B12" s="2645" t="s">
        <v>2062</v>
      </c>
      <c r="C12" s="2645"/>
      <c r="D12" s="2645"/>
      <c r="E12" s="2645"/>
      <c r="F12" s="2038"/>
      <c r="G12" s="2038"/>
      <c r="H12" s="2038"/>
      <c r="I12" s="2038"/>
      <c r="J12" s="2038"/>
      <c r="K12" s="2038"/>
      <c r="L12" s="2038"/>
    </row>
    <row r="13" spans="2:12" ht="13.5" customHeight="1" x14ac:dyDescent="0.2">
      <c r="B13" s="2646" t="s">
        <v>2078</v>
      </c>
      <c r="C13" s="2646"/>
      <c r="D13" s="2646"/>
      <c r="E13" s="2646"/>
      <c r="F13" s="2039"/>
      <c r="G13" s="2039"/>
      <c r="H13" s="2039"/>
      <c r="I13" s="2039"/>
      <c r="J13" s="2039"/>
      <c r="K13" s="2039"/>
      <c r="L13" s="2039"/>
    </row>
    <row r="14" spans="2:12" ht="13.5" customHeight="1" x14ac:dyDescent="0.2">
      <c r="B14" s="2647" t="s">
        <v>2076</v>
      </c>
      <c r="C14" s="2647"/>
      <c r="D14" s="2647"/>
      <c r="E14" s="2647"/>
      <c r="F14" s="2040"/>
      <c r="G14" s="2040"/>
      <c r="H14" s="2040"/>
      <c r="I14" s="2040"/>
      <c r="J14" s="2040"/>
      <c r="K14" s="2040"/>
      <c r="L14" s="2040"/>
    </row>
    <row r="15" spans="2:12" ht="29.85" customHeight="1" x14ac:dyDescent="0.2"/>
    <row r="16" spans="2:12" ht="13.5" customHeight="1" x14ac:dyDescent="0.2">
      <c r="B16" s="2041" t="s">
        <v>2063</v>
      </c>
      <c r="C16" s="2041"/>
      <c r="D16" s="2042"/>
      <c r="E16" s="2043"/>
      <c r="F16" s="2043"/>
      <c r="G16" s="2044"/>
      <c r="H16" s="2044"/>
      <c r="I16" s="2044"/>
    </row>
    <row r="17" spans="2:5" ht="13.5" customHeight="1" x14ac:dyDescent="0.2">
      <c r="B17" s="2036" t="s">
        <v>1158</v>
      </c>
    </row>
    <row r="18" spans="2:5" ht="13.5" customHeight="1" x14ac:dyDescent="0.2">
      <c r="B18" s="2045" t="s">
        <v>2064</v>
      </c>
      <c r="C18" s="2046" t="s">
        <v>2075</v>
      </c>
      <c r="D18" s="2047">
        <v>1</v>
      </c>
    </row>
    <row r="19" spans="2:5" ht="13.5" customHeight="1" x14ac:dyDescent="0.2">
      <c r="B19" s="2048"/>
      <c r="C19" s="2048"/>
      <c r="D19" s="2048"/>
    </row>
    <row r="20" spans="2:5" ht="13.5" customHeight="1" x14ac:dyDescent="0.2">
      <c r="B20" s="2045" t="s">
        <v>2065</v>
      </c>
      <c r="C20" s="2045"/>
    </row>
    <row r="21" spans="2:5" ht="66.75" customHeight="1" x14ac:dyDescent="0.2">
      <c r="B21" s="2643" t="s">
        <v>2066</v>
      </c>
      <c r="C21" s="2643"/>
      <c r="D21" s="2643"/>
      <c r="E21" s="2643"/>
    </row>
    <row r="22" spans="2:5" ht="13.5" customHeight="1" x14ac:dyDescent="0.2"/>
    <row r="23" spans="2:5" ht="13.5" customHeight="1" x14ac:dyDescent="0.2">
      <c r="B23" s="2045" t="s">
        <v>2067</v>
      </c>
      <c r="C23" s="2045"/>
    </row>
    <row r="24" spans="2:5" ht="76.5" customHeight="1" x14ac:dyDescent="0.2">
      <c r="B24" s="2643" t="s">
        <v>2068</v>
      </c>
      <c r="C24" s="2643"/>
      <c r="D24" s="2643"/>
      <c r="E24" s="2643"/>
    </row>
    <row r="25" spans="2:5" ht="13.5" customHeight="1" x14ac:dyDescent="0.2"/>
    <row r="26" spans="2:5" ht="13.5" customHeight="1" x14ac:dyDescent="0.2">
      <c r="B26" s="2045" t="s">
        <v>2069</v>
      </c>
      <c r="C26" s="2045"/>
      <c r="E26" s="2049" t="s">
        <v>2077</v>
      </c>
    </row>
    <row r="27" spans="2:5" ht="13.5" customHeight="1" x14ac:dyDescent="0.2">
      <c r="E27" s="2036" t="s">
        <v>1158</v>
      </c>
    </row>
    <row r="28" spans="2:5" ht="13.5" customHeight="1" x14ac:dyDescent="0.2">
      <c r="B28" s="2045" t="s">
        <v>2070</v>
      </c>
      <c r="C28" s="2045"/>
      <c r="E28" s="2050" t="s">
        <v>2071</v>
      </c>
    </row>
    <row r="29" spans="2:5" ht="13.5" customHeight="1" x14ac:dyDescent="0.2"/>
    <row r="30" spans="2:5" ht="13.5" customHeight="1" x14ac:dyDescent="0.2">
      <c r="B30" s="2045" t="s">
        <v>2072</v>
      </c>
      <c r="C30" s="2045"/>
      <c r="E30" s="2050" t="s">
        <v>2073</v>
      </c>
    </row>
    <row r="31" spans="2:5" ht="13.5" customHeight="1" x14ac:dyDescent="0.2">
      <c r="E31" s="2050" t="s">
        <v>2074</v>
      </c>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2051"/>
      <c r="C37" s="2051"/>
      <c r="D37" s="2051"/>
    </row>
    <row r="38" spans="2:4" ht="13.5" customHeight="1" x14ac:dyDescent="0.2"/>
    <row r="39" spans="2:4" ht="13.5" customHeight="1" x14ac:dyDescent="0.2">
      <c r="B39" s="2051"/>
      <c r="C39" s="2051"/>
      <c r="D39" s="2051"/>
    </row>
    <row r="40" spans="2:4" ht="13.5" customHeight="1" x14ac:dyDescent="0.2">
      <c r="B40" s="2051"/>
      <c r="C40" s="2051"/>
      <c r="D40" s="2051"/>
    </row>
    <row r="41" spans="2:4" ht="13.5" customHeight="1" x14ac:dyDescent="0.2">
      <c r="B41" s="2051"/>
      <c r="C41" s="2051"/>
      <c r="D41" s="2051"/>
    </row>
    <row r="42" spans="2:4" ht="13.5" customHeight="1" x14ac:dyDescent="0.2">
      <c r="B42" s="2051"/>
      <c r="C42" s="2051"/>
      <c r="D42" s="2051"/>
    </row>
    <row r="43" spans="2:4" ht="12.2" customHeight="1" x14ac:dyDescent="0.2">
      <c r="B43" s="2052"/>
      <c r="C43" s="2052"/>
      <c r="D43" s="2052"/>
    </row>
    <row r="44" spans="2:4" ht="12.75" customHeight="1" x14ac:dyDescent="0.2">
      <c r="B44" s="2045"/>
      <c r="C44" s="2045"/>
      <c r="D44" s="2045"/>
    </row>
    <row r="45" spans="2:4" ht="12.75" customHeight="1" x14ac:dyDescent="0.2">
      <c r="B45" s="2045"/>
      <c r="C45" s="2045"/>
      <c r="D45" s="2045"/>
    </row>
    <row r="46" spans="2:4" x14ac:dyDescent="0.2">
      <c r="B46" s="2045"/>
      <c r="C46" s="2045"/>
      <c r="D46" s="2045"/>
    </row>
    <row r="47" spans="2:4" x14ac:dyDescent="0.2">
      <c r="B47" s="2045"/>
      <c r="C47" s="2045"/>
      <c r="D47" s="2045"/>
    </row>
    <row r="51" spans="2:4" x14ac:dyDescent="0.2">
      <c r="B51" s="2053"/>
      <c r="C51" s="2053"/>
      <c r="D51" s="205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4"/>
      <c r="C64" s="2054"/>
      <c r="D64" s="2054"/>
    </row>
    <row r="65" spans="2:4" x14ac:dyDescent="0.2">
      <c r="B65" s="2045"/>
      <c r="C65" s="2045"/>
      <c r="D65" s="2045"/>
    </row>
    <row r="66" spans="2:4" x14ac:dyDescent="0.2">
      <c r="B66" s="2045"/>
      <c r="C66" s="2045"/>
      <c r="D66" s="2045"/>
    </row>
    <row r="67" spans="2:4" x14ac:dyDescent="0.2">
      <c r="B67" s="2054"/>
      <c r="C67" s="2054"/>
      <c r="D67" s="2054"/>
    </row>
    <row r="68" spans="2:4" x14ac:dyDescent="0.2">
      <c r="B68" s="2054"/>
      <c r="C68" s="2054"/>
      <c r="D68" s="2054"/>
    </row>
    <row r="69" spans="2:4" x14ac:dyDescent="0.2">
      <c r="B69" s="2054"/>
      <c r="C69" s="2054"/>
      <c r="D69" s="2054"/>
    </row>
    <row r="70" spans="2:4" x14ac:dyDescent="0.2">
      <c r="B70" s="2045"/>
      <c r="C70" s="2045"/>
      <c r="D70" s="2045"/>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4d435f69-8686-490b-bd6d-b153bf22ab50"/>
    <ds:schemaRef ds:uri="d21dc803-237d-4c68-8692-8d731fd29118"/>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Sec-2</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2020-10-02T21:55:36Z</cp:lastPrinted>
  <dcterms:created xsi:type="dcterms:W3CDTF">2003-10-29T19:06:34Z</dcterms:created>
  <dcterms:modified xsi:type="dcterms:W3CDTF">2020-10-16T19:23:14Z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