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2100092-E6BA-4530-A91E-486D7B7158F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D38" i="3"/>
  <c r="C39" i="3"/>
  <c r="I13" i="11" l="1"/>
  <c r="E13" i="7"/>
  <c r="E12" i="7"/>
  <c r="E16" i="7"/>
  <c r="E14" i="7"/>
  <c r="E11" i="7"/>
  <c r="E10" i="7"/>
  <c r="E8" i="7"/>
  <c r="E5" i="7"/>
  <c r="E4" i="7"/>
  <c r="E49" i="29" l="1"/>
  <c r="D39" i="3"/>
  <c r="J4" i="3" l="1"/>
  <c r="D268" i="29"/>
  <c r="D264" i="29"/>
  <c r="D215" i="29"/>
  <c r="F4" i="3"/>
  <c r="F124"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J210" i="29" l="1"/>
  <c r="B7072" i="106" s="1"/>
  <c r="D7072" i="106" s="1"/>
  <c r="C129" i="29"/>
  <c r="G35" i="10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H19" i="184"/>
  <c r="L20" i="184" s="1"/>
  <c r="F41" i="108"/>
  <c r="G43" i="108" s="1"/>
  <c r="K342" i="29"/>
  <c r="F13" i="34" s="1"/>
  <c r="G170" i="5"/>
  <c r="B5778" i="106" s="1"/>
  <c r="D5778" i="106" s="1"/>
  <c r="N57" i="184"/>
  <c r="N68" i="184" s="1"/>
  <c r="E68" i="184"/>
  <c r="E19" i="184"/>
  <c r="E367" i="29"/>
  <c r="B3636" i="106" s="1"/>
  <c r="D3636" i="106" s="1"/>
  <c r="B3635" i="106"/>
  <c r="B1328" i="106"/>
  <c r="D1328"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G6" i="4" l="1"/>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F77" i="3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<sst xmlns="http://schemas.openxmlformats.org/spreadsheetml/2006/main" count="5147" uniqueCount="2080">
  <si>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</si>
  <si>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</si>
  <si>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</si>
  <si>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</si>
  <si>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</si>
  <si>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</si>
  <si>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</si>
  <si>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</si>
  <si>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</si>
  <si>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</si>
  <si>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</si>
  <si>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</si>
  <si>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</si>
  <si>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</si>
  <si>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</si>
  <si>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</si>
  <si>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</si>
  <si>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</si>
  <si>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</si>
  <si>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</si>
  <si>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</si>
  <si>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</si>
  <si>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</si>
  <si>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</si>
  <si>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</si>
  <si>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</si>
  <si>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</si>
  <si>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</si>
  <si>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</si>
  <si>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</si>
  <si>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</si>
  <si>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</si>
  <si>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</si>
  <si>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</si>
  <si>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</si>
  <si>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</si>
  <si>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</si>
  <si>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</si>
  <si>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</si>
  <si>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</si>
  <si>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</si>
  <si>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</si>
  <si>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</si>
  <si>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</si>
  <si>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</si>
  <si>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</si>
  <si>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</si>
  <si>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</si>
  <si>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</si>
  <si>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</si>
  <si>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</si>
  <si>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</si>
  <si>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</si>
  <si>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</si>
  <si>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</si>
  <si>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</si>
  <si>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</si>
  <si>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</si>
  <si>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</si>
  <si>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</si>
  <si>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</si>
  <si>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</si>
  <si>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</si>
  <si>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</si>
  <si>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</si>
  <si>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</si>
  <si>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</si>
  <si>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</si>
  <si>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</si>
  <si>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</si>
  <si>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</si>
  <si>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</si>
  <si>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</si>
  <si>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</si>
  <si>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</si>
  <si>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</si>
  <si>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</si>
  <si>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</si>
  <si>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</si>
  <si>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</si>
  <si>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</si>
  <si>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</si>
  <si>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</si>
  <si>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</si>
  <si>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</si>
  <si>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</si>
  <si>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</si>
  <si>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</si>
  <si>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</si>
  <si>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</si>
  <si>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</si>
  <si>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</si>
  <si>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</si>
  <si>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</si>
  <si>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</si>
  <si>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</si>
  <si>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</si>
  <si>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</si>
  <si>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</si>
  <si>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</si>
  <si>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</si>
  <si>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</si>
  <si>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</si>
  <si>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</si>
  <si>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</si>
  <si>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</si>
  <si>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</si>
  <si>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</si>
  <si>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</si>
  <si>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</si>
  <si>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</si>
  <si>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</si>
  <si>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</si>
  <si>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</si>
  <si>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</si>
  <si>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</si>
  <si>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</si>
  <si>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</si>
  <si>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</si>
  <si>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</si>
  <si>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</si>
  <si>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</si>
  <si>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</si>
  <si>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</si>
  <si>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</si>
  <si>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</si>
  <si>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</si>
  <si>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</si>
  <si>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</si>
  <si>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</si>
  <si>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</si>
  <si>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</si>
  <si>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</si>
  <si>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</si>
  <si>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</si>
  <si>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</si>
  <si>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</si>
  <si>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</si>
  <si>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</si>
  <si>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</si>
  <si>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</si>
  <si>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</si>
  <si>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</si>
  <si>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</si>
  <si>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</si>
  <si>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</si>
  <si>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</si>
  <si>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</si>
  <si>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</si>
  <si>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</si>
  <si>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</si>
  <si>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</si>
  <si>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</si>
  <si>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</si>
  <si>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</si>
  <si>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</si>
  <si>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</si>
  <si>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</si>
  <si>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</si>
  <si>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</si>
  <si>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</si>
  <si>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</si>
  <si>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</si>
  <si>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</si>
  <si>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</si>
  <si>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</si>
  <si>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</si>
  <si>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</si>
  <si>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</si>
  <si>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</si>
  <si>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</si>
  <si>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</si>
  <si>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</si>
  <si>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</si>
  <si>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</si>
  <si>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</si>
  <si>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</si>
  <si>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</si>
  <si>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</si>
  <si>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</si>
  <si>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</si>
  <si>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</si>
  <si>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</si>
  <si>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</si>
  <si>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</si>
  <si>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</si>
  <si>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</si>
  <si>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</si>
  <si>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</si>
  <si>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</si>
  <si>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</si>
  <si>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</si>
  <si>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</si>
  <si>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</si>
  <si>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</si>
  <si>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</si>
  <si>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</si>
  <si>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</si>
  <si>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</si>
  <si>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</si>
  <si>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</si>
  <si>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</si>
  <si>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</si>
  <si>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</si>
  <si>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</si>
  <si>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</si>
  <si>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</si>
  <si>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</si>
  <si>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</si>
  <si>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</si>
  <si>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</si>
  <si>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</si>
  <si>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</si>
  <si>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</si>
  <si>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</si>
  <si>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</si>
  <si>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</si>
  <si>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</si>
  <si>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</si>
  <si>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</si>
  <si>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</si>
  <si>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</si>
  <si>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</si>
  <si>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</si>
  <si>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</si>
  <si>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</si>
  <si>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</si>
  <si>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</si>
  <si>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</si>
  <si>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</si>
  <si>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</si>
  <si>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</si>
  <si>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</si>
  <si>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</si>
  <si>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</si>
  <si>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</si>
  <si>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</si>
  <si>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</si>
  <si>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</si>
  <si>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</si>
  <si>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</si>
  <si>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</si>
  <si>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</si>
  <si>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</si>
  <si>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</si>
  <si>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</si>
  <si>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</si>
  <si>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</si>
  <si>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</si>
  <si>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</si>
  <si>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</si>
  <si>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</si>
  <si>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</si>
  <si>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</si>
  <si>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</si>
  <si>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</si>
  <si>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</si>
  <si>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</si>
  <si>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</si>
  <si>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</si>
  <si>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</si>
  <si>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</si>
  <si>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</si>
  <si>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</si>
  <si>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</si>
  <si>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</si>
  <si>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</si>
  <si>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</si>
  <si>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</si>
  <si>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</si>
  <si>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</si>
  <si>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</si>
  <si>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</si>
  <si>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</si>
  <si>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</si>
  <si>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</si>
  <si>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</si>
  <si>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</si>
  <si>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</si>
  <si>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</si>
  <si>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</si>
  <si>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</si>
  <si>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</si>
  <si>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</si>
  <si>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</si>
  <si>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</si>
  <si>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</si>
  <si>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</si>
  <si>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</si>
  <si>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</si>
  <si>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</si>
  <si>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</si>
  <si>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</si>
  <si>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</si>
  <si>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</si>
  <si>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</si>
  <si>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</si>
  <si>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</si>
  <si>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</si>
  <si>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</si>
  <si>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</si>
  <si>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</si>
  <si>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</si>
  <si>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</si>
  <si>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</si>
  <si>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</si>
  <si>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</si>
  <si>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</si>
  <si>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</si>
  <si>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</si>
  <si>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</si>
  <si>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</si>
  <si>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</si>
  <si>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</si>
  <si>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</si>
  <si>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</si>
  <si>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</si>
  <si>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</si>
  <si>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</si>
  <si>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</si>
  <si>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</si>
  <si>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</si>
  <si>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</si>
  <si>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</si>
  <si>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</si>
  <si>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</si>
  <si>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</si>
  <si>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</si>
  <si>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</si>
  <si>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</si>
  <si>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</si>
  <si>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</si>
  <si>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</si>
  <si>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</si>
  <si>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</si>
  <si>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</si>
  <si>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</si>
  <si>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</si>
  <si>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</si>
  <si>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</si>
  <si>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</si>
  <si>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</si>
  <si>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</si>
  <si>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</si>
  <si>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</si>
  <si>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</si>
  <si>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</si>
  <si>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</si>
  <si>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</si>
  <si>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</si>
  <si>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</si>
  <si>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</si>
  <si>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</si>
  <si>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</si>
  <si>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</si>
  <si>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</si>
  <si>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</si>
  <si>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</si>
  <si>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</si>
  <si>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</si>
  <si>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</si>
  <si>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</si>
  <si>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</si>
  <si>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</si>
  <si>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</si>
  <si>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</si>
  <si>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</si>
  <si>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</si>
  <si>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</si>
  <si>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</si>
  <si>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</si>
  <si>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</si>
  <si>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</si>
  <si>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</si>
  <si>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</si>
  <si>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</si>
  <si>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</si>
  <si>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</si>
  <si>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</si>
  <si>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</si>
  <si>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</si>
  <si>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</si>
  <si>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</si>
  <si>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</si>
  <si>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</si>
  <si>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</si>
  <si>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</si>
  <si>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</si>
  <si>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</si>
  <si>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</si>
  <si>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</si>
  <si>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</si>
  <si>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</si>
  <si>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</si>
  <si>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</si>
  <si>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</si>
  <si>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</si>
  <si>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</si>
  <si>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</si>
  <si>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</si>
  <si>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</si>
  <si>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</si>
  <si>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</si>
  <si>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</si>
  <si>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</si>
  <si>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</si>
  <si>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</si>
  <si>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</si>
  <si>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</si>
  <si>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</si>
  <si>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</si>
  <si>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</si>
  <si>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</si>
  <si>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</si>
  <si>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</si>
  <si>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</si>
  <si>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</si>
  <si>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</si>
  <si>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</si>
  <si>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</si>
  <si>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</si>
  <si>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</si>
  <si>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</si>
  <si>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</si>
  <si>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</si>
  <si>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</si>
  <si>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</si>
  <si>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</si>
  <si>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</si>
  <si>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</si>
  <si>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</si>
  <si>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</si>
  <si>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</si>
  <si>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</si>
  <si>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</si>
  <si>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</si>
  <si>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</si>
  <si>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</si>
  <si>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</si>
  <si>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</si>
  <si>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</si>
  <si>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</si>
  <si>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</si>
  <si>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</si>
  <si>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</si>
  <si>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</si>
  <si>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</si>
  <si>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</si>
  <si>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</si>
  <si>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</si>
  <si>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</si>
  <si>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</si>
  <si>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</si>
  <si>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</si>
  <si>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</si>
  <si>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</si>
  <si>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</si>
  <si>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</si>
  <si>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</si>
  <si>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</si>
  <si>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</si>
  <si>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</si>
  <si>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</si>
  <si>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</si>
  <si>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</si>
  <si>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</si>
  <si>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</si>
  <si>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</si>
  <si>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</si>
  <si>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</si>
  <si>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</si>
  <si>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</si>
  <si>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</si>
  <si>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</si>
  <si>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</si>
  <si>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</si>
  <si>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</si>
  <si>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</si>
  <si>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</si>
  <si>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</si>
  <si>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</si>
  <si>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</si>
  <si>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</si>
  <si>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</si>
  <si>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</si>
  <si>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</si>
  <si>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</si>
  <si>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</si>
  <si>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</si>
  <si>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</si>
  <si>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</si>
  <si>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</si>
  <si>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</si>
  <si>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</si>
  <si>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</si>
  <si>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</si>
  <si>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</si>
  <si>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</si>
  <si>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</si>
  <si>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</si>
  <si>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</si>
  <si>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</si>
  <si>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</si>
  <si>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</si>
  <si>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</si>
  <si>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</si>
  <si>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</si>
  <si>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</si>
  <si>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</si>
  <si>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</si>
  <si>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</si>
  <si>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</si>
  <si>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</si>
  <si>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</si>
  <si>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</si>
  <si>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</si>
  <si>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</si>
  <si>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</si>
  <si>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</si>
  <si>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</si>
  <si>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</si>
  <si>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</si>
  <si>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</si>
  <si>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</si>
  <si>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</si>
  <si>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</si>
  <si>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</si>
  <si>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</si>
  <si>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</si>
  <si>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</si>
  <si>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</si>
  <si>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</si>
  <si>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</si>
  <si>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</si>
  <si>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</si>
  <si>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</si>
  <si>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</si>
  <si>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</si>
  <si>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</si>
  <si>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</si>
  <si>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</si>
  <si>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</si>
  <si>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</si>
  <si>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</si>
  <si>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</si>
  <si>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</si>
  <si>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</si>
  <si>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</si>
  <si>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</si>
  <si>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</si>
  <si>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</si>
  <si>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</si>
  <si>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</si>
  <si>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</si>
  <si>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</si>
  <si>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</si>
  <si>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</si>
  <si>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</si>
  <si>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</si>
  <si>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</si>
  <si>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</si>
  <si>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</si>
  <si>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</si>
  <si>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</si>
  <si>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</si>
  <si>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</si>
  <si>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</si>
  <si>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</si>
  <si>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</si>
  <si>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</si>
  <si>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</si>
  <si>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</si>
  <si>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</si>
  <si>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</si>
  <si>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</si>
  <si>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</si>
  <si>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</si>
  <si>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</si>
  <si>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</si>
  <si>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</si>
  <si>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</si>
  <si>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</si>
  <si>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</si>
  <si>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</si>
  <si>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</si>
  <si>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</si>
  <si>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</si>
  <si>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</si>
  <si>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</si>
  <si>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</si>
  <si>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</si>
  <si>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</si>
  <si>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</si>
  <si>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</si>
  <si>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</si>
  <si>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</si>
  <si>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</si>
  <si>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</si>
  <si>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</si>
  <si>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</si>
  <si>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</si>
  <si>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</si>
  <si>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</si>
  <si>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</si>
  <si>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</si>
  <si>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</si>
  <si>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</si>
  <si>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</si>
  <si>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</si>
  <si>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</si>
  <si>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</si>
  <si>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</si>
  <si>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</si>
  <si>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</si>
  <si>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</si>
  <si>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</si>
  <si>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</si>
  <si>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</si>
  <si>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</si>
  <si>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</si>
  <si>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</si>
  <si>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</si>
  <si>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</si>
  <si>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</si>
  <si>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</si>
  <si>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</si>
  <si>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</si>
  <si>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</si>
  <si>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</si>
  <si>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</si>
  <si>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</si>
  <si>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</si>
  <si>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</si>
  <si>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</si>
  <si>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</si>
  <si>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</si>
  <si>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</si>
  <si>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</si>
  <si>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</si>
  <si>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</si>
  <si>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</si>
  <si>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</si>
  <si>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</si>
  <si>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</si>
  <si>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</si>
  <si>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</si>
  <si>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</si>
  <si>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</si>
  <si>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</si>
  <si>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</si>
  <si>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</si>
  <si>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</si>
  <si>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</si>
  <si>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</si>
  <si>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</si>
  <si>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</si>
  <si>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</si>
  <si>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</si>
  <si>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</si>
  <si>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</si>
  <si>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</si>
  <si>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</si>
  <si>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</si>
  <si>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</si>
  <si>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</si>
  <si>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</si>
  <si>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</si>
  <si>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</si>
  <si>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</si>
  <si>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</si>
  <si>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</si>
  <si>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</si>
  <si>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</si>
  <si>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</si>
  <si>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</si>
  <si>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</si>
  <si>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</si>
  <si>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</si>
  <si>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</si>
  <si>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</si>
  <si>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</si>
  <si>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</si>
  <si>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</si>
  <si>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</si>
  <si>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</si>
  <si>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</si>
  <si>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</si>
  <si>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</si>
  <si>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</si>
  <si>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</si>
  <si>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</si>
  <si>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</si>
  <si>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</si>
  <si>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</si>
  <si>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</si>
  <si>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</si>
  <si>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</si>
  <si>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</si>
  <si>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</si>
  <si>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</si>
  <si>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</si>
  <si>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</si>
  <si>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</si>
  <si>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</si>
  <si>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</si>
  <si>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</si>
  <si>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</si>
  <si>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</si>
  <si>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</si>
  <si>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</si>
  <si>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</si>
  <si>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</si>
  <si>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</si>
  <si>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</si>
  <si>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</si>
  <si>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</si>
  <si>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</si>
  <si>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</si>
  <si>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</si>
  <si>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</si>
  <si>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</si>
  <si>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</si>
  <si>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</si>
  <si>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</si>
  <si>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</si>
  <si>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</si>
  <si>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</si>
  <si>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</si>
  <si>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</si>
  <si>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</si>
  <si>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</si>
  <si>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</si>
  <si>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</si>
  <si>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</si>
  <si>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</si>
  <si>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</si>
  <si>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</si>
  <si>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</si>
  <si>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</si>
  <si>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</si>
  <si>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</si>
  <si>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</si>
  <si>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</si>
  <si>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</si>
  <si>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</si>
  <si>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</si>
  <si>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</si>
  <si>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</si>
  <si>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</si>
  <si>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</si>
  <si>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</si>
  <si>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</si>
  <si>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</si>
  <si>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</si>
  <si>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</si>
  <si>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</si>
  <si>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</si>
  <si>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</si>
  <si>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</si>
  <si>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</si>
  <si>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</si>
  <si>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</si>
  <si>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</si>
  <si>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</si>
  <si>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</si>
  <si>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</si>
  <si>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</si>
  <si>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</si>
  <si>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</si>
  <si>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</si>
  <si>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</si>
  <si>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</si>
  <si>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</si>
  <si>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</si>
  <si>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</si>
  <si>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</si>
  <si>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</si>
  <si>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</si>
  <si>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</si>
  <si>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</si>
  <si>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</si>
  <si>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</si>
  <si>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</si>
  <si>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</si>
  <si>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</si>
  <si>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</si>
  <si>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</si>
  <si>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</si>
  <si>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</si>
  <si>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</si>
  <si>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</si>
  <si>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</si>
  <si>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</si>
  <si>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</si>
  <si>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</si>
  <si>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</si>
  <si>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</si>
  <si>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</si>
  <si>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</si>
  <si>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</si>
  <si>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</si>
  <si>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</si>
  <si>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</si>
  <si>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</si>
  <si>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</si>
  <si>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</si>
  <si>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</si>
  <si>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</si>
  <si>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</si>
  <si>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</si>
  <si>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</si>
  <si>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</si>
  <si>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</si>
  <si>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</si>
  <si>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</si>
  <si>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</si>
  <si>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</si>
  <si>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</si>
  <si>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</si>
  <si>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</si>
  <si>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</si>
  <si>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</si>
  <si>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</si>
  <si>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</si>
  <si>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</si>
  <si>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</si>
  <si>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</si>
  <si>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</si>
  <si>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</si>
  <si>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</si>
  <si>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</si>
  <si>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</si>
  <si>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</si>
  <si>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</si>
  <si>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</si>
  <si>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</si>
  <si>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</si>
  <si>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</si>
  <si>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</si>
  <si>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</si>
  <si>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</si>
  <si>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</si>
  <si>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</si>
  <si>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</si>
  <si>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</si>
  <si>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</si>
  <si>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</si>
  <si>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</si>
  <si>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</si>
  <si>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</si>
  <si>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</si>
  <si>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</si>
  <si>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</si>
  <si>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</si>
  <si>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</si>
  <si>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</si>
  <si>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</si>
  <si>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</si>
  <si>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</si>
  <si>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</si>
  <si>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</si>
  <si>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</si>
  <si>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</si>
  <si>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</si>
  <si>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</si>
  <si>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</si>
  <si>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</si>
  <si>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</si>
  <si>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</si>
  <si>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</si>
  <si>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</si>
  <si>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</si>
  <si>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</si>
  <si>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</si>
  <si>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</si>
  <si>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</si>
  <si>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</si>
  <si>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</si>
  <si>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</si>
  <si>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</si>
  <si>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</si>
  <si>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</si>
  <si>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</si>
  <si>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</si>
  <si>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</si>
  <si>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</si>
  <si>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</si>
  <si>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</si>
  <si>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</si>
  <si>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</si>
  <si>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</si>
  <si>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</si>
  <si>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</si>
  <si>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</si>
  <si>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</si>
  <si>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</si>
  <si>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</si>
  <si>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</si>
  <si>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</si>
  <si>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</si>
  <si>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</si>
  <si>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</si>
  <si>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</si>
  <si>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</si>
  <si>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</si>
  <si>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</si>
  <si>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</si>
  <si>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</si>
  <si>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</si>
  <si>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</si>
  <si>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</si>
  <si>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</si>
  <si>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</si>
  <si>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</si>
  <si>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</si>
  <si>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</si>
  <si>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</si>
  <si>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</si>
  <si>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</si>
  <si>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</si>
  <si>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</si>
  <si>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</si>
  <si>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</si>
  <si>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</si>
  <si>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</si>
  <si>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</si>
  <si>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</si>
  <si>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</si>
  <si>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</si>
  <si>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</si>
  <si>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</si>
  <si>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</si>
  <si>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</si>
  <si>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</si>
  <si>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</si>
  <si>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</si>
  <si>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</si>
  <si>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</si>
  <si>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</si>
  <si>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</si>
  <si>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</si>
  <si>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</si>
  <si>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</si>
  <si>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</si>
  <si>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</si>
  <si>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</si>
  <si>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</si>
  <si>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</si>
  <si>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</si>
  <si>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</si>
  <si>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</si>
  <si>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</si>
  <si>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</si>
  <si>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</si>
  <si>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</si>
  <si>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</si>
  <si>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</si>
  <si>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</si>
  <si>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</si>
  <si>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</si>
  <si>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</si>
  <si>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</si>
  <si>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</si>
  <si>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</si>
  <si>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</si>
  <si>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</si>
  <si>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</si>
  <si>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</si>
  <si>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</si>
  <si>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</si>
  <si>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</si>
  <si>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</si>
  <si>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</si>
  <si>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</si>
  <si>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</si>
  <si>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</si>
  <si>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</si>
  <si>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</si>
  <si>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</si>
  <si>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</si>
  <si>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</si>
  <si>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</si>
  <si>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</si>
  <si>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</si>
  <si>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</si>
  <si>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</si>
  <si>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</si>
  <si>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</si>
  <si>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</si>
  <si>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</si>
  <si>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</si>
  <si>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</si>
  <si>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</si>
  <si>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</si>
  <si>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</si>
  <si>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</si>
  <si>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</si>
  <si>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</si>
  <si>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</si>
  <si>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</si>
  <si>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</si>
  <si>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</si>
  <si>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</si>
  <si>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</si>
  <si>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</si>
  <si>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</si>
  <si>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</si>
  <si>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</si>
  <si>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</si>
  <si>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</si>
  <si>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</si>
  <si>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</si>
  <si>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</si>
  <si>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</si>
  <si>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</si>
  <si>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</si>
  <si>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</si>
  <si>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</si>
  <si>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</si>
  <si>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</si>
  <si>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</si>
  <si>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</si>
  <si>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</si>
  <si>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</si>
  <si>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</si>
  <si>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</si>
  <si>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</si>
  <si>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</si>
  <si>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</si>
  <si>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</si>
  <si>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</si>
  <si>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</si>
  <si>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</si>
  <si>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</si>
  <si>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</si>
  <si>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</si>
  <si>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</si>
  <si>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</si>
  <si>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</si>
  <si>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</si>
  <si>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</si>
  <si>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</si>
  <si>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</si>
  <si>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</si>
  <si>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</si>
  <si>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</si>
  <si>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</si>
  <si>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</si>
  <si>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</si>
  <si>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</si>
  <si>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</si>
  <si>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</si>
  <si>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</si>
  <si>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</si>
  <si>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</si>
  <si>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</si>
  <si>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</si>
  <si>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</si>
  <si>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</si>
  <si>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</si>
  <si>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</si>
  <si>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</si>
  <si>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</si>
  <si>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</si>
  <si>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</si>
  <si>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</si>
  <si>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</si>
  <si>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</si>
  <si>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</si>
  <si>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</si>
  <si>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</si>
  <si>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</si>
  <si>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</si>
  <si>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</si>
  <si>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</si>
  <si>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</si>
  <si>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</si>
  <si>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</si>
  <si>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</si>
  <si>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</si>
  <si>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</si>
  <si>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</si>
  <si>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</si>
  <si>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</si>
  <si>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</si>
  <si>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</si>
  <si>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</si>
  <si>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</si>
  <si>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</si>
  <si>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</si>
  <si>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</si>
  <si>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</si>
  <si>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</si>
  <si>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</si>
  <si>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</si>
  <si>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</si>
  <si>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</si>
  <si>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</si>
  <si>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</si>
  <si>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</si>
  <si>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</si>
  <si>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</si>
  <si>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</si>
  <si>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</si>
  <si>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</si>
  <si>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</si>
  <si>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</si>
  <si>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</si>
  <si>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</si>
  <si>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</si>
  <si>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</si>
  <si>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</si>
  <si>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</si>
  <si>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</si>
  <si>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</si>
  <si>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</si>
  <si>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</si>
  <si>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</si>
  <si>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</si>
  <si>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</si>
  <si>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</si>
  <si>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</si>
  <si>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</si>
  <si>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</si>
  <si>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</si>
  <si>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</si>
  <si>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</si>
  <si>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</si>
  <si>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</si>
  <si>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</si>
  <si>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</si>
  <si>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</si>
  <si>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</si>
  <si>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</si>
  <si>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</si>
  <si>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</si>
  <si>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</si>
  <si>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</si>
  <si>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</si>
  <si>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</si>
  <si>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</si>
  <si>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</si>
  <si>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</si>
  <si>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</si>
  <si>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</si>
  <si>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</si>
  <si>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</si>
  <si>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</si>
  <si>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</si>
  <si>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</si>
  <si>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</si>
  <si>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</si>
  <si>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</si>
  <si>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</si>
  <si>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</si>
  <si>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</si>
  <si>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</si>
  <si>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</si>
  <si>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</si>
  <si>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</si>
  <si>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</si>
  <si>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</si>
  <si>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</si>
  <si>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</si>
  <si>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</si>
  <si>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</si>
  <si>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</si>
  <si>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</si>
  <si>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</si>
  <si>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</si>
  <si>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</si>
  <si>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</si>
  <si>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</si>
  <si>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</si>
  <si>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</si>
  <si>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</si>
  <si>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</si>
  <si>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</si>
  <si>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</si>
  <si>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</si>
  <si>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</si>
  <si>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</si>
  <si>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</si>
  <si>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</si>
  <si>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</si>
  <si>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</si>
  <si>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</si>
  <si>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</si>
  <si>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</si>
  <si>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</si>
  <si>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</si>
  <si>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</si>
  <si>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</si>
  <si>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</si>
  <si>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</si>
  <si>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</si>
  <si>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</si>
  <si>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</si>
  <si>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</si>
  <si>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</si>
  <si>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</si>
  <si>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</si>
  <si>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</si>
  <si>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</si>
  <si>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</si>
  <si>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</si>
  <si>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</si>
  <si>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</si>
  <si>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</si>
  <si>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</si>
  <si>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</si>
  <si>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</si>
  <si>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</si>
  <si>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</si>
  <si>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</si>
  <si>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</si>
  <si>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</si>
  <si>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</si>
  <si>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</si>
  <si>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</si>
  <si>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</si>
  <si>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</si>
  <si>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</si>
  <si>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</si>
  <si>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</si>
  <si>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</si>
  <si>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</si>
  <si>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</si>
  <si>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</si>
  <si>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</si>
  <si>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</si>
  <si>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</si>
  <si>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</si>
  <si>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</si>
  <si>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</si>
  <si>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</si>
  <si>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</si>
  <si>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</si>
  <si>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</si>
  <si>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</si>
  <si>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</si>
  <si>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</si>
  <si>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</si>
  <si>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</si>
  <si>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</si>
  <si>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</si>
  <si>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</si>
  <si>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</si>
  <si>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</si>
  <si>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</si>
  <si>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</si>
  <si>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</si>
  <si>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</si>
  <si>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</si>
  <si>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</si>
  <si>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</si>
  <si>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</si>
  <si>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</si>
  <si>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</si>
  <si>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</si>
  <si>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</si>
  <si>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</si>
  <si>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</si>
  <si>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</si>
  <si>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</si>
  <si>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</si>
  <si>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</si>
  <si>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</si>
  <si>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</si>
  <si>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</si>
  <si>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</si>
  <si>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</si>
  <si>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</si>
  <si>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</si>
  <si>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</si>
  <si>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</si>
  <si>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</si>
  <si>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</si>
  <si>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</si>
  <si>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</si>
  <si>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</si>
  <si>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</si>
  <si>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</si>
  <si>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</si>
  <si>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</si>
  <si>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</si>
  <si>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</si>
  <si>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</si>
  <si>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</si>
  <si>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</si>
  <si>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</si>
  <si>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</si>
  <si>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</si>
  <si>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</si>
  <si>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</si>
  <si>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</si>
  <si>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</si>
  <si>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</si>
  <si>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</si>
  <si>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</si>
  <si>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</si>
  <si>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</si>
  <si>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</si>
  <si>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</si>
  <si>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</si>
  <si>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</si>
  <si>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</si>
  <si>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</si>
  <si>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</si>
  <si>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</si>
  <si>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</si>
  <si>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</si>
  <si>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</si>
  <si>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</si>
  <si>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</si>
  <si>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</si>
  <si>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</si>
  <si>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</si>
  <si>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</si>
  <si>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</si>
  <si>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</si>
  <si>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</si>
  <si>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</si>
  <si>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</si>
  <si>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</si>
  <si>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</si>
  <si>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</si>
  <si>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</si>
  <si>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</si>
  <si>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</si>
  <si>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</si>
  <si>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</si>
  <si>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</si>
  <si>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</si>
  <si>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</si>
  <si>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</si>
  <si>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</si>
  <si>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</si>
  <si>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</si>
  <si>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</si>
  <si>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</si>
  <si>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</si>
  <si>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</si>
  <si>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</si>
  <si>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</si>
  <si>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</si>
  <si>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</si>
  <si>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</si>
  <si>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</si>
  <si>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</si>
  <si>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</si>
  <si>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</si>
  <si>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</si>
  <si>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</si>
  <si>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</si>
  <si>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</si>
  <si>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</si>
  <si>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</si>
  <si>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</si>
  <si>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</si>
  <si>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</si>
  <si>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</si>
  <si>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</si>
  <si>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</si>
  <si>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</si>
  <si>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</si>
  <si>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</si>
  <si>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</si>
  <si>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</si>
  <si>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</si>
  <si>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</si>
  <si>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</si>
  <si>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</si>
  <si>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</si>
  <si>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</si>
  <si>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</si>
  <si>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</si>
  <si>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</si>
  <si>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</si>
  <si>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</si>
  <si>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</si>
  <si>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</si>
  <si>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</si>
  <si>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</si>
  <si>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</si>
  <si>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</si>
  <si>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</si>
  <si>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</si>
  <si>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</si>
  <si>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</si>
  <si>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</si>
  <si>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</si>
  <si>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</si>
  <si>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</si>
  <si>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</si>
  <si>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</si>
  <si>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</si>
  <si>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</si>
  <si>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</si>
  <si>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</si>
  <si>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</si>
  <si>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</si>
  <si>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</si>
  <si>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</si>
  <si>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</si>
  <si>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</si>
  <si>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</si>
  <si>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</si>
  <si>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</si>
  <si>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</si>
  <si>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</si>
  <si>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</si>
  <si>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</si>
  <si>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</si>
  <si>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</si>
  <si>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</si>
  <si>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</si>
  <si>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</si>
  <si>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</si>
  <si>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</si>
  <si>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</si>
  <si>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</si>
  <si>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</si>
  <si>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</si>
  <si>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</si>
  <si>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</si>
  <si>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</si>
  <si>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</si>
  <si>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</si>
  <si>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</si>
  <si>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</si>
  <si>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</si>
  <si>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</si>
  <si>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</si>
  <si>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</si>
  <si>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</si>
  <si>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</si>
  <si>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</si>
  <si>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</si>
  <si>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</si>
  <si>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</si>
  <si>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</si>
  <si>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</si>
  <si>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</si>
  <si>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</si>
  <si>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</si>
  <si>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</si>
  <si>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</si>
  <si>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</si>
  <si>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</si>
  <si>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</si>
  <si>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</si>
  <si>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</si>
  <si>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</si>
  <si>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</si>
  <si>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</si>
  <si>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</si>
  <si>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</si>
  <si>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</si>
  <si>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</si>
  <si>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</si>
  <si>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</si>
  <si>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</si>
  <si>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</si>
  <si>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</si>
  <si>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</si>
  <si>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</si>
  <si>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</si>
  <si>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</si>
  <si>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</si>
  <si>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</si>
  <si>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</si>
  <si>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</si>
  <si>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</si>
  <si>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</si>
  <si>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</si>
  <si>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</si>
  <si>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</si>
  <si>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</si>
  <si>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</si>
  <si>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</si>
  <si>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</si>
  <si>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</si>
  <si>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</si>
  <si>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</si>
  <si>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</si>
  <si>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</si>
  <si>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</si>
  <si>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</si>
  <si>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</si>
  <si>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</si>
  <si>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</si>
  <si>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</si>
  <si>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</si>
  <si>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</si>
  <si>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</si>
  <si>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</si>
  <si>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</si>
  <si>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</si>
  <si>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</si>
  <si>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</si>
  <si>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</si>
  <si>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</si>
  <si>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</si>
  <si>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</si>
  <si>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</si>
  <si>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</si>
  <si>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</si>
  <si>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</si>
  <si>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</si>
  <si>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</si>
  <si>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</si>
  <si>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</si>
  <si>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</si>
  <si>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</si>
  <si>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</si>
  <si>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</si>
  <si>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</si>
  <si>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</si>
  <si>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</si>
  <si>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</si>
  <si>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</si>
  <si>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</si>
  <si>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</si>
  <si>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</si>
  <si>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</si>
  <si>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</si>
  <si>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</si>
  <si>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</si>
  <si>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</si>
  <si>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</si>
  <si>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</si>
  <si>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</si>
  <si>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</si>
  <si>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</si>
  <si>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</si>
  <si>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</si>
  <si>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</si>
  <si>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</si>
  <si>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</si>
  <si>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</si>
  <si>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</si>
  <si>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</si>
  <si>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</si>
  <si>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</si>
  <si>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</si>
  <si>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</si>
  <si>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</si>
  <si>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</si>
  <si>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</si>
  <si>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</si>
  <si>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</si>
  <si>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</si>
  <si>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</si>
  <si>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</si>
  <si>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</si>
  <si>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</si>
  <si>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</si>
  <si>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</si>
  <si>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</si>
  <si>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</si>
  <si>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</si>
  <si>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</si>
  <si>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</si>
  <si>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</si>
  <si>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</si>
  <si>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</si>
  <si>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</si>
  <si>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</si>
  <si>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</si>
  <si>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</si>
  <si>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</si>
  <si>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</si>
  <si>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</si>
  <si>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</si>
  <si>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</si>
  <si>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</si>
  <si>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</si>
  <si>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</si>
  <si>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</si>
  <si>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</si>
  <si>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</si>
  <si>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</si>
  <si>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</si>
  <si>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</si>
  <si>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</si>
  <si>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</si>
  <si>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</si>
  <si>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</si>
  <si>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</si>
  <si>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</si>
  <si>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</si>
  <si>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</si>
  <si>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</si>
  <si>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</si>
  <si>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</si>
  <si>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</si>
  <si>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</si>
  <si>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</si>
  <si>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</si>
  <si>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</si>
  <si>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</si>
  <si>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</si>
  <si>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</si>
  <si>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</si>
  <si>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</si>
  <si>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</si>
  <si>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</si>
  <si>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</si>
  <si>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</si>
  <si>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</si>
  <si>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</si>
  <si>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</si>
  <si>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</si>
  <si>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</si>
  <si>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</si>
  <si>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</si>
  <si>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</si>
  <si>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</si>
  <si>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</si>
  <si>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</si>
  <si>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</si>
  <si>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</si>
  <si>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</si>
  <si>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</si>
  <si>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</si>
  <si>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</si>
  <si>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</si>
  <si>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</si>
  <si>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</si>
  <si>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</si>
  <si>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</si>
  <si>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</si>
  <si>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</si>
  <si>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</si>
  <si>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</si>
  <si>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</si>
  <si>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</si>
  <si>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</si>
  <si>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</si>
  <si>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</si>
  <si>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</si>
  <si>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</si>
  <si>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</si>
  <si>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</si>
  <si>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</si>
  <si>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</si>
  <si>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</si>
  <si>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</si>
  <si>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</si>
  <si>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</si>
  <si>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</si>
  <si>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</si>
  <si>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</si>
  <si>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</si>
  <si>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</si>
  <si>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</si>
  <si>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</si>
  <si>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</si>
  <si>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</si>
  <si>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</si>
  <si>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</si>
  <si>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</si>
  <si>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</si>
  <si>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</si>
  <si>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</si>
  <si>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</si>
  <si>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</si>
  <si>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</si>
  <si>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</si>
  <si>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</si>
  <si>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</si>
  <si>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</si>
  <si>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</si>
  <si>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</si>
  <si>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</si>
  <si>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</si>
  <si>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</si>
  <si>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</si>
  <si>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</si>
  <si>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</si>
  <si>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</si>
  <si>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</si>
  <si>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</si>
  <si>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</si>
  <si>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</si>
  <si>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</si>
  <si>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</si>
  <si>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</si>
  <si>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</si>
  <si>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</si>
  <si>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</si>
  <si>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</si>
  <si>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</si>
  <si>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</si>
  <si>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</si>
  <si>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</si>
  <si>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</si>
  <si>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</si>
  <si>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</si>
  <si>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</si>
  <si>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</si>
  <si>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</si>
  <si>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</si>
  <si>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</si>
  <si>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</si>
  <si>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</si>
  <si>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</si>
  <si>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</si>
  <si>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</si>
  <si>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</si>
  <si>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</si>
  <si>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</si>
  <si>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</si>
  <si>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</si>
  <si>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</si>
  <si>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</si>
  <si>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</si>
  <si>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</si>
  <si>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</si>
  <si>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</si>
  <si>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</si>
  <si>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</si>
  <si>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</si>
  <si>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</si>
  <si>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</si>
  <si>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</si>
  <si>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</si>
  <si>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</si>
  <si>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</si>
  <si>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</si>
  <si>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</si>
  <si>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</si>
  <si>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</si>
  <si>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</si>
  <si>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</si>
  <si>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</si>
  <si>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</si>
  <si>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</si>
  <si>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</si>
  <si>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</si>
  <si>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</si>
  <si>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</si>
  <si>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</si>
  <si>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</si>
  <si>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</si>
  <si>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</si>
  <si>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</si>
  <si>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</si>
  <si>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</si>
  <si>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</si>
  <si>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</si>
  <si>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</si>
  <si>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</si>
  <si>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</si>
  <si>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</si>
  <si>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</si>
  <si>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</si>
  <si>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</si>
  <si>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</si>
  <si>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</si>
  <si>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</si>
  <si>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</si>
  <si>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</si>
  <si>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</si>
  <si>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</si>
  <si>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</si>
  <si>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</si>
  <si>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</si>
  <si>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</si>
  <si>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</si>
  <si>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</si>
  <si>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</si>
  <si>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</si>
  <si>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</si>
  <si>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</si>
  <si>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</si>
  <si>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</si>
  <si>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</si>
  <si>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</si>
  <si>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</si>
  <si>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</si>
  <si>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</si>
  <si>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</si>
  <si>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</si>
  <si>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</si>
  <si>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</si>
  <si>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</si>
  <si>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</si>
  <si>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</si>
  <si>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</si>
  <si>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</si>
  <si>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</si>
  <si>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</si>
  <si>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</si>
  <si>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</si>
  <si>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</si>
  <si>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</si>
  <si>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</si>
  <si>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</si>
  <si>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</si>
  <si>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</si>
  <si>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</si>
  <si>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</si>
  <si>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</si>
  <si>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</si>
  <si>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</si>
  <si>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</si>
  <si>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</si>
  <si>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</si>
  <si>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</si>
  <si>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</si>
  <si>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</si>
  <si>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</si>
  <si>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</si>
  <si>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</si>
  <si>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</si>
  <si>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</si>
  <si>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</si>
  <si>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</si>
  <si>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</si>
  <si>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</si>
  <si>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</si>
  <si>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</si>
  <si>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</si>
  <si>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</si>
  <si>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</si>
  <si>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</si>
  <si>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</si>
  <si>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</si>
  <si>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</si>
  <si>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</si>
  <si>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</si>
  <si>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</si>
  <si>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</si>
  <si>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</si>
  <si>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</si>
  <si>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</si>
  <si>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</si>
  <si>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</si>
  <si>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</si>
  <si>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</si>
  <si>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</si>
  <si>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</si>
  <si>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</si>
  <si>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</si>
  <si>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</si>
  <si>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</si>
  <si>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</si>
  <si>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</si>
  <si>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</si>
  <si>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</si>
  <si>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</si>
  <si>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</si>
  <si>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</si>
  <si>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</si>
  <si>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</si>
  <si>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</si>
  <si>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</si>
  <si>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</si>
  <si>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</si>
  <si>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</si>
  <si>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</si>
  <si>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</si>
  <si>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</si>
  <si>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</si>
  <si>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</si>
  <si>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</si>
  <si>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</si>
  <si>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</si>
  <si>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</si>
  <si>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</si>
  <si>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</si>
  <si>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</si>
  <si>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</si>
  <si>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</si>
  <si>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</si>
  <si>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</si>
  <si>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</si>
  <si>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</si>
  <si>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</si>
  <si>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</si>
  <si>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</si>
  <si>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</si>
  <si>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</si>
  <si>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</si>
  <si>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</si>
  <si>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</si>
  <si>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</si>
  <si>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</si>
  <si>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</si>
  <si>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</si>
  <si>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</si>
  <si>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</si>
  <si>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</si>
  <si>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</si>
  <si>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</si>
  <si>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</si>
  <si>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</si>
  <si>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</si>
  <si>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</si>
  <si>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</si>
  <si>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</si>
  <si>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</si>
  <si>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</si>
  <si>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</si>
  <si>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</si>
  <si>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</si>
  <si>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</si>
  <si>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</si>
  <si>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</si>
  <si>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</si>
  <si>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</si>
  <si>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</si>
  <si>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</si>
  <si>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</si>
  <si>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</si>
  <si>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</si>
  <si>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</si>
  <si>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</si>
  <si>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</si>
  <si>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</si>
  <si>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</si>
  <si>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</si>
  <si>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</si>
  <si>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</si>
  <si>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</si>
  <si>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</si>
  <si>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</si>
  <si>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</si>
  <si>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</si>
  <si>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</si>
  <si>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</si>
  <si>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</si>
  <si>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</si>
  <si>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</si>
  <si>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</si>
  <si>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</si>
  <si>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</si>
  <si>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</si>
  <si>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</si>
  <si>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</si>
  <si>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</si>
  <si>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</si>
  <si>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</si>
  <si>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</si>
  <si>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</si>
  <si>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</si>
  <si>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</si>
  <si>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</si>
  <si>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</si>
  <si>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</si>
  <si>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</si>
  <si>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</si>
  <si>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</si>
  <si>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</si>
  <si>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</si>
  <si>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</si>
  <si>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</si>
  <si>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</si>
  <si>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</si>
  <si>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</si>
  <si>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</si>
  <si>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</si>
  <si>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</si>
  <si>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</si>
  <si>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</si>
  <si>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</si>
  <si>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</si>
  <si>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</si>
  <si>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</si>
  <si>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</si>
  <si>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</si>
  <si>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</si>
  <si>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</si>
  <si>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</si>
  <si>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</si>
  <si>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</si>
  <si>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</si>
  <si>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</si>
  <si>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</si>
  <si>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</si>
  <si>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</si>
  <si>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</si>
  <si>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</si>
  <si>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</si>
  <si>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</si>
  <si>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</si>
  <si>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</si>
  <si>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</si>
  <si>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</si>
  <si>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</si>
  <si>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</si>
  <si>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</si>
  <si>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</si>
  <si>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</si>
  <si>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</si>
  <si>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</si>
  <si>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</si>
  <si>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</si>
  <si>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</si>
  <si>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</si>
  <si>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</si>
  <si>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</si>
  <si>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</si>
  <si>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</si>
  <si>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</si>
  <si>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</si>
  <si>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</si>
  <si>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</si>
  <si>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</si>
  <si>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</si>
  <si>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</si>
  <si>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</si>
  <si>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</si>
  <si>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</si>
  <si>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</si>
  <si>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</si>
  <si>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</si>
  <si>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</si>
  <si>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</si>
  <si>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</si>
  <si>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</si>
  <si>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</si>
  <si>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</si>
  <si>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</si>
  <si>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</si>
  <si>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</si>
  <si>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</si>
  <si>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</si>
  <si>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</si>
  <si>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</si>
  <si>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</si>
  <si>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</si>
  <si>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</si>
  <si>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</si>
  <si>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</si>
  <si>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</si>
  <si>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</si>
  <si>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</si>
  <si>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</si>
  <si>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</si>
  <si>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</si>
  <si>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</si>
  <si>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</si>
  <si>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</si>
  <si>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</si>
  <si>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</si>
  <si>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</si>
  <si>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</si>
  <si>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</si>
  <si>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LEE AND DEKALB</t>
  </si>
  <si>
    <t>PO BOX 76</t>
  </si>
  <si>
    <t xml:space="preserve">STEWARD  </t>
  </si>
  <si>
    <t>STEWARDSUPT@GMAIL.COM</t>
  </si>
  <si>
    <t>X</t>
  </si>
  <si>
    <t>LOWELL TAYLOR</t>
  </si>
  <si>
    <t>815-396-2413</t>
  </si>
  <si>
    <t>815-396-2407</t>
  </si>
  <si>
    <t>HOPKINS &amp; ASSOCIATES, CPAS</t>
  </si>
  <si>
    <t>JOEL HOPKINS</t>
  </si>
  <si>
    <t>314 S MCCOY STREET</t>
  </si>
  <si>
    <t>GRANVILLE</t>
  </si>
  <si>
    <t>IL</t>
  </si>
  <si>
    <t>815-339-6630</t>
  </si>
  <si>
    <t>815-339-6643</t>
  </si>
  <si>
    <t>066-004501</t>
  </si>
  <si>
    <t>JOEL@HOPKINSOFFICE.COM</t>
  </si>
  <si>
    <t xml:space="preserve">Hopkins &amp; Associates, CPAs </t>
  </si>
  <si>
    <t>Ed-Fiscal Services-Purchased Services</t>
  </si>
  <si>
    <t>Marco, Inc.</t>
  </si>
  <si>
    <t>O&amp;M-Facilities-Purchased Services</t>
  </si>
  <si>
    <t>Northern IL Disposal Svc</t>
  </si>
  <si>
    <t>Rochelle Elementary School District</t>
  </si>
  <si>
    <t>Egyptian Area Schools Employee Benefit Trust</t>
  </si>
  <si>
    <t>Ogle County Educational Cooperative</t>
  </si>
  <si>
    <t>Fiscal Services - Bloom Township Trustees of Schools</t>
  </si>
  <si>
    <t>20-1290 - O&amp;M -Local 1% Tax</t>
  </si>
  <si>
    <t>10-1999 - Ed - Other Misc Items</t>
  </si>
  <si>
    <t>Steward ESD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</si>
</sst>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514350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2055</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4"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2055</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47052220002</v>
      </c>
      <c r="B13" s="2101"/>
      <c r="C13" s="2101"/>
      <c r="D13" s="2101"/>
      <c r="E13" s="2101"/>
      <c r="F13" s="2101"/>
      <c r="G13" s="2101"/>
      <c r="H13" s="2102"/>
      <c r="I13" s="31"/>
      <c r="J13" s="30"/>
      <c r="K13" s="28"/>
      <c r="L13" s="30"/>
      <c r="M13" s="30"/>
      <c r="N13" s="30"/>
      <c r="O13" s="30"/>
      <c r="P13" s="30"/>
      <c r="Q13" s="30"/>
      <c r="R13" s="30"/>
      <c r="S13" s="30"/>
      <c r="T13" s="2106" t="s">
        <v>2059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2051</v>
      </c>
      <c r="B15" s="2104"/>
      <c r="C15" s="2104"/>
      <c r="D15" s="2104"/>
      <c r="E15" s="2104"/>
      <c r="F15" s="2104"/>
      <c r="G15" s="2104"/>
      <c r="H15" s="2105"/>
      <c r="T15" s="2110" t="s">
        <v>2060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2079</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2052</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61326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2053</v>
      </c>
      <c r="B21" s="2038"/>
      <c r="C21" s="2038"/>
      <c r="D21" s="2038"/>
      <c r="E21" s="2038"/>
      <c r="F21" s="2038"/>
      <c r="G21" s="2038"/>
      <c r="H21" s="2039"/>
      <c r="I21" s="2093" t="s">
        <v>673</v>
      </c>
      <c r="J21" s="2088"/>
      <c r="K21" s="2088"/>
      <c r="L21" s="2088"/>
      <c r="M21" s="2088"/>
      <c r="N21" s="2088"/>
      <c r="O21" s="2088"/>
      <c r="P21" s="2088"/>
      <c r="Q21" s="2088"/>
      <c r="R21" s="2088"/>
      <c r="S21" s="2094"/>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2054</v>
      </c>
      <c r="B23" s="2091"/>
      <c r="C23" s="2091"/>
      <c r="D23" s="2091"/>
      <c r="E23" s="2091"/>
      <c r="F23" s="2091"/>
      <c r="G23" s="2091"/>
      <c r="H23" s="2092"/>
      <c r="T23" s="2073" t="s">
        <v>2066</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60553</v>
      </c>
      <c r="B25" s="2038"/>
      <c r="C25" s="2038"/>
      <c r="D25" s="2038"/>
      <c r="E25" s="2038"/>
      <c r="F25" s="2038"/>
      <c r="G25" s="2038"/>
      <c r="H25" s="2039"/>
      <c r="I25" s="110"/>
      <c r="J25" s="2062"/>
      <c r="K25" s="2062"/>
      <c r="L25" s="2062"/>
      <c r="M25" s="2062"/>
      <c r="N25" s="2062"/>
      <c r="O25" s="2062"/>
      <c r="P25" s="2062"/>
      <c r="Q25" s="2062"/>
      <c r="R25" s="2062"/>
      <c r="S25" s="2063"/>
      <c r="T25" s="2124" t="s">
        <v>2067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2055</v>
      </c>
      <c r="M29" s="40" t="s">
        <v>99</v>
      </c>
      <c r="N29" s="32" t="s">
        <v>1506</v>
      </c>
      <c r="O29" s="32"/>
      <c r="P29" s="32"/>
      <c r="Q29" s="32"/>
      <c r="R29" s="32"/>
      <c r="S29" s="120"/>
      <c r="T29" s="6"/>
      <c r="U29" s="6"/>
      <c r="V29" s="6"/>
      <c r="W29" s="6"/>
      <c r="X29" s="6"/>
      <c r="Y29" s="6"/>
      <c r="Z29" s="6"/>
      <c r="AA29" s="129"/>
    </row>
    <row r="30" spans="1:27" ht="13.5" customHeight="1" x14ac:dyDescent="0.2">
      <c r="A30" s="149"/>
      <c r="B30" s="133" t="s">
        <v>2055</v>
      </c>
      <c r="C30" s="121" t="s">
        <v>1154</v>
      </c>
      <c r="D30" s="28"/>
      <c r="E30" s="28"/>
      <c r="F30" s="136"/>
      <c r="G30" s="111"/>
      <c r="H30" s="111"/>
      <c r="I30" s="51"/>
      <c r="J30" s="99"/>
      <c r="K30" s="28" t="s">
        <v>572</v>
      </c>
      <c r="L30" s="144" t="s">
        <v>2055</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2055</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E14" sqref="E14"/>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9" customHeight="1" x14ac:dyDescent="0.2">
      <c r="A4" s="579" t="s">
        <v>1145</v>
      </c>
      <c r="B4" s="1721">
        <f>'Revenues 9-14'!C5</f>
        <v>577616</v>
      </c>
      <c r="C4" s="1722"/>
      <c r="D4" s="1723">
        <f>B4-C4</f>
        <v>577616</v>
      </c>
      <c r="E4" s="1722">
        <f>3681+588248</f>
        <v>591929</v>
      </c>
      <c r="F4" s="1723">
        <f>E4-C4</f>
        <v>591929</v>
      </c>
    </row>
    <row r="5" spans="1:8" ht="13.9" customHeight="1" x14ac:dyDescent="0.2">
      <c r="A5" s="579" t="s">
        <v>865</v>
      </c>
      <c r="B5" s="1724">
        <f>'Revenues 9-14'!D5</f>
        <v>103328</v>
      </c>
      <c r="C5" s="1664"/>
      <c r="D5" s="1725">
        <f t="shared" ref="D5:D18" si="0">B5-C5</f>
        <v>103328</v>
      </c>
      <c r="E5" s="1664">
        <f>659+105225</f>
        <v>105884</v>
      </c>
      <c r="F5" s="1725">
        <f>E5-C5</f>
        <v>105884</v>
      </c>
    </row>
    <row r="6" spans="1:8" ht="13.9" customHeight="1" x14ac:dyDescent="0.2">
      <c r="A6" s="579" t="s">
        <v>408</v>
      </c>
      <c r="B6" s="1724">
        <f>'Revenues 9-14'!E5</f>
        <v>0</v>
      </c>
      <c r="C6" s="1664"/>
      <c r="D6" s="1725">
        <f t="shared" si="0"/>
        <v>0</v>
      </c>
      <c r="E6" s="1664"/>
      <c r="F6" s="1725">
        <f t="shared" ref="F6:F18" si="1">E6-C6</f>
        <v>0</v>
      </c>
    </row>
    <row r="7" spans="1:8" ht="13.9" customHeight="1" x14ac:dyDescent="0.2">
      <c r="A7" s="579" t="s">
        <v>154</v>
      </c>
      <c r="B7" s="1724">
        <f>'Revenues 9-14'!F5</f>
        <v>45298</v>
      </c>
      <c r="C7" s="1664"/>
      <c r="D7" s="1725">
        <f t="shared" si="0"/>
        <v>45298</v>
      </c>
      <c r="E7" s="1664">
        <v>46405</v>
      </c>
      <c r="F7" s="1725">
        <f t="shared" si="1"/>
        <v>46405</v>
      </c>
    </row>
    <row r="8" spans="1:8" ht="13.9" customHeight="1" x14ac:dyDescent="0.2">
      <c r="A8" s="579" t="s">
        <v>1169</v>
      </c>
      <c r="B8" s="1724">
        <f>'Revenues 9-14'!G5</f>
        <v>462</v>
      </c>
      <c r="C8" s="1664"/>
      <c r="D8" s="1725">
        <f t="shared" si="0"/>
        <v>462</v>
      </c>
      <c r="E8" s="1664">
        <f>3+468</f>
        <v>471</v>
      </c>
      <c r="F8" s="1725">
        <f t="shared" si="1"/>
        <v>471</v>
      </c>
    </row>
    <row r="9" spans="1:8" ht="13.9" customHeight="1" x14ac:dyDescent="0.2">
      <c r="A9" s="579" t="s">
        <v>405</v>
      </c>
      <c r="B9" s="1724">
        <f>'Revenues 9-14'!H5</f>
        <v>0</v>
      </c>
      <c r="C9" s="1664"/>
      <c r="D9" s="1725">
        <f t="shared" si="0"/>
        <v>0</v>
      </c>
      <c r="E9" s="1664"/>
      <c r="F9" s="1725">
        <f t="shared" si="1"/>
        <v>0</v>
      </c>
    </row>
    <row r="10" spans="1:8" ht="13.9" customHeight="1" x14ac:dyDescent="0.2">
      <c r="A10" s="579" t="s">
        <v>404</v>
      </c>
      <c r="B10" s="1724">
        <f>'Revenues 9-14'!I5</f>
        <v>8632</v>
      </c>
      <c r="C10" s="1664"/>
      <c r="D10" s="1725">
        <f t="shared" si="0"/>
        <v>8632</v>
      </c>
      <c r="E10" s="1664">
        <f>56+8808</f>
        <v>8864</v>
      </c>
      <c r="F10" s="1725">
        <f t="shared" si="1"/>
        <v>8864</v>
      </c>
    </row>
    <row r="11" spans="1:8" x14ac:dyDescent="0.2">
      <c r="A11" s="579" t="s">
        <v>406</v>
      </c>
      <c r="B11" s="1724">
        <f>'Revenues 9-14'!J5</f>
        <v>57424</v>
      </c>
      <c r="C11" s="1664"/>
      <c r="D11" s="1725">
        <f t="shared" si="0"/>
        <v>57424</v>
      </c>
      <c r="E11" s="1664">
        <f>38+58465</f>
        <v>58503</v>
      </c>
      <c r="F11" s="1725">
        <f t="shared" si="1"/>
        <v>58503</v>
      </c>
    </row>
    <row r="12" spans="1:8" ht="13.9" customHeight="1" x14ac:dyDescent="0.2">
      <c r="A12" s="579" t="s">
        <v>156</v>
      </c>
      <c r="B12" s="1724">
        <f>'Revenues 9-14'!K5</f>
        <v>5976</v>
      </c>
      <c r="C12" s="1664"/>
      <c r="D12" s="1725">
        <f t="shared" si="0"/>
        <v>5976</v>
      </c>
      <c r="E12" s="1664">
        <f>48+6086</f>
        <v>6134</v>
      </c>
      <c r="F12" s="1725">
        <f t="shared" si="1"/>
        <v>6134</v>
      </c>
    </row>
    <row r="13" spans="1:8" ht="13.9" customHeight="1" x14ac:dyDescent="0.2">
      <c r="A13" s="579" t="s">
        <v>930</v>
      </c>
      <c r="B13" s="1724">
        <f>SUM('Revenues 9-14'!C6:D6)</f>
        <v>7564</v>
      </c>
      <c r="C13" s="1664"/>
      <c r="D13" s="1725">
        <f t="shared" si="0"/>
        <v>7564</v>
      </c>
      <c r="E13" s="1664">
        <f>48+7725</f>
        <v>7773</v>
      </c>
      <c r="F13" s="1725">
        <f t="shared" si="1"/>
        <v>7773</v>
      </c>
    </row>
    <row r="14" spans="1:8" ht="13.9" customHeight="1" x14ac:dyDescent="0.2">
      <c r="A14" s="579" t="s">
        <v>407</v>
      </c>
      <c r="B14" s="1724">
        <f>SUM('Revenues 9-14'!C7:D7,'Revenues 9-14'!F7:H7)</f>
        <v>5976</v>
      </c>
      <c r="C14" s="1664"/>
      <c r="D14" s="1725">
        <f t="shared" si="0"/>
        <v>5976</v>
      </c>
      <c r="E14" s="1664">
        <f>38+6086</f>
        <v>6124</v>
      </c>
      <c r="F14" s="1725">
        <f t="shared" si="1"/>
        <v>6124</v>
      </c>
    </row>
    <row r="15" spans="1:8" ht="13.9" customHeight="1" x14ac:dyDescent="0.2">
      <c r="A15" s="579" t="s">
        <v>1148</v>
      </c>
      <c r="B15" s="1724">
        <f>SUM('Revenues 9-14'!D9:E9,'Revenues 9-14'!H9)</f>
        <v>0</v>
      </c>
      <c r="C15" s="1664"/>
      <c r="D15" s="1725">
        <f t="shared" si="0"/>
        <v>0</v>
      </c>
      <c r="E15" s="1664"/>
      <c r="F15" s="1725">
        <f t="shared" si="1"/>
        <v>0</v>
      </c>
    </row>
    <row r="16" spans="1:8" ht="13.9" customHeight="1" x14ac:dyDescent="0.2">
      <c r="A16" s="579" t="s">
        <v>1149</v>
      </c>
      <c r="B16" s="1724">
        <f>'Revenues 9-14'!G8</f>
        <v>11462</v>
      </c>
      <c r="C16" s="1664"/>
      <c r="D16" s="1725">
        <f t="shared" si="0"/>
        <v>11462</v>
      </c>
      <c r="E16" s="1664">
        <f>73+11646</f>
        <v>11719</v>
      </c>
      <c r="F16" s="1725">
        <f t="shared" si="1"/>
        <v>11719</v>
      </c>
    </row>
    <row r="17" spans="1:6" ht="13.9" customHeight="1" x14ac:dyDescent="0.2">
      <c r="A17" s="579" t="s">
        <v>1150</v>
      </c>
      <c r="B17" s="1724">
        <f>'Revenues 9-14'!C10</f>
        <v>0</v>
      </c>
      <c r="C17" s="1664"/>
      <c r="D17" s="1725">
        <f t="shared" si="0"/>
        <v>0</v>
      </c>
      <c r="E17" s="1664"/>
      <c r="F17" s="1725">
        <f t="shared" si="1"/>
        <v>0</v>
      </c>
    </row>
    <row r="18" spans="1:6" ht="13.9" customHeight="1" x14ac:dyDescent="0.2">
      <c r="A18" s="579" t="s">
        <v>757</v>
      </c>
      <c r="B18" s="1724">
        <f>SUM('Revenues 9-14'!C11:K11)</f>
        <v>0</v>
      </c>
      <c r="C18" s="1664"/>
      <c r="D18" s="1725">
        <f t="shared" si="0"/>
        <v>0</v>
      </c>
      <c r="E18" s="1664"/>
      <c r="F18" s="1725">
        <f t="shared" si="1"/>
        <v>0</v>
      </c>
    </row>
    <row r="19" spans="1:6" ht="13.9" customHeight="1" thickBot="1" x14ac:dyDescent="0.25">
      <c r="A19" s="1432" t="s">
        <v>1151</v>
      </c>
      <c r="B19" s="1726">
        <f>SUM(B4:B18)</f>
        <v>823738</v>
      </c>
      <c r="C19" s="1726">
        <f>SUM(C4:C18)</f>
        <v>0</v>
      </c>
      <c r="D19" s="1726">
        <f>SUM(D4:D18)</f>
        <v>823738</v>
      </c>
      <c r="E19" s="1726">
        <f>SUM(E4:E18)</f>
        <v>843806</v>
      </c>
      <c r="F19" s="1726">
        <f>SUM(F4:F18)</f>
        <v>843806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H15" sqref="H15"/>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5976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5976</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5976</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5976</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I14" sqref="I14"/>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v>2600</v>
      </c>
      <c r="D6" s="1745"/>
      <c r="E6" s="1745"/>
      <c r="F6" s="1765">
        <f>(C6+D6)-E6</f>
        <v>2600</v>
      </c>
      <c r="G6" s="676">
        <v>50</v>
      </c>
      <c r="H6" s="619"/>
      <c r="I6" s="619"/>
      <c r="J6" s="619"/>
      <c r="K6" s="1442">
        <f>(H6+I6)-J6</f>
        <v>0</v>
      </c>
      <c r="L6" s="1442">
        <f>F6-K6</f>
        <v>2600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2198905</v>
      </c>
      <c r="D8" s="1771">
        <v>41997</v>
      </c>
      <c r="E8" s="1771"/>
      <c r="F8" s="1765">
        <f>(C8+D8)-E8</f>
        <v>2240902</v>
      </c>
      <c r="G8" s="681">
        <v>50</v>
      </c>
      <c r="H8" s="619">
        <v>1137074</v>
      </c>
      <c r="I8" s="619">
        <v>44818</v>
      </c>
      <c r="J8" s="619"/>
      <c r="K8" s="1442">
        <f>(H8+I8)-J8</f>
        <v>1181892</v>
      </c>
      <c r="L8" s="1442">
        <f>F8-K8</f>
        <v>1059010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170825</v>
      </c>
      <c r="D10" s="1772"/>
      <c r="E10" s="1772"/>
      <c r="F10" s="1773">
        <f>(C10+D10)-E10</f>
        <v>170825</v>
      </c>
      <c r="G10" s="681">
        <v>20</v>
      </c>
      <c r="H10" s="683">
        <v>38466</v>
      </c>
      <c r="I10" s="683">
        <v>8541</v>
      </c>
      <c r="J10" s="683"/>
      <c r="K10" s="1442">
        <f>(H10+I10)-J10</f>
        <v>47007</v>
      </c>
      <c r="L10" s="1442">
        <f>F10-K10</f>
        <v>123818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79621</v>
      </c>
      <c r="D12" s="1771"/>
      <c r="E12" s="1771"/>
      <c r="F12" s="1765">
        <f>(C12+D12)-E12</f>
        <v>79621</v>
      </c>
      <c r="G12" s="681">
        <v>10</v>
      </c>
      <c r="H12" s="619">
        <v>79621</v>
      </c>
      <c r="I12" s="619"/>
      <c r="J12" s="619"/>
      <c r="K12" s="1442">
        <f>(H12+I12)-J12</f>
        <v>79621</v>
      </c>
      <c r="L12" s="1442">
        <f>F12-K12</f>
        <v>0</v>
      </c>
    </row>
    <row r="13" spans="1:14" ht="14.25" thickTop="1" thickBot="1" x14ac:dyDescent="0.25">
      <c r="A13" s="684" t="s">
        <v>1112</v>
      </c>
      <c r="B13" s="679">
        <v>252</v>
      </c>
      <c r="C13" s="1771">
        <v>264652</v>
      </c>
      <c r="D13" s="1771"/>
      <c r="E13" s="1771"/>
      <c r="F13" s="1765">
        <f>(C13+D13)-E13</f>
        <v>264652</v>
      </c>
      <c r="G13" s="681">
        <v>5</v>
      </c>
      <c r="H13" s="619">
        <v>221724</v>
      </c>
      <c r="I13" s="619">
        <f>70334-53359</f>
        <v>16975</v>
      </c>
      <c r="J13" s="619"/>
      <c r="K13" s="1442">
        <f>(H13+I13)-J13</f>
        <v>238699</v>
      </c>
      <c r="L13" s="1442">
        <f>F13-K13</f>
        <v>25953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2716603</v>
      </c>
      <c r="D16" s="1765">
        <f>SUM(D3,D5:D6,D8:D10,D12:D15)</f>
        <v>41997</v>
      </c>
      <c r="E16" s="1765">
        <f>SUM(E3,E5:E6,E8:E10,E12:E15)</f>
        <v>0</v>
      </c>
      <c r="F16" s="1765">
        <f>SUM(F3,F5:F6,F8:F10,F12:F15)</f>
        <v>2758600</v>
      </c>
      <c r="G16" s="681"/>
      <c r="H16" s="1435">
        <f>SUM(H3,H6,H8:H10,H12:H14,)</f>
        <v>1476885</v>
      </c>
      <c r="I16" s="1435">
        <f>SUM(I3,I6,I8:I10,I12:I14,)</f>
        <v>70334</v>
      </c>
      <c r="J16" s="1435">
        <f>SUM(J3,J6,J8:J10,J12:J14,)</f>
        <v>0</v>
      </c>
      <c r="K16" s="1435">
        <f>(H16+I16)-J16</f>
        <v>1547219</v>
      </c>
      <c r="L16" s="1435">
        <f>F16-K16</f>
        <v>1211381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70334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174" sqref="F174"/>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4"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1005916</v>
      </c>
      <c r="G8" s="701"/>
    </row>
    <row r="9" spans="1:9" x14ac:dyDescent="0.2">
      <c r="A9" s="705" t="s">
        <v>457</v>
      </c>
      <c r="B9" s="706" t="s">
        <v>1848</v>
      </c>
      <c r="C9" s="707"/>
      <c r="D9" s="705" t="s">
        <v>498</v>
      </c>
      <c r="E9" s="704"/>
      <c r="F9" s="1775">
        <f>'Expenditures 15-22'!K151</f>
        <v>119630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27238</v>
      </c>
      <c r="G11" s="708"/>
    </row>
    <row r="12" spans="1:9" x14ac:dyDescent="0.2">
      <c r="A12" s="705" t="s">
        <v>459</v>
      </c>
      <c r="B12" s="706" t="s">
        <v>1851</v>
      </c>
      <c r="C12" s="707"/>
      <c r="D12" s="705" t="s">
        <v>498</v>
      </c>
      <c r="E12" s="704"/>
      <c r="F12" s="1775">
        <f>'Expenditures 15-22'!K295</f>
        <v>17144</v>
      </c>
      <c r="G12" s="708"/>
    </row>
    <row r="13" spans="1:9" x14ac:dyDescent="0.2">
      <c r="A13" s="705" t="s">
        <v>106</v>
      </c>
      <c r="B13" s="706" t="s">
        <v>1852</v>
      </c>
      <c r="C13" s="707"/>
      <c r="D13" s="705" t="s">
        <v>498</v>
      </c>
      <c r="E13" s="704"/>
      <c r="F13" s="1775">
        <f>'Expenditures 15-22'!K342</f>
        <v>52157</v>
      </c>
      <c r="G13" s="709"/>
    </row>
    <row r="14" spans="1:9" ht="12" customHeight="1" thickBot="1" x14ac:dyDescent="0.25">
      <c r="A14" s="1443"/>
      <c r="B14" s="1444"/>
      <c r="C14" s="1445"/>
      <c r="D14" s="1446" t="s">
        <v>498</v>
      </c>
      <c r="E14" s="1447" t="s">
        <v>952</v>
      </c>
      <c r="F14" s="1776">
        <f>SUM(F8:F13)</f>
        <v>1222085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22573</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41996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64569</v>
      </c>
      <c r="G77" s="701"/>
    </row>
    <row r="78" spans="1:9" s="728" customFormat="1" ht="12" customHeight="1" thickTop="1" thickBot="1" x14ac:dyDescent="0.25">
      <c r="A78" s="1450"/>
      <c r="B78" s="1448"/>
      <c r="C78" s="1445"/>
      <c r="D78" s="1449" t="s">
        <v>2012</v>
      </c>
      <c r="E78" s="1447"/>
      <c r="F78" s="1788">
        <f>(F14-F77)</f>
        <v>1157516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60.6</v>
      </c>
      <c r="G79" s="733"/>
      <c r="H79" s="705"/>
      <c r="I79" s="705"/>
    </row>
    <row r="80" spans="1:9" s="728" customFormat="1" ht="12" customHeight="1" thickBot="1" x14ac:dyDescent="0.25">
      <c r="A80" s="1452"/>
      <c r="B80" s="1448"/>
      <c r="C80" s="1445"/>
      <c r="D80" s="1449" t="s">
        <v>2013</v>
      </c>
      <c r="E80" s="1447" t="s">
        <v>952</v>
      </c>
      <c r="F80" s="1790">
        <f>IF(F79&gt;0,F78/F79," Complete Line 79")</f>
        <v>19100.924092409241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8027</v>
      </c>
      <c r="G95" s="745"/>
    </row>
    <row r="96" spans="1:7" x14ac:dyDescent="0.2">
      <c r="A96" s="741" t="s">
        <v>139</v>
      </c>
      <c r="B96" s="741" t="s">
        <v>174</v>
      </c>
      <c r="C96" s="743">
        <v>1700</v>
      </c>
      <c r="D96" s="751" t="str">
        <f>'Revenues 9-14'!A82</f>
        <v>Total District/School Activity Income</v>
      </c>
      <c r="E96" s="739"/>
      <c r="F96" s="1793">
        <f>SUM('Revenues 9-14'!C82,'Revenues 9-14'!D82)</f>
        <v>869</v>
      </c>
      <c r="G96" s="745"/>
    </row>
    <row r="97" spans="1:7" x14ac:dyDescent="0.2">
      <c r="A97" s="741" t="s">
        <v>456</v>
      </c>
      <c r="B97" s="741" t="s">
        <v>175</v>
      </c>
      <c r="C97" s="743">
        <f>'Revenues 9-14'!B84</f>
        <v>1811</v>
      </c>
      <c r="D97" s="744" t="str">
        <f>'Revenues 9-14'!A84</f>
        <v>Rentals - Regular Textbooks</v>
      </c>
      <c r="E97" s="739"/>
      <c r="F97" s="1793">
        <f>'Revenues 9-14'!C84</f>
        <v>3430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54482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42500</v>
      </c>
      <c r="G121" s="763"/>
    </row>
    <row r="122" spans="1:7" x14ac:dyDescent="0.2">
      <c r="A122" s="760" t="s">
        <v>497</v>
      </c>
      <c r="B122" s="760" t="s">
        <v>1926</v>
      </c>
      <c r="C122" s="761">
        <f>'Revenues 9-14'!B168</f>
        <v>3999</v>
      </c>
      <c r="D122" s="762" t="s">
        <v>540</v>
      </c>
      <c r="E122" s="764"/>
      <c r="F122" s="1793">
        <f>SUM('Revenues 9-14'!C168:G168,'Revenues 9-14'!J168)</f>
        <v>141</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1157</v>
      </c>
      <c r="G125" s="763"/>
    </row>
    <row r="126" spans="1:7" x14ac:dyDescent="0.2">
      <c r="A126" s="760" t="s">
        <v>659</v>
      </c>
      <c r="B126" s="760" t="s">
        <v>1930</v>
      </c>
      <c r="C126" s="765">
        <v>4200</v>
      </c>
      <c r="D126" s="762" t="str">
        <f>'Revenues 9-14'!A198</f>
        <v>Total Food Service</v>
      </c>
      <c r="E126" s="739"/>
      <c r="F126" s="1793">
        <f>SUM('Revenues 9-14'!C198,'Revenues 9-14'!G198)</f>
        <v>5773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31043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3327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1316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18328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180457</v>
      </c>
    </row>
    <row r="176" spans="1:7" ht="12" customHeight="1" x14ac:dyDescent="0.2">
      <c r="A176" s="1443"/>
      <c r="B176" s="1453"/>
      <c r="C176" s="1454"/>
      <c r="D176" s="1455" t="s">
        <v>2014</v>
      </c>
      <c r="E176" s="1456"/>
      <c r="F176" s="1793">
        <f>'PCTC-OEPP 27-28'!F78-F175</f>
        <v>977059</v>
      </c>
    </row>
    <row r="177" spans="1:9" ht="12" customHeight="1" x14ac:dyDescent="0.2">
      <c r="A177" s="1443"/>
      <c r="B177" s="1453"/>
      <c r="C177" s="1454"/>
      <c r="D177" s="1455" t="s">
        <v>1794</v>
      </c>
      <c r="E177" s="1456"/>
      <c r="F177" s="1793">
        <f>'Cap Outlay Deprec 26'!I18</f>
        <v>70334</v>
      </c>
    </row>
    <row r="178" spans="1:9" ht="12" customHeight="1" x14ac:dyDescent="0.2">
      <c r="A178" s="1443"/>
      <c r="B178" s="1453"/>
      <c r="C178" s="1454"/>
      <c r="D178" s="1455" t="s">
        <v>2015</v>
      </c>
      <c r="E178" s="1456"/>
      <c r="F178" s="1793">
        <f>F176+F177</f>
        <v>1047393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60.6</v>
      </c>
      <c r="G179" s="763"/>
      <c r="I179" s="701"/>
    </row>
    <row r="180" spans="1:9" ht="12" customHeight="1" thickBot="1" x14ac:dyDescent="0.25">
      <c r="A180" s="1443"/>
      <c r="B180" s="1457"/>
      <c r="C180" s="1454"/>
      <c r="D180" s="1455" t="s">
        <v>2017</v>
      </c>
      <c r="E180" s="1456" t="s">
        <v>1528</v>
      </c>
      <c r="F180" s="1798">
        <f>F178/F179</f>
        <v>17283.712871287127</v>
      </c>
      <c r="G180" s="692">
        <v>6323</v>
      </c>
    </row>
    <row r="181" spans="1:9" ht="12" thickTop="1" x14ac:dyDescent="0.2">
      <c r="B181" s="763"/>
      <c r="C181" s="782"/>
      <c r="D181" s="763"/>
      <c r="E181" s="782"/>
      <c r="F181" s="763"/>
      <c r="G181" s="783">
        <v>6326</v>
      </c>
    </row>
    <row r="182" spans="1:9" ht="12.4" customHeight="1" x14ac:dyDescent="0.2">
      <c r="A182" s="763" t="s">
        <v>1886</v>
      </c>
      <c r="B182" s="763"/>
      <c r="C182" s="782"/>
      <c r="D182" s="763"/>
      <c r="E182" s="782"/>
      <c r="F182" s="763"/>
      <c r="G182" s="763"/>
    </row>
    <row r="183" spans="1:9" s="1533" customFormat="1" ht="12.4"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4"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A31" sqref="A31"/>
    </sheetView>
  </sheetViews>
  <sheetFormatPr defaultColWidth="9.28515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28515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2069</v>
      </c>
      <c r="B18" s="1908">
        <v>102520300</v>
      </c>
      <c r="C18" s="2036" t="s">
        <v>2070</v>
      </c>
      <c r="D18" s="1886">
        <v>3255</v>
      </c>
      <c r="E18" s="1906">
        <f t="shared" ref="E18:E81" si="0">IF(D18&lt;25000,D18,"25,000")</f>
        <v>3255</v>
      </c>
      <c r="F18" s="1906" t="str">
        <f t="shared" ref="F18:F81" si="1">IF(D18&gt;=25000,(D18-E18),"0")</f>
        <v>0</v>
      </c>
      <c r="G18" s="1887"/>
    </row>
    <row r="19" spans="1:7" x14ac:dyDescent="0.25">
      <c r="A19" s="2035" t="s">
        <v>2071</v>
      </c>
      <c r="B19" s="1908">
        <v>202540300</v>
      </c>
      <c r="C19" s="2036" t="s">
        <v>2072</v>
      </c>
      <c r="D19" s="1886">
        <v>1471</v>
      </c>
      <c r="E19" s="1906">
        <f t="shared" si="0"/>
        <v>1471</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4726</v>
      </c>
      <c r="E142" s="1893">
        <f>SUM(E18:E141)</f>
        <v>4726</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514350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D28" sqref="D28"/>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2037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565037</v>
      </c>
      <c r="F19" s="1802"/>
      <c r="G19" s="1804">
        <f>'Expenditures 15-22'!K33-SUM('Expenditures 15-22'!G33,'Expenditures 15-22'!I33)+'Expenditures 15-22'!D229</f>
        <v>565037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6836</v>
      </c>
      <c r="F21" s="1805"/>
      <c r="G21" s="1808">
        <f>'Expenditures 15-22'!K42-SUM('Expenditures 15-22'!G42,'Expenditures 15-22'!I42)+'Expenditures 15-22'!K120-SUM('Expenditures 15-22'!G120,'Expenditures 15-22'!I120)+'Expenditures 15-22'!K180-SUM('Expenditures 15-22'!G180,'Expenditures 15-22'!I180)+'Expenditures 15-22'!D238</f>
        <v>6836</v>
      </c>
      <c r="H21" s="817"/>
      <c r="I21" s="157"/>
    </row>
    <row r="22" spans="1:9" s="542" customFormat="1" ht="12" customHeight="1" x14ac:dyDescent="0.2">
      <c r="A22" s="824" t="s">
        <v>560</v>
      </c>
      <c r="B22" s="825"/>
      <c r="C22" s="823">
        <v>2200</v>
      </c>
      <c r="D22" s="1805"/>
      <c r="E22" s="1807">
        <f>'Expenditures 15-22'!K47-SUM('Expenditures 15-22'!G47,'Expenditures 15-22'!I47)+'Expenditures 15-22'!D243</f>
        <v>155</v>
      </c>
      <c r="F22" s="1805"/>
      <c r="G22" s="1808">
        <f>'Expenditures 15-22'!K47-SUM('Expenditures 15-22'!G47,'Expenditures 15-22'!I47)+'Expenditures 15-22'!D243</f>
        <v>155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284113</v>
      </c>
      <c r="F23" s="1805"/>
      <c r="G23" s="1807">
        <f>'Expenditures 15-22'!K53-SUM('Expenditures 15-22'!G53,'Expenditures 15-22'!I53)+'Expenditures 15-22'!D257+'Expenditures 15-22'!K330-SUM('Expenditures 15-22'!G330,'Expenditures 15-22'!I330)</f>
        <v>284113</v>
      </c>
      <c r="H23" s="817"/>
      <c r="I23" s="157"/>
    </row>
    <row r="24" spans="1:9" s="542" customFormat="1" ht="12" customHeight="1" x14ac:dyDescent="0.2">
      <c r="A24" s="824" t="s">
        <v>562</v>
      </c>
      <c r="B24" s="825"/>
      <c r="C24" s="823">
        <v>2400</v>
      </c>
      <c r="D24" s="1805"/>
      <c r="E24" s="1807">
        <f>'Expenditures 15-22'!K57-SUM('Expenditures 15-22'!G57,'Expenditures 15-22'!I57)+'Expenditures 15-22'!D261</f>
        <v>124660</v>
      </c>
      <c r="F24" s="1805"/>
      <c r="G24" s="1808">
        <f>'Expenditures 15-22'!K57-SUM('Expenditures 15-22'!G57,'Expenditures 15-22'!I57)+'Expenditures 15-22'!D261</f>
        <v>124660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29247</v>
      </c>
      <c r="F26" s="1807">
        <f>'Expenditures 15-22'!K59-SUM('Expenditures 15-22'!G59,'Expenditures 15-22'!I59)+'Expenditures 15-22'!D263-E7</f>
        <v>0</v>
      </c>
      <c r="G26" s="1808">
        <f>'Expenditures 15-22'!K122-SUM('Expenditures 15-22'!G122,'Expenditures 15-22'!I122)+E7</f>
        <v>29247</v>
      </c>
      <c r="H26" s="817"/>
      <c r="I26" s="157"/>
    </row>
    <row r="27" spans="1:9" s="542" customFormat="1" ht="12" customHeight="1" x14ac:dyDescent="0.2">
      <c r="A27" s="824" t="s">
        <v>460</v>
      </c>
      <c r="B27" s="827"/>
      <c r="C27" s="823">
        <v>2520</v>
      </c>
      <c r="D27" s="1807">
        <f>'Expenditures 15-22'!K60-SUM('Expenditures 15-22'!G60,'Expenditures 15-22'!I60)+'Expenditures 15-22'!D264-E8</f>
        <v>36514</v>
      </c>
      <c r="E27" s="1807">
        <f>E8</f>
        <v>0</v>
      </c>
      <c r="F27" s="1807">
        <f>'Expenditures 15-22'!K60-SUM('Expenditures 15-22'!G60,'Expenditures 15-22'!I60)+'Expenditures 15-22'!D264-E8</f>
        <v>36514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55565</v>
      </c>
      <c r="F28" s="1809">
        <f>'Expenditures 15-22'!K61-SUM('Expenditures 15-22'!G61,'Expenditures 15-22'!I61)+'Expenditures 15-22'!K124-SUM('Expenditures 15-22'!G124,'Expenditures 15-22'!I124)+'Expenditures 15-22'!D266-E9</f>
        <v>55565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28544</v>
      </c>
      <c r="F29" s="1805"/>
      <c r="G29" s="1808">
        <f>'Expenditures 15-22'!K62-SUM('Expenditures 15-22'!G62,'Expenditures 15-22'!I62)+'Expenditures 15-22'!K125-SUM('Expenditures 15-22'!G125,'Expenditures 15-22'!I125)+'Expenditures 15-22'!K182-SUM('Expenditures 15-22'!G182,'Expenditures 15-22'!I182)+'Expenditures 15-22'!D267</f>
        <v>28544</v>
      </c>
      <c r="H29" s="815"/>
    </row>
    <row r="30" spans="1:9" ht="12" customHeight="1" x14ac:dyDescent="0.2">
      <c r="A30" s="824" t="s">
        <v>100</v>
      </c>
      <c r="B30" s="827"/>
      <c r="C30" s="823">
        <v>2560</v>
      </c>
      <c r="D30" s="1805"/>
      <c r="E30" s="1807">
        <f>'Expenditures 15-22'!K63-SUM('Expenditures 15-22'!G63,'Expenditures 15-22'!I63)+'Expenditures 15-22'!D268-E10</f>
        <v>20946</v>
      </c>
      <c r="F30" s="1805"/>
      <c r="G30" s="1807">
        <f>'Expenditures 15-22'!K63-SUM('Expenditures 15-22'!G63,'Expenditures 15-22'!I63)+'Expenditures 15-22'!D268-E10</f>
        <v>20946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2433</v>
      </c>
      <c r="F35" s="1805"/>
      <c r="G35" s="1807">
        <f>'Expenditures 15-22'!K69-SUM('Expenditures 15-22'!G69,'Expenditures 15-22'!I69)+'Expenditures 15-22'!D274</f>
        <v>2433</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3466</v>
      </c>
      <c r="E37" s="1807">
        <f>E14</f>
        <v>0</v>
      </c>
      <c r="F37" s="1807">
        <f>'Expenditures 15-22'!K71-SUM('Expenditures 15-22'!G71,'Expenditures 15-22'!I71)+'Expenditures 15-22'!D276-E14</f>
        <v>3466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39980</v>
      </c>
      <c r="E41" s="1809">
        <f>SUM(E19:E40)</f>
        <v>1117536</v>
      </c>
      <c r="F41" s="1809">
        <f>SUM(F19:F39)</f>
        <v>95545</v>
      </c>
      <c r="G41" s="1809">
        <f>SUM(G19:G40)</f>
        <v>1061971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39980</v>
      </c>
      <c r="F43" s="1458" t="s">
        <v>470</v>
      </c>
      <c r="G43" s="1810">
        <f>F41</f>
        <v>95545</v>
      </c>
    </row>
    <row r="44" spans="1:7" ht="12" customHeight="1" x14ac:dyDescent="0.2">
      <c r="A44" s="817"/>
      <c r="B44" s="157"/>
      <c r="C44" s="831"/>
      <c r="D44" s="1458" t="s">
        <v>471</v>
      </c>
      <c r="E44" s="1810">
        <f>E41</f>
        <v>1117536</v>
      </c>
      <c r="F44" s="1458" t="s">
        <v>471</v>
      </c>
      <c r="G44" s="1810">
        <f>G41</f>
        <v>1061971</v>
      </c>
    </row>
    <row r="45" spans="1:7" ht="12" customHeight="1" x14ac:dyDescent="0.2">
      <c r="A45" s="817"/>
      <c r="B45" s="157"/>
      <c r="C45" s="157"/>
      <c r="D45" s="1459" t="s">
        <v>999</v>
      </c>
      <c r="E45" s="1811">
        <f>(E43/E44)</f>
        <v>3.5775133865933624E-2</v>
      </c>
      <c r="F45" s="1459" t="s">
        <v>999</v>
      </c>
      <c r="G45" s="1811">
        <f>(G43/G44)</f>
        <v>8.9969500108760037E-2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2" zoomScale="110" zoomScaleNormal="110" workbookViewId="0">
      <selection activeCell="A34" sqref="A34"/>
    </sheetView>
  </sheetViews>
  <sheetFormatPr defaultColWidth="9.28515625" defaultRowHeight="12.75" x14ac:dyDescent="0.2"/>
  <cols>
    <col min="1" max="1" width="54.5703125" style="1505" customWidth="1"/>
    <col min="2" max="2" width="4.28515625" style="1505" customWidth="1"/>
    <col min="3" max="4" width="9.7109375" style="1477" customWidth="1"/>
    <col min="5" max="5" width="12.5703125" style="1506" customWidth="1"/>
    <col min="6" max="6" width="67.5703125" style="1477" customWidth="1"/>
    <col min="7" max="7" width="9.28515625" style="1477" customWidth="1"/>
    <col min="8" max="8" width="5.5703125" style="1507" bestFit="1" customWidth="1"/>
    <col min="9" max="10" width="2" style="1507" bestFit="1" customWidth="1"/>
    <col min="11" max="11" width="9" style="1507" customWidth="1"/>
    <col min="12" max="16384" width="9.28515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Steward ESD 220</v>
      </c>
      <c r="D6" s="2415"/>
      <c r="E6" s="2415"/>
      <c r="F6" s="1482"/>
      <c r="G6" s="1507"/>
      <c r="L6" s="1507"/>
      <c r="M6" s="1855"/>
      <c r="N6" s="1855"/>
      <c r="O6" s="1855"/>
    </row>
    <row r="7" spans="1:15" ht="11.25" customHeight="1" thickBot="1" x14ac:dyDescent="0.3">
      <c r="A7" s="1480"/>
      <c r="B7" s="1481"/>
      <c r="C7" s="2416">
        <f>COVER!A13</f>
        <v>47052220002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2055</v>
      </c>
      <c r="D13" s="1495" t="s">
        <v>2055</v>
      </c>
      <c r="E13" s="1498"/>
      <c r="F13" s="1497" t="s">
        <v>2073</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2055</v>
      </c>
      <c r="D19" s="1495" t="s">
        <v>2055</v>
      </c>
      <c r="E19" s="1498"/>
      <c r="F19" s="1497" t="s">
        <v>2074</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2055</v>
      </c>
      <c r="D26" s="1495" t="s">
        <v>2055</v>
      </c>
      <c r="E26" s="1498"/>
      <c r="F26" s="1497" t="s">
        <v>2075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2055</v>
      </c>
      <c r="D33" s="1495" t="s">
        <v>2055</v>
      </c>
      <c r="E33" s="1498"/>
      <c r="F33" s="1497" t="s">
        <v>2076</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8" sqref="M68"/>
    </sheetView>
  </sheetViews>
  <sheetFormatPr defaultColWidth="9.28515625" defaultRowHeight="12.75" x14ac:dyDescent="0.2"/>
  <cols>
    <col min="1" max="1" width="2.7109375" style="1921" customWidth="1"/>
    <col min="2" max="2" width="3" style="1921" customWidth="1"/>
    <col min="3" max="3" width="48.5703125" style="1921" customWidth="1"/>
    <col min="4" max="4" width="7.42578125" style="1921" customWidth="1"/>
    <col min="5" max="5" width="11.28515625" style="1921" customWidth="1"/>
    <col min="6" max="6" width="10.7109375" style="1921" customWidth="1"/>
    <col min="7" max="8" width="9.28515625" style="1921"/>
    <col min="9" max="9" width="11.28515625" style="1921" customWidth="1"/>
    <col min="10" max="10" width="10.7109375" style="1921" customWidth="1"/>
    <col min="11" max="11" width="9.28515625" style="1921"/>
    <col min="12" max="12" width="14.28515625" style="1921" customWidth="1"/>
    <col min="13" max="13" width="9.28515625" style="1921"/>
    <col min="14" max="14" width="18.7109375" style="1921" customWidth="1"/>
    <col min="15" max="16384" width="9.28515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Steward ESD 220</v>
      </c>
      <c r="K6" s="2437"/>
      <c r="L6" s="2451"/>
      <c r="M6" s="838"/>
      <c r="N6" s="1998"/>
    </row>
    <row r="7" spans="1:14" x14ac:dyDescent="0.2">
      <c r="A7" s="2452" t="s">
        <v>864</v>
      </c>
      <c r="B7" s="2453"/>
      <c r="C7" s="2453"/>
      <c r="D7" s="2453"/>
      <c r="E7" s="2454"/>
      <c r="F7" s="839"/>
      <c r="G7" s="838"/>
      <c r="H7" s="838"/>
      <c r="I7" s="1924" t="s">
        <v>369</v>
      </c>
      <c r="J7" s="2439">
        <f>COVER!A13</f>
        <v>47052220002</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193392</v>
      </c>
      <c r="F12" s="1942"/>
      <c r="G12" s="1968">
        <f>G68</f>
        <v>0</v>
      </c>
      <c r="H12" s="1944">
        <f t="shared" ref="H12:H18" si="0">SUM(E12:G12)</f>
        <v>193392</v>
      </c>
      <c r="I12" s="1943">
        <v>193392</v>
      </c>
      <c r="J12" s="1942"/>
      <c r="K12" s="1943">
        <v>12000</v>
      </c>
      <c r="L12" s="1944">
        <f t="shared" ref="L12:L18" si="1">SUM(I12:K12)</f>
        <v>205392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29247</v>
      </c>
      <c r="G15" s="1968">
        <f>J68</f>
        <v>0</v>
      </c>
      <c r="H15" s="1944">
        <f t="shared" si="0"/>
        <v>29247</v>
      </c>
      <c r="I15" s="1943">
        <v>29247</v>
      </c>
      <c r="J15" s="1943"/>
      <c r="K15" s="1943"/>
      <c r="L15" s="1944">
        <f t="shared" si="1"/>
        <v>29247</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193392</v>
      </c>
      <c r="F19" s="1950">
        <f t="shared" si="2"/>
        <v>29247</v>
      </c>
      <c r="G19" s="1950">
        <f t="shared" ref="G19" si="3">SUM(G12:G17)-G18</f>
        <v>0</v>
      </c>
      <c r="H19" s="1950">
        <f t="shared" si="2"/>
        <v>222639</v>
      </c>
      <c r="I19" s="1950">
        <f t="shared" si="2"/>
        <v>222639</v>
      </c>
      <c r="J19" s="1950">
        <f t="shared" si="2"/>
        <v>0</v>
      </c>
      <c r="K19" s="1950">
        <f t="shared" si="2"/>
        <v>12000</v>
      </c>
      <c r="L19" s="1950">
        <f t="shared" si="2"/>
        <v>234639</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5.3898912589438505E-2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Steward ESD 220</v>
      </c>
      <c r="M52" s="2437"/>
      <c r="N52" s="2438"/>
    </row>
    <row r="53" spans="1:14" x14ac:dyDescent="0.2">
      <c r="A53" s="1982"/>
      <c r="B53" s="1983"/>
      <c r="C53" s="1983"/>
      <c r="D53" s="1983"/>
      <c r="E53" s="1983"/>
      <c r="F53" s="1983"/>
      <c r="G53" s="1983"/>
      <c r="H53" s="1983"/>
      <c r="I53" s="1983"/>
      <c r="J53" s="1983"/>
      <c r="K53" s="1924" t="s">
        <v>369</v>
      </c>
      <c r="L53" s="2439">
        <f>J7</f>
        <v>47052220002</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6525</v>
      </c>
      <c r="F58" s="1972"/>
      <c r="G58" s="2031"/>
      <c r="H58" s="2032"/>
      <c r="I58" s="2032"/>
      <c r="J58" s="2032"/>
      <c r="K58" s="2032"/>
      <c r="L58" s="2032"/>
      <c r="M58" s="2032">
        <v>6525</v>
      </c>
      <c r="N58" s="1975">
        <f>IF((SUM(G58:M58))=E58,SUM(G58:M58),"Column N does not agree with Column E")</f>
        <v>6525</v>
      </c>
    </row>
    <row r="59" spans="1:14" ht="24.75" customHeight="1" x14ac:dyDescent="0.2">
      <c r="A59" s="2419" t="s">
        <v>297</v>
      </c>
      <c r="B59" s="2420"/>
      <c r="C59" s="2420"/>
      <c r="D59" s="1967">
        <v>2363</v>
      </c>
      <c r="E59" s="1977">
        <f>'Expenditures 15-22'!K321</f>
        <v>326</v>
      </c>
      <c r="F59" s="1972"/>
      <c r="G59" s="2031"/>
      <c r="H59" s="2032"/>
      <c r="I59" s="2032"/>
      <c r="J59" s="2032"/>
      <c r="K59" s="2032"/>
      <c r="L59" s="2032"/>
      <c r="M59" s="2032">
        <v>326</v>
      </c>
      <c r="N59" s="1975">
        <f>IF((SUM(G59:M59))=E59,SUM(G59:M59),"Column N does not agree with Column E")</f>
        <v>326</v>
      </c>
    </row>
    <row r="60" spans="1:14" ht="24" customHeight="1" x14ac:dyDescent="0.2">
      <c r="A60" s="2419" t="s">
        <v>236</v>
      </c>
      <c r="B60" s="2420"/>
      <c r="C60" s="2420"/>
      <c r="D60" s="1967">
        <v>2364</v>
      </c>
      <c r="E60" s="1977">
        <f>'Expenditures 15-22'!K322</f>
        <v>12186</v>
      </c>
      <c r="F60" s="1972"/>
      <c r="G60" s="2031"/>
      <c r="H60" s="2032"/>
      <c r="I60" s="2032"/>
      <c r="J60" s="2032"/>
      <c r="K60" s="2032"/>
      <c r="L60" s="2032"/>
      <c r="M60" s="2032">
        <v>12186</v>
      </c>
      <c r="N60" s="1975">
        <f t="shared" ref="N60:N67" si="4">IF((SUM(G60:M60))=E60,SUM(G60:M60),"Column N does not agree with Column E")</f>
        <v>12186</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17417</v>
      </c>
      <c r="F63" s="1972"/>
      <c r="G63" s="2031"/>
      <c r="H63" s="2032"/>
      <c r="I63" s="2032"/>
      <c r="J63" s="2032"/>
      <c r="K63" s="2032"/>
      <c r="L63" s="2032"/>
      <c r="M63" s="2032">
        <v>17417</v>
      </c>
      <c r="N63" s="1975">
        <f t="shared" si="4"/>
        <v>17417</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15703</v>
      </c>
      <c r="F65" s="1972"/>
      <c r="G65" s="2031"/>
      <c r="H65" s="2032"/>
      <c r="I65" s="2032"/>
      <c r="J65" s="2032"/>
      <c r="K65" s="2032"/>
      <c r="L65" s="2032"/>
      <c r="M65" s="2032">
        <v>15703</v>
      </c>
      <c r="N65" s="1975">
        <f t="shared" si="4"/>
        <v>15703</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52157</v>
      </c>
      <c r="F68" s="1973"/>
      <c r="G68" s="1974">
        <f t="shared" ref="G68:N68" si="5">SUM(G57:G67)</f>
        <v>0</v>
      </c>
      <c r="H68" s="1974">
        <f t="shared" si="5"/>
        <v>0</v>
      </c>
      <c r="I68" s="1974">
        <f t="shared" si="5"/>
        <v>0</v>
      </c>
      <c r="J68" s="1974">
        <f t="shared" si="5"/>
        <v>0</v>
      </c>
      <c r="K68" s="1974">
        <f t="shared" si="5"/>
        <v>0</v>
      </c>
      <c r="L68" s="1974">
        <f t="shared" si="5"/>
        <v>0</v>
      </c>
      <c r="M68" s="1974">
        <f t="shared" si="5"/>
        <v>52157</v>
      </c>
      <c r="N68" s="1988">
        <f t="shared" si="5"/>
        <v>52157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2078</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Steward ESD 220</v>
      </c>
    </row>
    <row r="65" spans="2:2" x14ac:dyDescent="0.2">
      <c r="B65" s="849">
        <f>COVER!A13</f>
        <v>47052220002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4" customHeight="1" x14ac:dyDescent="0.2">
      <c r="A76" s="184" t="s">
        <v>1604</v>
      </c>
      <c r="B76" s="193" t="s">
        <v>1762</v>
      </c>
    </row>
    <row r="77" spans="1:9" ht="12.4"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4"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783127</v>
      </c>
      <c r="C8" s="1813">
        <f>'Acct Summary 7-8'!D8</f>
        <v>203623</v>
      </c>
      <c r="D8" s="1813">
        <f>'Acct Summary 7-8'!F8</f>
        <v>99824</v>
      </c>
      <c r="E8" s="1813">
        <f>'Acct Summary 7-8'!I8</f>
        <v>8641</v>
      </c>
      <c r="F8" s="1813">
        <f>SUM(B8:E8)</f>
        <v>1095215</v>
      </c>
    </row>
    <row r="9" spans="1:8" s="858" customFormat="1" ht="14.25" customHeight="1" thickBot="1" x14ac:dyDescent="0.25">
      <c r="A9" s="857" t="s">
        <v>1353</v>
      </c>
      <c r="B9" s="1814">
        <f>'Acct Summary 7-8'!C17</f>
        <v>1005916</v>
      </c>
      <c r="C9" s="1814">
        <f>'Acct Summary 7-8'!D17</f>
        <v>119630</v>
      </c>
      <c r="D9" s="1814">
        <f>'Acct Summary 7-8'!F17</f>
        <v>27238</v>
      </c>
      <c r="E9" s="1813"/>
      <c r="F9" s="1813">
        <f>SUM(B9:E9)</f>
        <v>1152784</v>
      </c>
    </row>
    <row r="10" spans="1:8" s="858" customFormat="1" ht="14.25" thickTop="1" thickBot="1" x14ac:dyDescent="0.25">
      <c r="A10" s="859" t="s">
        <v>1354</v>
      </c>
      <c r="B10" s="1815">
        <f>(B8-B9)</f>
        <v>-222789</v>
      </c>
      <c r="C10" s="1815">
        <f>(C8-C9)</f>
        <v>83993</v>
      </c>
      <c r="D10" s="1815">
        <f>(D8-D9)</f>
        <v>72586</v>
      </c>
      <c r="E10" s="1814">
        <f>(E8-E9)</f>
        <v>8641</v>
      </c>
      <c r="F10" s="1816">
        <f>SUM(F8-F9)</f>
        <v>-57569</v>
      </c>
    </row>
    <row r="11" spans="1:8" s="858" customFormat="1" ht="14.25" thickTop="1" thickBot="1" x14ac:dyDescent="0.25">
      <c r="A11" s="860" t="s">
        <v>1903</v>
      </c>
      <c r="B11" s="1817">
        <f>'Acct Summary 7-8'!C81</f>
        <v>50245</v>
      </c>
      <c r="C11" s="1817">
        <f>'Acct Summary 7-8'!D81</f>
        <v>154357</v>
      </c>
      <c r="D11" s="1817">
        <f>'Acct Summary 7-8'!F81</f>
        <v>270783</v>
      </c>
      <c r="E11" s="1817">
        <f>'Acct Summary 7-8'!I81</f>
        <v>17172</v>
      </c>
      <c r="F11" s="1818">
        <f>SUM(B11:E11)</f>
        <v>492557</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16" sqref="A16:D16"/>
    </sheetView>
  </sheetViews>
  <sheetFormatPr defaultColWidth="9.28515625" defaultRowHeight="12" x14ac:dyDescent="0.2"/>
  <cols>
    <col min="1" max="1" width="2.7109375" style="912" customWidth="1"/>
    <col min="2" max="2" width="3.28515625" style="912" customWidth="1"/>
    <col min="3" max="3" width="96.28515625" style="852" customWidth="1"/>
    <col min="4" max="4" width="42.28515625" style="237" customWidth="1"/>
    <col min="5" max="5" width="2.7109375" style="871" customWidth="1"/>
    <col min="6" max="6" width="1" style="871" customWidth="1"/>
    <col min="7" max="16384" width="9.28515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4" customHeight="1" x14ac:dyDescent="0.2">
      <c r="A23" s="918"/>
      <c r="B23" s="919"/>
      <c r="C23" s="920" t="s">
        <v>948</v>
      </c>
      <c r="D23" s="921" t="str">
        <f>IF(COVER!O11="X","CASH",IF(COVER!O12="X","ACCRUAL ","PLEASE CHECK AN ACCOUNTING BASIS."))</f>
        <v>CASH</v>
      </c>
    </row>
    <row r="24" spans="1:10" ht="12.4"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43" t="s">
        <v>1967</v>
      </c>
      <c r="F1" s="1543" t="s">
        <v>1968</v>
      </c>
      <c r="G1" s="1900" t="s">
        <v>1978</v>
      </c>
    </row>
    <row r="2" spans="1:7" ht="15.75" x14ac:dyDescent="0.25">
      <c r="A2" t="s">
        <v>260</v>
      </c>
      <c r="B2" s="135">
        <f>COVER!A13</f>
        <v>47052220002</v>
      </c>
      <c r="E2" s="1542">
        <v>2020</v>
      </c>
      <c r="F2" s="1542">
        <v>1</v>
      </c>
      <c r="G2" s="1899">
        <v>101000300</v>
      </c>
    </row>
    <row r="3" spans="1:7" ht="15" x14ac:dyDescent="0.25">
      <c r="A3" t="s">
        <v>950</v>
      </c>
      <c r="B3" s="135" t="str">
        <f>COVER!A15</f>
        <v>LEE AND DEKALB</v>
      </c>
      <c r="E3" s="1830" t="s">
        <v>1971</v>
      </c>
      <c r="F3" s="1830" t="s">
        <v>1970</v>
      </c>
      <c r="G3" s="1899">
        <v>101000400</v>
      </c>
    </row>
    <row r="4" spans="1:7" ht="15" x14ac:dyDescent="0.25">
      <c r="A4" t="s">
        <v>1000</v>
      </c>
      <c r="B4" s="135" t="str">
        <f>COVER!A17</f>
        <v>Steward ESD 220</v>
      </c>
      <c r="E4" s="1828">
        <v>44119</v>
      </c>
      <c r="F4" s="1829">
        <v>44151</v>
      </c>
      <c r="G4" s="1899">
        <v>101000600</v>
      </c>
    </row>
    <row r="5" spans="1:7" ht="15" x14ac:dyDescent="0.25">
      <c r="A5" t="s">
        <v>699</v>
      </c>
      <c r="B5" s="135" t="str">
        <f>COVER!A38</f>
        <v>LOWELL TAYLOR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50245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39184</v>
      </c>
      <c r="D92" s="2" t="str">
        <f t="shared" si="0"/>
        <v>Error?</v>
      </c>
      <c r="G92" s="1899">
        <v>102640600</v>
      </c>
    </row>
    <row r="93" spans="1:7" ht="15" x14ac:dyDescent="0.25">
      <c r="A93" s="5">
        <v>32</v>
      </c>
      <c r="B93" s="1832">
        <f>'Assets-Liab 5-6'!C41</f>
        <v>50245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154357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113395</v>
      </c>
      <c r="D123" s="2" t="str">
        <f t="shared" si="0"/>
        <v>Error?</v>
      </c>
      <c r="G123" s="1899">
        <v>203000400</v>
      </c>
    </row>
    <row r="124" spans="1:7" ht="15" x14ac:dyDescent="0.25">
      <c r="A124" s="5">
        <v>63</v>
      </c>
      <c r="B124" s="1832">
        <f>'Assets-Liab 5-6'!D41</f>
        <v>154357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564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564</v>
      </c>
      <c r="D140" s="2" t="str">
        <f t="shared" si="1"/>
        <v>Error?</v>
      </c>
    </row>
    <row r="141" spans="1:7" x14ac:dyDescent="0.2">
      <c r="A141" s="5">
        <v>80</v>
      </c>
      <c r="B141" s="1832">
        <f>'Assets-Liab 5-6'!E41</f>
        <v>564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270783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270783</v>
      </c>
      <c r="D170" s="2" t="str">
        <f t="shared" si="1"/>
        <v>Error?</v>
      </c>
    </row>
    <row r="171" spans="1:4" x14ac:dyDescent="0.2">
      <c r="A171" s="5">
        <v>110</v>
      </c>
      <c r="B171" s="1832">
        <f>'Assets-Liab 5-6'!F41</f>
        <v>270783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72507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72507</v>
      </c>
      <c r="D189" s="2" t="str">
        <f t="shared" si="1"/>
        <v>Error?</v>
      </c>
    </row>
    <row r="190" spans="1:4" x14ac:dyDescent="0.2">
      <c r="A190" s="5">
        <v>129</v>
      </c>
      <c r="B190" s="1832">
        <f>'Assets-Liab 5-6'!G41</f>
        <v>72507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2600</v>
      </c>
      <c r="D273" s="2" t="str">
        <f t="shared" si="3"/>
        <v>Error?</v>
      </c>
    </row>
    <row r="274" spans="1:4" x14ac:dyDescent="0.2">
      <c r="A274" s="5">
        <v>213</v>
      </c>
      <c r="B274" s="1832">
        <f>'Assets-Liab 5-6'!M17</f>
        <v>2240902</v>
      </c>
      <c r="D274" s="2" t="str">
        <f t="shared" si="3"/>
        <v>Error?</v>
      </c>
    </row>
    <row r="275" spans="1:4" x14ac:dyDescent="0.2">
      <c r="A275" s="5">
        <v>214</v>
      </c>
      <c r="B275" s="1832">
        <f>'Assets-Liab 5-6'!M18</f>
        <v>170825</v>
      </c>
      <c r="D275" s="2" t="str">
        <f t="shared" si="3"/>
        <v>Error?</v>
      </c>
    </row>
    <row r="276" spans="1:4" x14ac:dyDescent="0.2">
      <c r="A276" s="5">
        <v>215</v>
      </c>
      <c r="B276" s="1832">
        <f>'Assets-Liab 5-6'!M19</f>
        <v>344273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2758600</v>
      </c>
      <c r="C279" s="2" t="s">
        <v>569</v>
      </c>
      <c r="D279" s="2" t="str">
        <f t="shared" si="3"/>
        <v>Error?</v>
      </c>
    </row>
    <row r="280" spans="1:4" x14ac:dyDescent="0.2">
      <c r="A280" s="5">
        <v>219</v>
      </c>
      <c r="B280" s="1832">
        <f>'Assets-Liab 5-6'!M40</f>
        <v>2758600</v>
      </c>
      <c r="D280" s="2" t="str">
        <f t="shared" si="3"/>
        <v>Error?</v>
      </c>
    </row>
    <row r="281" spans="1:4" x14ac:dyDescent="0.2">
      <c r="A281" s="5">
        <v>220</v>
      </c>
      <c r="B281" s="1832">
        <f>'Assets-Liab 5-6'!M41</f>
        <v>2758600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352422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352422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5970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5970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116325</v>
      </c>
      <c r="D733" s="2" t="str">
        <f t="shared" si="10"/>
        <v>Error?</v>
      </c>
    </row>
    <row r="734" spans="1:4" x14ac:dyDescent="0.2">
      <c r="A734" s="5">
        <v>673</v>
      </c>
      <c r="B734" s="1832">
        <f>'Expenditures 15-22'!C53</f>
        <v>116325</v>
      </c>
      <c r="C734" s="2" t="s">
        <v>569</v>
      </c>
      <c r="D734" s="2" t="str">
        <f t="shared" si="10"/>
        <v>Error?</v>
      </c>
    </row>
    <row r="735" spans="1:4" x14ac:dyDescent="0.2">
      <c r="A735" s="5">
        <v>674</v>
      </c>
      <c r="B735" s="1832">
        <f>'Expenditures 15-22'!C55</f>
        <v>90000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90000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27496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7931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35427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247722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600144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134873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134873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771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771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69270</v>
      </c>
      <c r="D791" s="2" t="str">
        <f t="shared" si="11"/>
        <v>Error?</v>
      </c>
    </row>
    <row r="792" spans="1:4" x14ac:dyDescent="0.2">
      <c r="A792" s="5">
        <v>731</v>
      </c>
      <c r="B792" s="1832">
        <f>'Expenditures 15-22'!D53</f>
        <v>69270</v>
      </c>
      <c r="C792" s="2" t="s">
        <v>569</v>
      </c>
      <c r="D792" s="2" t="str">
        <f t="shared" si="11"/>
        <v>Error?</v>
      </c>
    </row>
    <row r="793" spans="1:4" x14ac:dyDescent="0.2">
      <c r="A793" s="5">
        <v>732</v>
      </c>
      <c r="B793" s="1832">
        <f>'Expenditures 15-22'!D55</f>
        <v>34660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34660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750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750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105451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240324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11277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11277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30763</v>
      </c>
      <c r="D848" s="2" t="str">
        <f t="shared" si="12"/>
        <v>Error?</v>
      </c>
    </row>
    <row r="849" spans="1:4" x14ac:dyDescent="0.2">
      <c r="A849" s="5">
        <v>788</v>
      </c>
      <c r="B849" s="1832">
        <f>'Expenditures 15-22'!E50</f>
        <v>7554</v>
      </c>
      <c r="D849" s="2" t="str">
        <f t="shared" si="12"/>
        <v>Error?</v>
      </c>
    </row>
    <row r="850" spans="1:4" x14ac:dyDescent="0.2">
      <c r="A850" s="5">
        <v>789</v>
      </c>
      <c r="B850" s="1832">
        <f>'Expenditures 15-22'!E53</f>
        <v>38317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3255</v>
      </c>
      <c r="D855" s="2" t="str">
        <f t="shared" si="12"/>
        <v>Error?</v>
      </c>
    </row>
    <row r="856" spans="1:4" x14ac:dyDescent="0.2">
      <c r="A856" s="5">
        <v>795</v>
      </c>
      <c r="B856" s="1832">
        <f>'Expenditures 15-22'!E61</f>
        <v>7178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1593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12026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2433</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2433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52776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86626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58654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58654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115</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40</v>
      </c>
      <c r="D904" s="2" t="str">
        <f t="shared" si="13"/>
        <v>Error?</v>
      </c>
    </row>
    <row r="905" spans="1:4" x14ac:dyDescent="0.2">
      <c r="A905" s="5">
        <v>844</v>
      </c>
      <c r="B905" s="1832">
        <f>'Expenditures 15-22'!F47</f>
        <v>155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243</v>
      </c>
      <c r="D907" s="2" t="str">
        <f t="shared" si="13"/>
        <v>Error?</v>
      </c>
    </row>
    <row r="908" spans="1:4" x14ac:dyDescent="0.2">
      <c r="A908" s="5">
        <v>847</v>
      </c>
      <c r="B908" s="1832">
        <f>'Expenditures 15-22'!F53</f>
        <v>243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967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9938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10905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3466</v>
      </c>
      <c r="D925" s="2" t="str">
        <f t="shared" si="13"/>
        <v>Error?</v>
      </c>
    </row>
    <row r="926" spans="1:4" x14ac:dyDescent="0.2">
      <c r="A926" s="10">
        <v>865</v>
      </c>
      <c r="B926" s="1832"/>
      <c r="D926" s="2" t="str">
        <f t="shared" si="13"/>
        <v>OK</v>
      </c>
    </row>
    <row r="927" spans="1:4" x14ac:dyDescent="0.2">
      <c r="A927" s="5">
        <v>866</v>
      </c>
      <c r="B927" s="1832">
        <f>'Expenditures 15-22'!F72</f>
        <v>3466</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14769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73423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977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977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4422</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4422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4422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5399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558203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558203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6741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6741</v>
      </c>
      <c r="C1115" s="2" t="s">
        <v>569</v>
      </c>
      <c r="D1115" s="2" t="str">
        <f t="shared" si="16"/>
        <v>Error?</v>
      </c>
    </row>
    <row r="1116" spans="1:4" x14ac:dyDescent="0.2">
      <c r="A1116" s="5">
        <v>1055</v>
      </c>
      <c r="B1116" s="1832">
        <f>'Expenditures 15-22'!K44</f>
        <v>115</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40</v>
      </c>
      <c r="C1118" s="2" t="s">
        <v>569</v>
      </c>
      <c r="D1118" s="2" t="str">
        <f t="shared" si="16"/>
        <v>Error?</v>
      </c>
    </row>
    <row r="1119" spans="1:4" x14ac:dyDescent="0.2">
      <c r="A1119" s="5">
        <v>1058</v>
      </c>
      <c r="B1119" s="1832">
        <f>'Expenditures 15-22'!K47</f>
        <v>155</v>
      </c>
      <c r="C1119" s="2" t="s">
        <v>569</v>
      </c>
      <c r="D1119" s="2" t="str">
        <f t="shared" si="16"/>
        <v>Error?</v>
      </c>
    </row>
    <row r="1120" spans="1:4" x14ac:dyDescent="0.2">
      <c r="A1120" s="5">
        <v>1059</v>
      </c>
      <c r="B1120" s="1832">
        <f>'Expenditures 15-22'!K49</f>
        <v>35185</v>
      </c>
      <c r="C1120" s="2" t="s">
        <v>569</v>
      </c>
      <c r="D1120" s="2" t="str">
        <f t="shared" si="16"/>
        <v>Error?</v>
      </c>
    </row>
    <row r="1121" spans="1:4" x14ac:dyDescent="0.2">
      <c r="A1121" s="5">
        <v>1060</v>
      </c>
      <c r="B1121" s="1832">
        <f>'Expenditures 15-22'!K50</f>
        <v>193392</v>
      </c>
      <c r="C1121" s="2" t="s">
        <v>569</v>
      </c>
      <c r="D1121" s="2" t="str">
        <f t="shared" si="16"/>
        <v>Error?</v>
      </c>
    </row>
    <row r="1122" spans="1:4" x14ac:dyDescent="0.2">
      <c r="A1122" s="5">
        <v>1061</v>
      </c>
      <c r="B1122" s="1832">
        <f>'Expenditures 15-22'!K53</f>
        <v>228577</v>
      </c>
      <c r="C1122" s="2" t="s">
        <v>569</v>
      </c>
      <c r="D1122" s="2" t="str">
        <f t="shared" si="16"/>
        <v>Error?</v>
      </c>
    </row>
    <row r="1123" spans="1:4" x14ac:dyDescent="0.2">
      <c r="A1123" s="5">
        <v>1062</v>
      </c>
      <c r="B1123" s="1832">
        <f>'Expenditures 15-22'!K55</f>
        <v>124660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124660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31718</v>
      </c>
      <c r="C1127" s="2" t="s">
        <v>569</v>
      </c>
      <c r="D1127" s="2" t="str">
        <f t="shared" si="16"/>
        <v>Error?</v>
      </c>
    </row>
    <row r="1128" spans="1:4" x14ac:dyDescent="0.2">
      <c r="A1128" s="5">
        <v>1067</v>
      </c>
      <c r="B1128" s="1832">
        <f>'Expenditures 15-22'!K61</f>
        <v>7178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20212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59108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2433</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3466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5899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425140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22573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1005916</v>
      </c>
      <c r="C1152" s="2" t="s">
        <v>569</v>
      </c>
      <c r="D1152" s="2" t="str">
        <f t="shared" si="17"/>
        <v>Error?</v>
      </c>
    </row>
    <row r="1153" spans="1:4" x14ac:dyDescent="0.2">
      <c r="A1153" s="5">
        <v>1092</v>
      </c>
      <c r="B1153" s="1832">
        <f>'Expenditures 15-22'!K115</f>
        <v>-222789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27747</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27747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27747</v>
      </c>
      <c r="C1225" s="2" t="s">
        <v>569</v>
      </c>
      <c r="D1225" s="2" t="str">
        <f t="shared" si="18"/>
        <v>Error?</v>
      </c>
    </row>
    <row r="1226" spans="1:4" x14ac:dyDescent="0.2">
      <c r="A1226" s="5">
        <v>1165</v>
      </c>
      <c r="B1226" s="1832">
        <f>'Expenditures 15-22'!C151</f>
        <v>27747</v>
      </c>
      <c r="C1226" s="2" t="s">
        <v>569</v>
      </c>
      <c r="D1226" s="2" t="str">
        <f t="shared" si="18"/>
        <v>Error?</v>
      </c>
    </row>
    <row r="1227" spans="1:4" x14ac:dyDescent="0.2">
      <c r="A1227" s="5">
        <v>1166</v>
      </c>
      <c r="B1227" s="1832">
        <f>'Expenditures 15-22'!D122</f>
        <v>1500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1500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1500</v>
      </c>
      <c r="C1233" s="2" t="s">
        <v>569</v>
      </c>
      <c r="D1233" s="2" t="str">
        <f t="shared" si="18"/>
        <v>Error?</v>
      </c>
    </row>
    <row r="1234" spans="1:4" x14ac:dyDescent="0.2">
      <c r="A1234" s="5">
        <v>1173</v>
      </c>
      <c r="B1234" s="1832">
        <f>'Expenditures 15-22'!D151</f>
        <v>1500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23879</v>
      </c>
      <c r="D1237" s="2" t="str">
        <f t="shared" si="18"/>
        <v>Error?</v>
      </c>
    </row>
    <row r="1238" spans="1:4" x14ac:dyDescent="0.2">
      <c r="A1238" s="10">
        <v>1177</v>
      </c>
      <c r="B1238" s="1832"/>
      <c r="D1238" s="2" t="str">
        <f t="shared" si="18"/>
        <v>OK</v>
      </c>
    </row>
    <row r="1239" spans="1:4" x14ac:dyDescent="0.2">
      <c r="A1239" s="5">
        <v>1178</v>
      </c>
      <c r="B1239" s="1832">
        <f>'Expenditures 15-22'!E127</f>
        <v>23879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23879</v>
      </c>
      <c r="C1241" s="2" t="s">
        <v>569</v>
      </c>
      <c r="D1241" s="2" t="str">
        <f t="shared" si="18"/>
        <v>Error?</v>
      </c>
    </row>
    <row r="1242" spans="1:4" x14ac:dyDescent="0.2">
      <c r="A1242" s="5">
        <v>1181</v>
      </c>
      <c r="B1242" s="1832">
        <f>'Expenditures 15-22'!E151</f>
        <v>23879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24508</v>
      </c>
      <c r="D1245" s="2" t="str">
        <f t="shared" si="18"/>
        <v>Error?</v>
      </c>
    </row>
    <row r="1246" spans="1:4" x14ac:dyDescent="0.2">
      <c r="A1246" s="10">
        <v>1185</v>
      </c>
      <c r="B1246" s="1832"/>
      <c r="D1246" s="2" t="str">
        <f t="shared" si="18"/>
        <v>OK</v>
      </c>
    </row>
    <row r="1247" spans="1:4" x14ac:dyDescent="0.2">
      <c r="A1247" s="5">
        <v>1186</v>
      </c>
      <c r="B1247" s="1832">
        <f>'Expenditures 15-22'!F127</f>
        <v>24508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24508</v>
      </c>
      <c r="C1249" s="2" t="s">
        <v>569</v>
      </c>
      <c r="D1249" s="2" t="str">
        <f t="shared" si="18"/>
        <v>Error?</v>
      </c>
    </row>
    <row r="1250" spans="1:4" x14ac:dyDescent="0.2">
      <c r="A1250" s="5">
        <v>1189</v>
      </c>
      <c r="B1250" s="1832">
        <f>'Expenditures 15-22'!F151</f>
        <v>24508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41996</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41996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41996</v>
      </c>
      <c r="C1258" s="2" t="s">
        <v>569</v>
      </c>
      <c r="D1258" s="2" t="str">
        <f t="shared" si="18"/>
        <v>Error?</v>
      </c>
    </row>
    <row r="1259" spans="1:4" x14ac:dyDescent="0.2">
      <c r="A1259" s="5">
        <v>1198</v>
      </c>
      <c r="B1259" s="1832">
        <f>'Expenditures 15-22'!G151</f>
        <v>41996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29247</v>
      </c>
      <c r="C1274" s="2" t="s">
        <v>569</v>
      </c>
      <c r="D1274" s="2" t="str">
        <f t="shared" si="18"/>
        <v>Error?</v>
      </c>
    </row>
    <row r="1275" spans="1:4" x14ac:dyDescent="0.2">
      <c r="A1275" s="5">
        <v>1214</v>
      </c>
      <c r="B1275" s="1832">
        <f>'Expenditures 15-22'!K123</f>
        <v>41996</v>
      </c>
      <c r="C1275" s="2" t="s">
        <v>569</v>
      </c>
      <c r="D1275" s="2" t="str">
        <f t="shared" si="18"/>
        <v>Error?</v>
      </c>
    </row>
    <row r="1276" spans="1:4" x14ac:dyDescent="0.2">
      <c r="A1276" s="5">
        <v>1215</v>
      </c>
      <c r="B1276" s="1832">
        <f>'Expenditures 15-22'!K124</f>
        <v>48387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119630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119630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119630</v>
      </c>
      <c r="C1288" s="2" t="s">
        <v>569</v>
      </c>
      <c r="D1288" s="2" t="str">
        <f t="shared" si="19"/>
        <v>Error?</v>
      </c>
    </row>
    <row r="1289" spans="1:4" x14ac:dyDescent="0.2">
      <c r="A1289" s="5">
        <v>1228</v>
      </c>
      <c r="B1289" s="1832">
        <f>'Expenditures 15-22'!K152</f>
        <v>83993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16325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16325</v>
      </c>
      <c r="C1339" s="2" t="s">
        <v>569</v>
      </c>
      <c r="D1339" s="2" t="str">
        <f t="shared" si="19"/>
        <v>Error?</v>
      </c>
    </row>
    <row r="1340" spans="1:4" x14ac:dyDescent="0.2">
      <c r="A1340" s="5">
        <v>1279</v>
      </c>
      <c r="B1340" s="1832">
        <f>'Expenditures 15-22'!C210</f>
        <v>16325</v>
      </c>
      <c r="C1340" s="2" t="s">
        <v>569</v>
      </c>
      <c r="D1340" s="2" t="str">
        <f t="shared" si="19"/>
        <v>Error?</v>
      </c>
    </row>
    <row r="1341" spans="1:4" x14ac:dyDescent="0.2">
      <c r="A1341" s="5">
        <v>1280</v>
      </c>
      <c r="B1341" s="1832">
        <f>'Expenditures 15-22'!D182</f>
        <v>750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750</v>
      </c>
      <c r="C1345" s="2" t="s">
        <v>569</v>
      </c>
      <c r="D1345" s="2" t="str">
        <f t="shared" si="20"/>
        <v>Error?</v>
      </c>
    </row>
    <row r="1346" spans="1:4" x14ac:dyDescent="0.2">
      <c r="A1346" s="5">
        <v>1285</v>
      </c>
      <c r="B1346" s="1832">
        <f>'Expenditures 15-22'!D210</f>
        <v>750</v>
      </c>
      <c r="C1346" s="2" t="s">
        <v>569</v>
      </c>
      <c r="D1346" s="2" t="str">
        <f t="shared" si="20"/>
        <v>Error?</v>
      </c>
    </row>
    <row r="1347" spans="1:4" x14ac:dyDescent="0.2">
      <c r="A1347" s="5">
        <v>1286</v>
      </c>
      <c r="B1347" s="1832">
        <f>'Expenditures 15-22'!E182</f>
        <v>10163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10163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10163</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27238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27238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27238</v>
      </c>
      <c r="C1388" s="2" t="s">
        <v>569</v>
      </c>
      <c r="D1388" s="2" t="str">
        <f t="shared" si="20"/>
        <v>Error?</v>
      </c>
    </row>
    <row r="1389" spans="1:4" x14ac:dyDescent="0.2">
      <c r="A1389" s="5">
        <v>1328</v>
      </c>
      <c r="B1389" s="1832">
        <f>'Expenditures 15-22'!K211</f>
        <v>72586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6834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95</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3379</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4796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1306</v>
      </c>
      <c r="D1432" s="2" t="str">
        <f t="shared" si="21"/>
        <v>Error?</v>
      </c>
    </row>
    <row r="1433" spans="1:4" x14ac:dyDescent="0.2">
      <c r="A1433" s="5">
        <v>1372</v>
      </c>
      <c r="B1433" s="1832">
        <f>'Expenditures 15-22'!D268</f>
        <v>734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6836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10310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17144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6834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95</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3379</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4796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1306</v>
      </c>
      <c r="C1496" s="2" t="s">
        <v>569</v>
      </c>
      <c r="D1496" s="2" t="str">
        <f t="shared" si="22"/>
        <v>Error?</v>
      </c>
    </row>
    <row r="1497" spans="1:4" x14ac:dyDescent="0.2">
      <c r="A1497" s="5">
        <v>1436</v>
      </c>
      <c r="B1497" s="1832">
        <f>'Expenditures 15-22'!K268</f>
        <v>734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6836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10310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17144</v>
      </c>
      <c r="C1517" s="2" t="s">
        <v>569</v>
      </c>
      <c r="D1517" s="2" t="str">
        <f t="shared" si="22"/>
        <v>Error?</v>
      </c>
    </row>
    <row r="1518" spans="1:4" x14ac:dyDescent="0.2">
      <c r="A1518" s="5">
        <v>1457</v>
      </c>
      <c r="B1518" s="1832">
        <f>'Expenditures 15-22'!K296</f>
        <v>-5207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73034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50245</v>
      </c>
      <c r="C1630" s="2" t="s">
        <v>569</v>
      </c>
      <c r="D1630" s="2" t="str">
        <f t="shared" si="24"/>
        <v>Error?</v>
      </c>
    </row>
    <row r="1631" spans="1:4" x14ac:dyDescent="0.2">
      <c r="A1631" s="5">
        <v>1570</v>
      </c>
      <c r="B1631" s="1832">
        <f>'Acct Summary 7-8'!D79</f>
        <v>270364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154357</v>
      </c>
      <c r="C1644" s="2" t="s">
        <v>569</v>
      </c>
      <c r="D1644" s="2" t="str">
        <f t="shared" si="24"/>
        <v>Error?</v>
      </c>
    </row>
    <row r="1645" spans="1:4" x14ac:dyDescent="0.2">
      <c r="A1645" s="5">
        <v>1584</v>
      </c>
      <c r="B1645" s="1832">
        <f>'Acct Summary 7-8'!E79</f>
        <v>564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564</v>
      </c>
      <c r="C1658" s="2" t="s">
        <v>569</v>
      </c>
      <c r="D1658" s="2" t="str">
        <f t="shared" si="24"/>
        <v>Error?</v>
      </c>
    </row>
    <row r="1659" spans="1:4" x14ac:dyDescent="0.2">
      <c r="A1659" s="5">
        <v>1598</v>
      </c>
      <c r="B1659" s="1832">
        <f>'Acct Summary 7-8'!F79</f>
        <v>198197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270783</v>
      </c>
      <c r="C1672" s="2" t="s">
        <v>569</v>
      </c>
      <c r="D1672" s="2" t="str">
        <f t="shared" si="25"/>
        <v>Error?</v>
      </c>
    </row>
    <row r="1673" spans="1:4" x14ac:dyDescent="0.2">
      <c r="A1673" s="5">
        <v>1612</v>
      </c>
      <c r="B1673" s="1832">
        <f>'Acct Summary 7-8'!G79</f>
        <v>77714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72507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577616</v>
      </c>
      <c r="C1744" s="2" t="s">
        <v>569</v>
      </c>
      <c r="D1744" s="2" t="str">
        <f t="shared" si="26"/>
        <v>Error?</v>
      </c>
    </row>
    <row r="1745" spans="1:5" x14ac:dyDescent="0.2">
      <c r="A1745" s="5">
        <v>1684</v>
      </c>
      <c r="B1745" s="1832">
        <f>'Tax Sched 23'!B5</f>
        <v>103328</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45298</v>
      </c>
      <c r="C1747" s="2" t="s">
        <v>569</v>
      </c>
      <c r="D1747" s="2" t="str">
        <f t="shared" si="26"/>
        <v>Error?</v>
      </c>
    </row>
    <row r="1748" spans="1:5" x14ac:dyDescent="0.2">
      <c r="A1748" s="5">
        <v>1687</v>
      </c>
      <c r="B1748" s="1832">
        <f>'Tax Sched 23'!B8</f>
        <v>462</v>
      </c>
      <c r="C1748" s="2" t="s">
        <v>569</v>
      </c>
      <c r="D1748" s="2" t="str">
        <f t="shared" si="26"/>
        <v>Error?</v>
      </c>
    </row>
    <row r="1749" spans="1:5" x14ac:dyDescent="0.2">
      <c r="A1749" s="5">
        <v>1688</v>
      </c>
      <c r="B1749" s="1832">
        <f>'Tax Sched 23'!B10</f>
        <v>8632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57424</v>
      </c>
      <c r="C1752" s="2" t="s">
        <v>569</v>
      </c>
      <c r="D1752" s="2" t="str">
        <f t="shared" si="26"/>
        <v>Error?</v>
      </c>
    </row>
    <row r="1753" spans="1:5" x14ac:dyDescent="0.2">
      <c r="A1753" s="5">
        <v>1692</v>
      </c>
      <c r="B1753" s="1832">
        <f>'Tax Sched 23'!B12</f>
        <v>5976</v>
      </c>
      <c r="C1753" s="2" t="s">
        <v>569</v>
      </c>
      <c r="D1753" s="2" t="str">
        <f t="shared" si="26"/>
        <v>Error?</v>
      </c>
    </row>
    <row r="1754" spans="1:5" x14ac:dyDescent="0.2">
      <c r="A1754" s="5">
        <v>1693</v>
      </c>
      <c r="B1754" s="1832">
        <f>'Tax Sched 23'!B14</f>
        <v>5976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823738</v>
      </c>
      <c r="C1759" s="2" t="s">
        <v>569</v>
      </c>
      <c r="D1759" s="2" t="str">
        <f t="shared" si="26"/>
        <v>Error?</v>
      </c>
    </row>
    <row r="1760" spans="1:5" x14ac:dyDescent="0.2">
      <c r="A1760" s="5">
        <v>1699</v>
      </c>
      <c r="B1760" s="1832">
        <f>'Tax Sched 23'!D4</f>
        <v>577616</v>
      </c>
      <c r="C1760" s="2" t="s">
        <v>569</v>
      </c>
      <c r="D1760" s="2" t="str">
        <f t="shared" si="26"/>
        <v>Error?</v>
      </c>
    </row>
    <row r="1761" spans="1:7" x14ac:dyDescent="0.2">
      <c r="A1761" s="5">
        <v>1700</v>
      </c>
      <c r="B1761" s="1832">
        <f>'Tax Sched 23'!D5</f>
        <v>103328</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45298</v>
      </c>
      <c r="C1763" s="2" t="s">
        <v>569</v>
      </c>
      <c r="D1763" s="2" t="str">
        <f t="shared" si="26"/>
        <v>Error?</v>
      </c>
    </row>
    <row r="1764" spans="1:7" x14ac:dyDescent="0.2">
      <c r="A1764" s="5">
        <v>1703</v>
      </c>
      <c r="B1764" s="1832">
        <f>'Tax Sched 23'!D8</f>
        <v>462</v>
      </c>
      <c r="C1764" s="2" t="s">
        <v>569</v>
      </c>
      <c r="D1764" s="2" t="str">
        <f t="shared" si="26"/>
        <v>Error?</v>
      </c>
    </row>
    <row r="1765" spans="1:7" x14ac:dyDescent="0.2">
      <c r="A1765" s="5">
        <v>1704</v>
      </c>
      <c r="B1765" s="1832">
        <f>'Tax Sched 23'!D10</f>
        <v>8632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57424</v>
      </c>
      <c r="C1768" s="2" t="s">
        <v>569</v>
      </c>
      <c r="D1768" s="2" t="str">
        <f t="shared" si="26"/>
        <v>Error?</v>
      </c>
    </row>
    <row r="1769" spans="1:7" x14ac:dyDescent="0.2">
      <c r="A1769" s="5">
        <v>1708</v>
      </c>
      <c r="B1769" s="1832">
        <f>'Tax Sched 23'!D12</f>
        <v>5976</v>
      </c>
      <c r="C1769" s="2" t="s">
        <v>569</v>
      </c>
      <c r="D1769" s="2" t="str">
        <f t="shared" si="26"/>
        <v>Error?</v>
      </c>
    </row>
    <row r="1770" spans="1:7" x14ac:dyDescent="0.2">
      <c r="A1770" s="5">
        <v>1709</v>
      </c>
      <c r="B1770" s="1832">
        <f>'Tax Sched 23'!D14</f>
        <v>5976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823738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591929</v>
      </c>
      <c r="C1792" s="2" t="s">
        <v>569</v>
      </c>
      <c r="D1792" s="2" t="str">
        <f t="shared" si="27"/>
        <v>Error?</v>
      </c>
    </row>
    <row r="1793" spans="1:4" x14ac:dyDescent="0.2">
      <c r="A1793" s="5">
        <v>1732</v>
      </c>
      <c r="B1793" s="1832">
        <f>'Tax Sched 23'!F5</f>
        <v>105884</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46405</v>
      </c>
      <c r="C1795" s="2" t="s">
        <v>569</v>
      </c>
      <c r="D1795" s="2" t="str">
        <f t="shared" si="27"/>
        <v>Error?</v>
      </c>
    </row>
    <row r="1796" spans="1:4" x14ac:dyDescent="0.2">
      <c r="A1796" s="5">
        <v>1735</v>
      </c>
      <c r="B1796" s="1832">
        <f>'Tax Sched 23'!F8</f>
        <v>471</v>
      </c>
      <c r="C1796" s="2" t="s">
        <v>569</v>
      </c>
      <c r="D1796" s="2" t="str">
        <f t="shared" si="27"/>
        <v>Error?</v>
      </c>
    </row>
    <row r="1797" spans="1:4" x14ac:dyDescent="0.2">
      <c r="A1797" s="5">
        <v>1736</v>
      </c>
      <c r="B1797" s="1832">
        <f>'Tax Sched 23'!F10</f>
        <v>8864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58503</v>
      </c>
      <c r="C1800" s="2" t="s">
        <v>569</v>
      </c>
      <c r="D1800" s="2" t="str">
        <f t="shared" si="27"/>
        <v>Error?</v>
      </c>
    </row>
    <row r="1801" spans="1:4" x14ac:dyDescent="0.2">
      <c r="A1801" s="5">
        <v>1740</v>
      </c>
      <c r="B1801" s="1832">
        <f>'Tax Sched 23'!F12</f>
        <v>6134</v>
      </c>
      <c r="C1801" s="2" t="s">
        <v>569</v>
      </c>
      <c r="D1801" s="2" t="str">
        <f t="shared" si="27"/>
        <v>Error?</v>
      </c>
    </row>
    <row r="1802" spans="1:4" x14ac:dyDescent="0.2">
      <c r="A1802" s="5">
        <v>1741</v>
      </c>
      <c r="B1802" s="1832">
        <f>'Tax Sched 23'!F14</f>
        <v>6124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843806</v>
      </c>
      <c r="C1807" s="2" t="s">
        <v>569</v>
      </c>
      <c r="D1807" s="2" t="str">
        <f t="shared" si="27"/>
        <v>Error?</v>
      </c>
    </row>
    <row r="1808" spans="1:4" x14ac:dyDescent="0.2">
      <c r="A1808" s="5">
        <v>1747</v>
      </c>
      <c r="B1808" s="1832">
        <f>'Tax Sched 23'!E4</f>
        <v>591929</v>
      </c>
      <c r="D1808" s="2" t="str">
        <f t="shared" si="27"/>
        <v>Error?</v>
      </c>
    </row>
    <row r="1809" spans="1:4" x14ac:dyDescent="0.2">
      <c r="A1809" s="5">
        <v>1748</v>
      </c>
      <c r="B1809" s="1832">
        <f>'Tax Sched 23'!E5</f>
        <v>105884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46405</v>
      </c>
      <c r="D1811" s="2" t="str">
        <f t="shared" si="27"/>
        <v>Error?</v>
      </c>
    </row>
    <row r="1812" spans="1:4" x14ac:dyDescent="0.2">
      <c r="A1812" s="5">
        <v>1751</v>
      </c>
      <c r="B1812" s="1832">
        <f>'Tax Sched 23'!E8</f>
        <v>471</v>
      </c>
      <c r="D1812" s="2" t="str">
        <f t="shared" si="27"/>
        <v>Error?</v>
      </c>
    </row>
    <row r="1813" spans="1:4" x14ac:dyDescent="0.2">
      <c r="A1813" s="5">
        <v>1752</v>
      </c>
      <c r="B1813" s="1832">
        <f>'Tax Sched 23'!E10</f>
        <v>8864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58503</v>
      </c>
      <c r="D1816" s="2" t="str">
        <f t="shared" si="27"/>
        <v>Error?</v>
      </c>
    </row>
    <row r="1817" spans="1:4" x14ac:dyDescent="0.2">
      <c r="A1817" s="5">
        <v>1756</v>
      </c>
      <c r="B1817" s="1832">
        <f>'Tax Sched 23'!E12</f>
        <v>6134</v>
      </c>
      <c r="D1817" s="2" t="str">
        <f t="shared" si="27"/>
        <v>Error?</v>
      </c>
    </row>
    <row r="1818" spans="1:4" x14ac:dyDescent="0.2">
      <c r="A1818" s="5">
        <v>1757</v>
      </c>
      <c r="B1818" s="1832">
        <f>'Tax Sched 23'!E14</f>
        <v>6124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843806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5976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5976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5976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2198905</v>
      </c>
      <c r="D2009" s="2" t="str">
        <f t="shared" si="30"/>
        <v>Error?</v>
      </c>
    </row>
    <row r="2010" spans="1:4" x14ac:dyDescent="0.2">
      <c r="A2010" s="5">
        <v>1949</v>
      </c>
      <c r="B2010" s="1832">
        <f>'Cap Outlay Deprec 26'!C10</f>
        <v>170825</v>
      </c>
      <c r="D2010" s="2" t="str">
        <f t="shared" si="30"/>
        <v>Error?</v>
      </c>
    </row>
    <row r="2011" spans="1:4" x14ac:dyDescent="0.2">
      <c r="A2011" s="5">
        <v>1950</v>
      </c>
      <c r="B2011" s="1832">
        <f>'Cap Outlay Deprec 26'!C12</f>
        <v>79621</v>
      </c>
      <c r="D2011" s="2" t="str">
        <f t="shared" si="30"/>
        <v>Error?</v>
      </c>
    </row>
    <row r="2012" spans="1:4" x14ac:dyDescent="0.2">
      <c r="A2012" s="5">
        <v>1951</v>
      </c>
      <c r="B2012" s="1832">
        <f>'Cap Outlay Deprec 26'!C13</f>
        <v>264652</v>
      </c>
      <c r="D2012" s="2" t="str">
        <f t="shared" si="30"/>
        <v>Error?</v>
      </c>
    </row>
    <row r="2013" spans="1:4" x14ac:dyDescent="0.2">
      <c r="A2013" s="5">
        <v>1952</v>
      </c>
      <c r="B2013" s="1832">
        <f>'Cap Outlay Deprec 26'!C16</f>
        <v>2716603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41997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41997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2240902</v>
      </c>
      <c r="C2027" s="2" t="s">
        <v>569</v>
      </c>
      <c r="D2027" s="2" t="str">
        <f t="shared" si="30"/>
        <v>Error?</v>
      </c>
    </row>
    <row r="2028" spans="1:4" x14ac:dyDescent="0.2">
      <c r="A2028" s="5">
        <v>1967</v>
      </c>
      <c r="B2028" s="1832">
        <f>'Cap Outlay Deprec 26'!F10</f>
        <v>170825</v>
      </c>
      <c r="C2028" s="2" t="s">
        <v>569</v>
      </c>
      <c r="D2028" s="2" t="str">
        <f t="shared" si="30"/>
        <v>Error?</v>
      </c>
    </row>
    <row r="2029" spans="1:4" x14ac:dyDescent="0.2">
      <c r="A2029" s="5">
        <v>1968</v>
      </c>
      <c r="B2029" s="1832">
        <f>'Cap Outlay Deprec 26'!F12</f>
        <v>79621</v>
      </c>
      <c r="C2029" s="2" t="s">
        <v>569</v>
      </c>
      <c r="D2029" s="2" t="str">
        <f t="shared" si="30"/>
        <v>Error?</v>
      </c>
    </row>
    <row r="2030" spans="1:4" x14ac:dyDescent="0.2">
      <c r="A2030" s="5">
        <v>1969</v>
      </c>
      <c r="B2030" s="1832">
        <f>'Cap Outlay Deprec 26'!F13</f>
        <v>264652</v>
      </c>
      <c r="C2030" s="2" t="s">
        <v>569</v>
      </c>
      <c r="D2030" s="2" t="str">
        <f t="shared" si="30"/>
        <v>Error?</v>
      </c>
    </row>
    <row r="2031" spans="1:4" x14ac:dyDescent="0.2">
      <c r="A2031" s="5">
        <v>1970</v>
      </c>
      <c r="B2031" s="1832">
        <f>'Cap Outlay Deprec 26'!F16</f>
        <v>2758600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1137074</v>
      </c>
      <c r="D2033" s="2" t="str">
        <f t="shared" si="30"/>
        <v>Error?</v>
      </c>
    </row>
    <row r="2034" spans="1:4" x14ac:dyDescent="0.2">
      <c r="A2034" s="5">
        <v>1973</v>
      </c>
      <c r="B2034" s="1832">
        <f>'Cap Outlay Deprec 26'!H10</f>
        <v>38466</v>
      </c>
      <c r="D2034" s="2" t="str">
        <f t="shared" si="30"/>
        <v>Error?</v>
      </c>
    </row>
    <row r="2035" spans="1:4" x14ac:dyDescent="0.2">
      <c r="A2035" s="5">
        <v>1974</v>
      </c>
      <c r="B2035" s="1832">
        <f>'Cap Outlay Deprec 26'!H12</f>
        <v>79621</v>
      </c>
      <c r="D2035" s="2" t="str">
        <f t="shared" si="30"/>
        <v>Error?</v>
      </c>
    </row>
    <row r="2036" spans="1:4" x14ac:dyDescent="0.2">
      <c r="A2036" s="5">
        <v>1975</v>
      </c>
      <c r="B2036" s="1832">
        <f>'Cap Outlay Deprec 26'!H13</f>
        <v>221724</v>
      </c>
      <c r="D2036" s="2" t="str">
        <f t="shared" si="30"/>
        <v>Error?</v>
      </c>
    </row>
    <row r="2037" spans="1:4" x14ac:dyDescent="0.2">
      <c r="A2037" s="5">
        <v>1976</v>
      </c>
      <c r="B2037" s="1832">
        <f>'Cap Outlay Deprec 26'!H16</f>
        <v>1476885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44818</v>
      </c>
      <c r="D2039" s="2" t="str">
        <f t="shared" si="30"/>
        <v>Error?</v>
      </c>
    </row>
    <row r="2040" spans="1:4" x14ac:dyDescent="0.2">
      <c r="A2040" s="5">
        <v>1979</v>
      </c>
      <c r="B2040" s="1832">
        <f>'Cap Outlay Deprec 26'!I10</f>
        <v>8541</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16975</v>
      </c>
      <c r="D2042" s="2" t="str">
        <f t="shared" si="30"/>
        <v>Error?</v>
      </c>
    </row>
    <row r="2043" spans="1:4" x14ac:dyDescent="0.2">
      <c r="A2043" s="5">
        <v>1982</v>
      </c>
      <c r="B2043" s="1832">
        <f>'Cap Outlay Deprec 26'!I16</f>
        <v>70334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1181892</v>
      </c>
      <c r="C2051" s="2" t="s">
        <v>569</v>
      </c>
      <c r="D2051" s="2" t="str">
        <f t="shared" si="31"/>
        <v>Error?</v>
      </c>
    </row>
    <row r="2052" spans="1:4" x14ac:dyDescent="0.2">
      <c r="A2052" s="5">
        <v>1991</v>
      </c>
      <c r="B2052" s="1832">
        <f>'Cap Outlay Deprec 26'!K10</f>
        <v>47007</v>
      </c>
      <c r="C2052" s="2" t="s">
        <v>569</v>
      </c>
      <c r="D2052" s="2" t="str">
        <f t="shared" si="31"/>
        <v>Error?</v>
      </c>
    </row>
    <row r="2053" spans="1:4" x14ac:dyDescent="0.2">
      <c r="A2053" s="5">
        <v>1992</v>
      </c>
      <c r="B2053" s="1832">
        <f>'Cap Outlay Deprec 26'!K12</f>
        <v>79621</v>
      </c>
      <c r="C2053" s="2" t="s">
        <v>569</v>
      </c>
      <c r="D2053" s="2" t="str">
        <f t="shared" si="31"/>
        <v>Error?</v>
      </c>
    </row>
    <row r="2054" spans="1:4" x14ac:dyDescent="0.2">
      <c r="A2054" s="5">
        <v>1993</v>
      </c>
      <c r="B2054" s="1832">
        <f>'Cap Outlay Deprec 26'!K13</f>
        <v>238699</v>
      </c>
      <c r="C2054" s="2" t="s">
        <v>569</v>
      </c>
      <c r="D2054" s="2" t="str">
        <f t="shared" si="31"/>
        <v>Error?</v>
      </c>
    </row>
    <row r="2055" spans="1:4" x14ac:dyDescent="0.2">
      <c r="A2055" s="5">
        <v>1994</v>
      </c>
      <c r="B2055" s="1832">
        <f>'Cap Outlay Deprec 26'!K16</f>
        <v>1547219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1059010</v>
      </c>
      <c r="C2057" s="2" t="s">
        <v>569</v>
      </c>
      <c r="D2057" s="2" t="str">
        <f t="shared" si="31"/>
        <v>Error?</v>
      </c>
    </row>
    <row r="2058" spans="1:4" x14ac:dyDescent="0.2">
      <c r="A2058" s="5">
        <v>1997</v>
      </c>
      <c r="B2058" s="1832">
        <f>'Cap Outlay Deprec 26'!L10</f>
        <v>123818</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25953</v>
      </c>
      <c r="C2060" s="2" t="s">
        <v>569</v>
      </c>
      <c r="D2060" s="2" t="str">
        <f t="shared" si="31"/>
        <v>Error?</v>
      </c>
    </row>
    <row r="2061" spans="1:4" x14ac:dyDescent="0.2">
      <c r="A2061" s="5">
        <v>2000</v>
      </c>
      <c r="B2061" s="1832">
        <f>'Cap Outlay Deprec 26'!L16</f>
        <v>1211381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22573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11061</v>
      </c>
      <c r="D2435" s="2" t="str">
        <f t="shared" si="37"/>
        <v>Error?</v>
      </c>
    </row>
    <row r="2436" spans="1:4" x14ac:dyDescent="0.2">
      <c r="A2436" s="10">
        <v>2375</v>
      </c>
      <c r="B2436" s="1832"/>
      <c r="D2436" s="2" t="str">
        <f t="shared" si="37"/>
        <v>OK</v>
      </c>
    </row>
    <row r="2437" spans="1:4" x14ac:dyDescent="0.2">
      <c r="A2437" s="5">
        <v>2376</v>
      </c>
      <c r="B2437" s="1832">
        <f>'Assets-Liab 5-6'!D38</f>
        <v>40962</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676461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54050</v>
      </c>
      <c r="C2553" s="2" t="s">
        <v>569</v>
      </c>
      <c r="D2553" s="2" t="str">
        <f t="shared" si="38"/>
        <v>Error?</v>
      </c>
    </row>
    <row r="2554" spans="1:4" x14ac:dyDescent="0.2">
      <c r="A2554" s="5">
        <v>2493</v>
      </c>
      <c r="B2554" s="1832">
        <f>'Acct Summary 7-8'!C7</f>
        <v>52616</v>
      </c>
      <c r="C2554" s="2" t="s">
        <v>569</v>
      </c>
      <c r="D2554" s="2" t="str">
        <f t="shared" si="38"/>
        <v>Error?</v>
      </c>
    </row>
    <row r="2555" spans="1:4" x14ac:dyDescent="0.2">
      <c r="A2555" s="5">
        <v>2494</v>
      </c>
      <c r="B2555" s="1832">
        <f>'Acct Summary 7-8'!C8</f>
        <v>783127</v>
      </c>
      <c r="C2555" s="2" t="s">
        <v>569</v>
      </c>
      <c r="D2555" s="2" t="str">
        <f t="shared" si="38"/>
        <v>Error?</v>
      </c>
    </row>
    <row r="2556" spans="1:4" x14ac:dyDescent="0.2">
      <c r="A2556" s="5">
        <v>2495</v>
      </c>
      <c r="B2556" s="1832">
        <f>'Acct Summary 7-8'!C12</f>
        <v>558203</v>
      </c>
      <c r="C2556" s="2" t="s">
        <v>569</v>
      </c>
      <c r="D2556" s="2" t="str">
        <f t="shared" si="38"/>
        <v>Error?</v>
      </c>
    </row>
    <row r="2557" spans="1:4" x14ac:dyDescent="0.2">
      <c r="A2557" s="5">
        <v>2496</v>
      </c>
      <c r="B2557" s="1832">
        <f>'Acct Summary 7-8'!C13</f>
        <v>425140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22573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1005916</v>
      </c>
      <c r="C2561" s="2" t="s">
        <v>569</v>
      </c>
      <c r="D2561" s="2" t="str">
        <f t="shared" si="39"/>
        <v>Error?</v>
      </c>
    </row>
    <row r="2562" spans="1:4" x14ac:dyDescent="0.2">
      <c r="A2562" s="5">
        <v>2501</v>
      </c>
      <c r="B2562" s="1832">
        <f>'Acct Summary 7-8'!C20</f>
        <v>-222789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161123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42500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203623</v>
      </c>
      <c r="C2568" s="2" t="s">
        <v>569</v>
      </c>
      <c r="D2568" s="2" t="str">
        <f t="shared" si="39"/>
        <v>Error?</v>
      </c>
    </row>
    <row r="2569" spans="1:4" x14ac:dyDescent="0.2">
      <c r="A2569" s="5">
        <v>2508</v>
      </c>
      <c r="B2569" s="1832">
        <f>'Acct Summary 7-8'!D13</f>
        <v>119630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119630</v>
      </c>
      <c r="C2573" s="2" t="s">
        <v>569</v>
      </c>
      <c r="D2573" s="2" t="str">
        <f t="shared" si="39"/>
        <v>Error?</v>
      </c>
    </row>
    <row r="2574" spans="1:4" x14ac:dyDescent="0.2">
      <c r="A2574" s="5">
        <v>2513</v>
      </c>
      <c r="B2574" s="1832">
        <f>'Acct Summary 7-8'!D20</f>
        <v>83993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45342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54482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99824</v>
      </c>
      <c r="C2595" s="2" t="s">
        <v>569</v>
      </c>
      <c r="D2595" s="2" t="str">
        <f t="shared" si="39"/>
        <v>Error?</v>
      </c>
    </row>
    <row r="2596" spans="1:4" x14ac:dyDescent="0.2">
      <c r="A2596" s="5">
        <v>2535</v>
      </c>
      <c r="B2596" s="1832">
        <f>'Acct Summary 7-8'!F13</f>
        <v>27238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27238</v>
      </c>
      <c r="C2600" s="2" t="s">
        <v>569</v>
      </c>
      <c r="D2600" s="2" t="str">
        <f t="shared" si="39"/>
        <v>Error?</v>
      </c>
    </row>
    <row r="2601" spans="1:4" x14ac:dyDescent="0.2">
      <c r="A2601" s="5">
        <v>2540</v>
      </c>
      <c r="B2601" s="1832">
        <f>'Acct Summary 7-8'!F20</f>
        <v>72586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11937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11937</v>
      </c>
      <c r="C2606" s="2" t="s">
        <v>569</v>
      </c>
      <c r="D2606" s="2" t="str">
        <f t="shared" si="39"/>
        <v>Error?</v>
      </c>
    </row>
    <row r="2607" spans="1:4" x14ac:dyDescent="0.2">
      <c r="A2607" s="5">
        <v>2546</v>
      </c>
      <c r="B2607" s="1832">
        <f>'Acct Summary 7-8'!G12</f>
        <v>6834</v>
      </c>
      <c r="C2607" s="2" t="s">
        <v>569</v>
      </c>
      <c r="D2607" s="2" t="str">
        <f t="shared" si="39"/>
        <v>Error?</v>
      </c>
    </row>
    <row r="2608" spans="1:4" x14ac:dyDescent="0.2">
      <c r="A2608" s="5">
        <v>2547</v>
      </c>
      <c r="B2608" s="1832">
        <f>'Acct Summary 7-8'!G13</f>
        <v>10310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17144</v>
      </c>
      <c r="C2612" s="2" t="s">
        <v>569</v>
      </c>
      <c r="D2612" s="2" t="str">
        <f t="shared" si="39"/>
        <v>Error?</v>
      </c>
    </row>
    <row r="2613" spans="1:4" x14ac:dyDescent="0.2">
      <c r="A2613" s="5">
        <v>2552</v>
      </c>
      <c r="B2613" s="1832">
        <f>'Acct Summary 7-8'!G20</f>
        <v>-5207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3379</v>
      </c>
      <c r="D2725" s="2" t="str">
        <f t="shared" si="41"/>
        <v>Error?</v>
      </c>
    </row>
    <row r="2726" spans="1:4" x14ac:dyDescent="0.2">
      <c r="A2726" s="5">
        <v>2665</v>
      </c>
      <c r="B2726" s="1832">
        <f>'Expenditures 15-22'!K247</f>
        <v>3379</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22573</v>
      </c>
      <c r="C2789" s="2" t="s">
        <v>569</v>
      </c>
      <c r="D2789" s="2" t="str">
        <f t="shared" si="42"/>
        <v>Error?</v>
      </c>
    </row>
    <row r="2790" spans="1:4" x14ac:dyDescent="0.2">
      <c r="A2790" s="5">
        <v>2729</v>
      </c>
      <c r="B2790" s="1832">
        <f>'Expenditures 15-22'!E102</f>
        <v>22573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17172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20916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17172</v>
      </c>
      <c r="D2912" s="2" t="str">
        <f t="shared" si="44"/>
        <v>Error?</v>
      </c>
    </row>
    <row r="2913" spans="1:4" x14ac:dyDescent="0.2">
      <c r="A2913" s="5">
        <v>2852</v>
      </c>
      <c r="B2913" s="1832">
        <f>'Assets-Liab 5-6'!I41</f>
        <v>17172</v>
      </c>
      <c r="C2913" s="2" t="s">
        <v>569</v>
      </c>
      <c r="D2913" s="2" t="str">
        <f t="shared" si="44"/>
        <v>Error?</v>
      </c>
    </row>
    <row r="2914" spans="1:4" x14ac:dyDescent="0.2">
      <c r="A2914" s="5">
        <v>2853</v>
      </c>
      <c r="B2914" s="1832">
        <f>'Assets-Liab 5-6'!L33</f>
        <v>20916</v>
      </c>
      <c r="D2914" s="2" t="str">
        <f t="shared" si="44"/>
        <v>Error?</v>
      </c>
    </row>
    <row r="2915" spans="1:4" x14ac:dyDescent="0.2">
      <c r="A2915" s="10">
        <v>2854</v>
      </c>
      <c r="B2915" s="1832"/>
      <c r="D2915" s="2" t="str">
        <f t="shared" si="44"/>
        <v>OK</v>
      </c>
    </row>
    <row r="2916" spans="1:4" x14ac:dyDescent="0.2">
      <c r="A2916" s="5">
        <v>2855</v>
      </c>
      <c r="B2916" s="1832">
        <f>'Assets-Liab 5-6'!L34</f>
        <v>20916</v>
      </c>
      <c r="C2916" s="2" t="s">
        <v>569</v>
      </c>
      <c r="D2916" s="2" t="str">
        <f t="shared" si="44"/>
        <v>Error?</v>
      </c>
    </row>
    <row r="2917" spans="1:4" x14ac:dyDescent="0.2">
      <c r="A2917" s="5">
        <v>2856</v>
      </c>
      <c r="B2917" s="1832">
        <f>'Assets-Liab 5-6'!L41</f>
        <v>20916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580</v>
      </c>
      <c r="D2949" s="2" t="str">
        <f t="shared" si="45"/>
        <v>Error?</v>
      </c>
    </row>
    <row r="2950" spans="1:4" x14ac:dyDescent="0.2">
      <c r="A2950" s="5">
        <v>2889</v>
      </c>
      <c r="B2950" s="1832">
        <f>'Expenditures 15-22'!E79</f>
        <v>21993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580</v>
      </c>
      <c r="C2973" s="2" t="s">
        <v>569</v>
      </c>
      <c r="D2973" s="2" t="str">
        <f t="shared" si="45"/>
        <v>Error?</v>
      </c>
    </row>
    <row r="2974" spans="1:4" x14ac:dyDescent="0.2">
      <c r="A2974" s="5">
        <v>2913</v>
      </c>
      <c r="B2974" s="1832">
        <f>'Expenditures 15-22'!K79</f>
        <v>21993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8641</v>
      </c>
      <c r="C3225" s="2" t="s">
        <v>569</v>
      </c>
      <c r="D3225" s="2" t="str">
        <f t="shared" si="49"/>
        <v>Error?</v>
      </c>
    </row>
    <row r="3226" spans="1:4" x14ac:dyDescent="0.2">
      <c r="A3226" s="5">
        <v>3165</v>
      </c>
      <c r="B3226" s="1832">
        <f>'Acct Summary 7-8'!I8</f>
        <v>8641</v>
      </c>
      <c r="C3226" s="2" t="s">
        <v>569</v>
      </c>
      <c r="D3226" s="2" t="str">
        <f t="shared" si="49"/>
        <v>Error?</v>
      </c>
    </row>
    <row r="3227" spans="1:4" x14ac:dyDescent="0.2">
      <c r="A3227" s="5">
        <v>3166</v>
      </c>
      <c r="B3227" s="1832">
        <f>'Acct Summary 7-8'!I20</f>
        <v>8641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200000</v>
      </c>
      <c r="C3232" s="2" t="s">
        <v>569</v>
      </c>
      <c r="D3232" s="2" t="str">
        <f t="shared" si="49"/>
        <v>Error?</v>
      </c>
    </row>
    <row r="3233" spans="1:4" x14ac:dyDescent="0.2">
      <c r="A3233" s="5">
        <v>3172</v>
      </c>
      <c r="B3233" s="1832">
        <f>'Acct Summary 7-8'!C78</f>
        <v>-22789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200000</v>
      </c>
      <c r="C3237" s="2" t="s">
        <v>569</v>
      </c>
      <c r="D3237" s="2" t="str">
        <f t="shared" si="49"/>
        <v>Error?</v>
      </c>
    </row>
    <row r="3238" spans="1:4" x14ac:dyDescent="0.2">
      <c r="A3238" s="5">
        <v>3177</v>
      </c>
      <c r="B3238" s="1832">
        <f>'Acct Summary 7-8'!D77</f>
        <v>-200000</v>
      </c>
      <c r="C3238" s="2" t="s">
        <v>569</v>
      </c>
      <c r="D3238" s="2" t="str">
        <f t="shared" si="49"/>
        <v>Error?</v>
      </c>
    </row>
    <row r="3239" spans="1:4" x14ac:dyDescent="0.2">
      <c r="A3239" s="5">
        <v>3178</v>
      </c>
      <c r="B3239" s="1832">
        <f>'Acct Summary 7-8'!D78</f>
        <v>-116007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72586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-5207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8641</v>
      </c>
      <c r="C3320" s="2" t="s">
        <v>569</v>
      </c>
      <c r="D3320" s="2" t="str">
        <f t="shared" si="50"/>
        <v>Error?</v>
      </c>
    </row>
    <row r="3321" spans="1:4" x14ac:dyDescent="0.2">
      <c r="A3321" s="5">
        <v>3260</v>
      </c>
      <c r="B3321" s="1832">
        <f>'Acct Summary 7-8'!I79</f>
        <v>8531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17172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6834</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6834</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50245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154357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564</v>
      </c>
      <c r="D3417" s="2" t="str">
        <f t="shared" si="52"/>
        <v>Error?</v>
      </c>
    </row>
    <row r="3418" spans="1:4" x14ac:dyDescent="0.2">
      <c r="A3418" s="10">
        <v>3357</v>
      </c>
      <c r="B3418" s="1832"/>
      <c r="D3418" s="2" t="str">
        <f t="shared" si="52"/>
        <v>OK</v>
      </c>
    </row>
    <row r="3419" spans="1:4" x14ac:dyDescent="0.2">
      <c r="A3419" s="5">
        <v>3358</v>
      </c>
      <c r="B3419" s="1832">
        <f>'Assets-Liab 5-6'!F4</f>
        <v>270783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72507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17172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20916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11462</v>
      </c>
      <c r="C3446" s="2" t="s">
        <v>569</v>
      </c>
      <c r="D3446" s="2" t="str">
        <f t="shared" si="52"/>
        <v>Error?</v>
      </c>
    </row>
    <row r="3447" spans="1:4" x14ac:dyDescent="0.2">
      <c r="A3447" s="5">
        <v>3386</v>
      </c>
      <c r="B3447" s="1832">
        <f>'Tax Sched 23'!D16</f>
        <v>11462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11719</v>
      </c>
      <c r="C3449" s="2" t="s">
        <v>569</v>
      </c>
      <c r="D3449" s="2" t="str">
        <f t="shared" si="52"/>
        <v>Error?</v>
      </c>
    </row>
    <row r="3450" spans="1:4" x14ac:dyDescent="0.2">
      <c r="A3450" s="5">
        <v>3389</v>
      </c>
      <c r="B3450" s="1832">
        <f>'Tax Sched 23'!E16</f>
        <v>11719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33731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33731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33731</v>
      </c>
      <c r="D3567" s="2" t="str">
        <f t="shared" si="54"/>
        <v>Error?</v>
      </c>
    </row>
    <row r="3568" spans="1:4" x14ac:dyDescent="0.2">
      <c r="A3568" s="5">
        <v>3507</v>
      </c>
      <c r="B3568" s="1832">
        <f>'Assets-Liab 5-6'!K41</f>
        <v>33731</v>
      </c>
      <c r="C3568" s="2" t="s">
        <v>569</v>
      </c>
      <c r="D3568" s="2" t="str">
        <f t="shared" si="54"/>
        <v>Error?</v>
      </c>
    </row>
    <row r="3569" spans="1:4" x14ac:dyDescent="0.2">
      <c r="A3569" s="5">
        <v>3508</v>
      </c>
      <c r="B3569" s="1832">
        <f>'Acct Summary 7-8'!K4</f>
        <v>5982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5982</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5982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5982</v>
      </c>
      <c r="C3588" s="2" t="s">
        <v>569</v>
      </c>
      <c r="D3588" s="2" t="str">
        <f t="shared" si="55"/>
        <v>Error?</v>
      </c>
    </row>
    <row r="3589" spans="1:4" x14ac:dyDescent="0.2">
      <c r="A3589" s="5">
        <v>3528</v>
      </c>
      <c r="B3589" s="1832">
        <f>'Acct Summary 7-8'!K79</f>
        <v>27749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33731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5982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7564</v>
      </c>
      <c r="C3725" s="2" t="s">
        <v>569</v>
      </c>
      <c r="D3725" s="2" t="str">
        <f t="shared" si="57"/>
        <v>Error?</v>
      </c>
    </row>
    <row r="3726" spans="1:4" x14ac:dyDescent="0.2">
      <c r="A3726" s="5">
        <v>3665</v>
      </c>
      <c r="B3726" s="1832">
        <f>'Tax Sched 23'!D13</f>
        <v>7564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7773</v>
      </c>
      <c r="C3728" s="2" t="s">
        <v>569</v>
      </c>
      <c r="D3728" s="2" t="str">
        <f t="shared" si="57"/>
        <v>Error?</v>
      </c>
    </row>
    <row r="3729" spans="1:4" x14ac:dyDescent="0.2">
      <c r="A3729" s="5">
        <v>3668</v>
      </c>
      <c r="B3729" s="1832">
        <f>'Tax Sched 23'!E13</f>
        <v>7773</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473085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1256212</v>
      </c>
      <c r="C4122" s="2" t="s">
        <v>569</v>
      </c>
      <c r="D4122" s="2" t="str">
        <f t="shared" si="63"/>
        <v>Error?</v>
      </c>
    </row>
    <row r="4123" spans="1:4" x14ac:dyDescent="0.2">
      <c r="A4123" s="5">
        <v>4062</v>
      </c>
      <c r="B4123" s="1832">
        <f>'Acct Summary 7-8'!D10</f>
        <v>203623</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99824</v>
      </c>
      <c r="C4125" s="2" t="s">
        <v>569</v>
      </c>
      <c r="D4125" s="2" t="str">
        <f t="shared" si="63"/>
        <v>Error?</v>
      </c>
    </row>
    <row r="4126" spans="1:4" x14ac:dyDescent="0.2">
      <c r="A4126" s="5">
        <v>4065</v>
      </c>
      <c r="B4126" s="1832">
        <f>'Acct Summary 7-8'!G10</f>
        <v>11937</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8641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5982</v>
      </c>
      <c r="C4130" s="2" t="s">
        <v>569</v>
      </c>
      <c r="D4130" s="2" t="str">
        <f t="shared" si="63"/>
        <v>Error?</v>
      </c>
    </row>
    <row r="4131" spans="1:4" x14ac:dyDescent="0.2">
      <c r="A4131" s="5">
        <v>4070</v>
      </c>
      <c r="B4131" s="1832">
        <f>'Acct Summary 7-8'!C18</f>
        <v>473085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1479001</v>
      </c>
      <c r="C4136" s="2" t="s">
        <v>569</v>
      </c>
      <c r="D4136" s="2" t="str">
        <f t="shared" si="63"/>
        <v>Error?</v>
      </c>
    </row>
    <row r="4137" spans="1:4" x14ac:dyDescent="0.2">
      <c r="A4137" s="5">
        <v>4076</v>
      </c>
      <c r="B4137" s="1832">
        <f>'Acct Summary 7-8'!D19</f>
        <v>119630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27238</v>
      </c>
      <c r="C4139" s="2" t="s">
        <v>569</v>
      </c>
      <c r="D4139" s="2" t="str">
        <f t="shared" si="63"/>
        <v>Error?</v>
      </c>
    </row>
    <row r="4140" spans="1:4" x14ac:dyDescent="0.2">
      <c r="A4140" s="5">
        <v>4079</v>
      </c>
      <c r="B4140" s="1832">
        <f>'Acct Summary 7-8'!G19</f>
        <v>17144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2010.3</v>
      </c>
      <c r="C4265" s="2" t="s">
        <v>569</v>
      </c>
      <c r="D4265" s="2" t="str">
        <f t="shared" si="65"/>
        <v>Error?</v>
      </c>
      <c r="E4265" s="125"/>
    </row>
    <row r="4266" spans="1:5" x14ac:dyDescent="0.2">
      <c r="A4266" s="12">
        <v>4205</v>
      </c>
      <c r="B4266" s="1832">
        <f>('FP Info 3'!F10)*100000</f>
        <v>359.59999999999997</v>
      </c>
      <c r="C4266" s="2" t="s">
        <v>569</v>
      </c>
      <c r="D4266" s="2" t="str">
        <f t="shared" si="65"/>
        <v>Error?</v>
      </c>
      <c r="E4266" s="125"/>
    </row>
    <row r="4267" spans="1:5" x14ac:dyDescent="0.2">
      <c r="A4267" s="12">
        <v>4206</v>
      </c>
      <c r="B4267" s="1832">
        <f>('FP Info 3'!H10)*100000</f>
        <v>157.6</v>
      </c>
      <c r="C4267" s="2" t="s">
        <v>569</v>
      </c>
      <c r="D4267" s="2" t="str">
        <f t="shared" si="65"/>
        <v>Error?</v>
      </c>
      <c r="E4267" s="125"/>
    </row>
    <row r="4268" spans="1:5" x14ac:dyDescent="0.2">
      <c r="A4268" s="12">
        <v>4207</v>
      </c>
      <c r="B4268" s="1832">
        <f>('FP Info 3'!J10)*100000</f>
        <v>2528</v>
      </c>
      <c r="C4268" s="2" t="s">
        <v>569</v>
      </c>
      <c r="D4268" s="2" t="str">
        <f t="shared" si="65"/>
        <v>Error?</v>
      </c>
    </row>
    <row r="4269" spans="1:5" x14ac:dyDescent="0.2">
      <c r="A4269" s="12">
        <v>4208</v>
      </c>
      <c r="B4269" s="1832">
        <f>'FP Info 3'!J16</f>
        <v>492557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42500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1316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1157</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1157</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3327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30.1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141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29251077</v>
      </c>
      <c r="D4995" s="2" t="str">
        <f t="shared" si="77"/>
        <v>Error?</v>
      </c>
    </row>
    <row r="4996" spans="1:4" x14ac:dyDescent="0.2">
      <c r="A4996" s="12">
        <v>4935</v>
      </c>
      <c r="B4996" s="1832">
        <f>'FP Info 3'!H31</f>
        <v>2018324.3130000001</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200000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200000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577616</v>
      </c>
      <c r="D5061" s="2" t="str">
        <f t="shared" si="78"/>
        <v>Error?</v>
      </c>
    </row>
    <row r="5062" spans="1:4" x14ac:dyDescent="0.2">
      <c r="A5062" s="10">
        <v>5001</v>
      </c>
      <c r="B5062" s="1832"/>
      <c r="D5062" s="2" t="str">
        <f t="shared" si="78"/>
        <v>OK</v>
      </c>
    </row>
    <row r="5063" spans="1:4" x14ac:dyDescent="0.2">
      <c r="A5063" s="5">
        <v>5002</v>
      </c>
      <c r="B5063" s="1832">
        <f>'Revenues 9-14'!C7</f>
        <v>5976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583592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32273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32273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25643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25643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8027</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869</v>
      </c>
      <c r="D5101" s="2" t="str">
        <f t="shared" si="78"/>
        <v>Error?</v>
      </c>
    </row>
    <row r="5102" spans="1:4" x14ac:dyDescent="0.2">
      <c r="A5102" s="5">
        <v>5041</v>
      </c>
      <c r="B5102" s="1832">
        <f>'Revenues 9-14'!C82</f>
        <v>869</v>
      </c>
      <c r="C5102" s="2" t="s">
        <v>569</v>
      </c>
      <c r="D5102" s="2" t="str">
        <f t="shared" si="78"/>
        <v>Error?</v>
      </c>
    </row>
    <row r="5103" spans="1:4" x14ac:dyDescent="0.2">
      <c r="A5103" s="5">
        <v>5042</v>
      </c>
      <c r="B5103" s="1832">
        <f>'Revenues 9-14'!C84</f>
        <v>3430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3430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15407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7220</v>
      </c>
      <c r="D5119" s="2" t="str">
        <f t="shared" ref="D5119:D5182" si="79">IF(ISBLANK(B5119),"OK",IF(A5119-B5119=0,"OK","Error?"))</f>
        <v>Error?</v>
      </c>
    </row>
    <row r="5120" spans="1:4" x14ac:dyDescent="0.2">
      <c r="A5120" s="5">
        <v>5059</v>
      </c>
      <c r="B5120" s="1832">
        <f>'Revenues 9-14'!C108</f>
        <v>22627</v>
      </c>
      <c r="C5120" s="2" t="s">
        <v>569</v>
      </c>
      <c r="D5120" s="2" t="str">
        <f t="shared" si="79"/>
        <v>Error?</v>
      </c>
    </row>
    <row r="5121" spans="1:4" x14ac:dyDescent="0.2">
      <c r="A5121" s="5">
        <v>5060</v>
      </c>
      <c r="B5121" s="1832">
        <f>'Revenues 9-14'!C109</f>
        <v>676461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53845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53845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205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54050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5767</v>
      </c>
      <c r="D5239" s="2" t="str">
        <f t="shared" si="80"/>
        <v>Error?</v>
      </c>
    </row>
    <row r="5240" spans="1:4" x14ac:dyDescent="0.2">
      <c r="A5240" s="5">
        <v>5179</v>
      </c>
      <c r="B5240" s="1832">
        <f>'Revenues 9-14'!C192</f>
        <v>6</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5773</v>
      </c>
      <c r="C5246" s="2" t="s">
        <v>569</v>
      </c>
      <c r="D5246" s="2" t="str">
        <f t="shared" si="80"/>
        <v>Error?</v>
      </c>
    </row>
    <row r="5247" spans="1:4" x14ac:dyDescent="0.2">
      <c r="A5247" s="5">
        <v>5186</v>
      </c>
      <c r="B5247" s="1832">
        <f>'Revenues 9-14'!C200</f>
        <v>31043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31043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52616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52616</v>
      </c>
      <c r="C5326" s="2" t="s">
        <v>569</v>
      </c>
      <c r="D5326" s="2" t="str">
        <f t="shared" si="82"/>
        <v>Error?</v>
      </c>
    </row>
    <row r="5327" spans="1:5" x14ac:dyDescent="0.2">
      <c r="A5327" s="5">
        <v>5266</v>
      </c>
      <c r="B5327" s="1832">
        <f>'Revenues 9-14'!C268</f>
        <v>783127</v>
      </c>
      <c r="C5327" s="2" t="s">
        <v>569</v>
      </c>
      <c r="D5327" s="2" t="str">
        <f t="shared" si="82"/>
        <v>Error?</v>
      </c>
    </row>
    <row r="5328" spans="1:5" x14ac:dyDescent="0.2">
      <c r="A5328" s="5">
        <v>5267</v>
      </c>
      <c r="B5328" s="1832">
        <f>'Revenues 9-14'!D5</f>
        <v>103328</v>
      </c>
      <c r="D5328" s="2" t="str">
        <f t="shared" si="82"/>
        <v>Error?</v>
      </c>
    </row>
    <row r="5329" spans="1:4" x14ac:dyDescent="0.2">
      <c r="A5329" s="10">
        <v>5268</v>
      </c>
      <c r="B5329" s="1832"/>
      <c r="D5329" s="2" t="str">
        <f t="shared" si="82"/>
        <v>OK</v>
      </c>
    </row>
    <row r="5330" spans="1:4" x14ac:dyDescent="0.2">
      <c r="A5330" s="5">
        <v>5269</v>
      </c>
      <c r="B5330" s="1832">
        <f>'Revenues 9-14'!D6</f>
        <v>7564</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110892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50123</v>
      </c>
      <c r="D5338" s="2" t="str">
        <f t="shared" si="82"/>
        <v>Error?</v>
      </c>
    </row>
    <row r="5339" spans="1:4" x14ac:dyDescent="0.2">
      <c r="A5339" s="5">
        <v>5278</v>
      </c>
      <c r="B5339" s="1832">
        <f>'Revenues 9-14'!D18</f>
        <v>50123</v>
      </c>
      <c r="C5339" s="2" t="s">
        <v>569</v>
      </c>
      <c r="D5339" s="2" t="str">
        <f t="shared" si="82"/>
        <v>Error?</v>
      </c>
    </row>
    <row r="5340" spans="1:4" x14ac:dyDescent="0.2">
      <c r="A5340" s="5">
        <v>5279</v>
      </c>
      <c r="B5340" s="1832">
        <f>'Revenues 9-14'!D65</f>
        <v>108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161123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42500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42500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203623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45298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45298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45342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44306</v>
      </c>
      <c r="D5615" s="2" t="str">
        <f t="shared" si="86"/>
        <v>Error?</v>
      </c>
    </row>
    <row r="5616" spans="1:4" x14ac:dyDescent="0.2">
      <c r="A5616" s="10">
        <v>5555</v>
      </c>
      <c r="B5616" s="1832"/>
      <c r="D5616" s="2" t="str">
        <f t="shared" si="86"/>
        <v>OK</v>
      </c>
    </row>
    <row r="5617" spans="1:5" x14ac:dyDescent="0.2">
      <c r="A5617" s="5">
        <v>5556</v>
      </c>
      <c r="B5617" s="1832">
        <f>'Revenues 9-14'!F153</f>
        <v>10176</v>
      </c>
      <c r="D5617" s="2" t="str">
        <f t="shared" si="86"/>
        <v>Error?</v>
      </c>
    </row>
    <row r="5618" spans="1:5" x14ac:dyDescent="0.2">
      <c r="A5618" s="5">
        <v>5557</v>
      </c>
      <c r="B5618" s="1832">
        <f>'Revenues 9-14'!F155</f>
        <v>54482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54482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54482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99824</v>
      </c>
      <c r="C5720" s="2" t="s">
        <v>569</v>
      </c>
      <c r="D5720" s="2" t="str">
        <f t="shared" si="88"/>
        <v>Error?</v>
      </c>
    </row>
    <row r="5721" spans="1:4" x14ac:dyDescent="0.2">
      <c r="A5721" s="5">
        <v>5660</v>
      </c>
      <c r="B5721" s="1832">
        <f>'Revenues 9-14'!G5</f>
        <v>462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11462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11924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11937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8632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8632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8641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5976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5976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5982</v>
      </c>
      <c r="C6023" s="2" t="s">
        <v>569</v>
      </c>
      <c r="D6023" s="2" t="str">
        <f t="shared" si="93"/>
        <v>Error?</v>
      </c>
    </row>
    <row r="6024" spans="1:5" x14ac:dyDescent="0.2">
      <c r="A6024" s="5">
        <v>5963</v>
      </c>
      <c r="B6024" s="1832">
        <f>'Revenues 9-14'!G109</f>
        <v>11937</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8641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5982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8024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2037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60.6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137062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137062</v>
      </c>
      <c r="D6215" s="2" t="str">
        <f t="shared" si="96"/>
        <v>Error?</v>
      </c>
      <c r="E6215" s="2" t="s">
        <v>189</v>
      </c>
    </row>
    <row r="6216" spans="1:5" x14ac:dyDescent="0.2">
      <c r="A6216">
        <v>6155</v>
      </c>
      <c r="B6216" s="1832">
        <f>'Assets-Liab 5-6'!J41</f>
        <v>137062</v>
      </c>
      <c r="D6216" s="2" t="str">
        <f t="shared" si="96"/>
        <v>Error?</v>
      </c>
      <c r="E6216" s="2" t="s">
        <v>189</v>
      </c>
    </row>
    <row r="6217" spans="1:5" x14ac:dyDescent="0.2">
      <c r="A6217">
        <v>6156</v>
      </c>
      <c r="B6217" s="1832">
        <f>'Assets-Liab 5-6'!J4</f>
        <v>137062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57478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57478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57478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52157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52157</v>
      </c>
      <c r="D6229" s="2" t="str">
        <f t="shared" si="96"/>
        <v>Error?</v>
      </c>
      <c r="E6229" s="2" t="s">
        <v>189</v>
      </c>
    </row>
    <row r="6230" spans="1:5" x14ac:dyDescent="0.2">
      <c r="A6230">
        <v>6169</v>
      </c>
      <c r="B6230" s="1832">
        <f>'Acct Summary 7-8'!J20</f>
        <v>5321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5321</v>
      </c>
      <c r="D6263" s="2" t="str">
        <f t="shared" si="96"/>
        <v>Error?</v>
      </c>
      <c r="E6263" s="2" t="s">
        <v>189</v>
      </c>
    </row>
    <row r="6264" spans="1:5" x14ac:dyDescent="0.2">
      <c r="A6264">
        <v>6203</v>
      </c>
      <c r="B6264" s="1832">
        <f>'Acct Summary 7-8'!J79</f>
        <v>131741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137062</v>
      </c>
      <c r="D6266" s="2" t="str">
        <f t="shared" si="96"/>
        <v>Error?</v>
      </c>
      <c r="E6266" s="2" t="s">
        <v>189</v>
      </c>
    </row>
    <row r="6267" spans="1:5" x14ac:dyDescent="0.2">
      <c r="A6267">
        <v>6206</v>
      </c>
      <c r="B6267" s="1832">
        <f>'Acct Summary 7-8'!C82</f>
        <v>-22789</v>
      </c>
      <c r="D6267" s="2" t="str">
        <f t="shared" si="96"/>
        <v>Error?</v>
      </c>
      <c r="E6267" s="2" t="s">
        <v>189</v>
      </c>
    </row>
    <row r="6268" spans="1:5" x14ac:dyDescent="0.2">
      <c r="A6268">
        <v>6207</v>
      </c>
      <c r="B6268" s="1832">
        <f>'Acct Summary 7-8'!D82</f>
        <v>-116007</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72586</v>
      </c>
      <c r="D6270" s="2" t="str">
        <f t="shared" si="96"/>
        <v>Error?</v>
      </c>
      <c r="E6270" s="2" t="s">
        <v>189</v>
      </c>
    </row>
    <row r="6271" spans="1:5" x14ac:dyDescent="0.2">
      <c r="A6271">
        <v>6210</v>
      </c>
      <c r="B6271" s="1832">
        <f>'Acct Summary 7-8'!G82</f>
        <v>-5207</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8641</v>
      </c>
      <c r="D6273" s="2" t="str">
        <f t="shared" si="97"/>
        <v>Error?</v>
      </c>
      <c r="E6273" s="2" t="s">
        <v>189</v>
      </c>
    </row>
    <row r="6274" spans="1:5" x14ac:dyDescent="0.2">
      <c r="A6274">
        <v>6213</v>
      </c>
      <c r="B6274" s="1832">
        <f>'Acct Summary 7-8'!J82</f>
        <v>5321</v>
      </c>
      <c r="D6274" s="2" t="str">
        <f t="shared" si="97"/>
        <v>Error?</v>
      </c>
      <c r="E6274" s="2" t="s">
        <v>189</v>
      </c>
    </row>
    <row r="6275" spans="1:5" x14ac:dyDescent="0.2">
      <c r="A6275">
        <v>6214</v>
      </c>
      <c r="B6275" s="1832">
        <f>'Acct Summary 7-8'!K82</f>
        <v>5982</v>
      </c>
      <c r="D6275" s="2" t="str">
        <f t="shared" si="97"/>
        <v>Error?</v>
      </c>
      <c r="E6275" s="2" t="s">
        <v>189</v>
      </c>
    </row>
    <row r="6276" spans="1:5" x14ac:dyDescent="0.2">
      <c r="A6276">
        <v>6215</v>
      </c>
      <c r="B6276" s="1832">
        <f>'Acct Summary 7-8'!C83</f>
        <v>-0.4535575679172057</v>
      </c>
      <c r="D6276" s="2" t="str">
        <f t="shared" si="97"/>
        <v>Error?</v>
      </c>
      <c r="E6276" s="2" t="s">
        <v>189</v>
      </c>
    </row>
    <row r="6277" spans="1:5" x14ac:dyDescent="0.2">
      <c r="A6277">
        <v>6216</v>
      </c>
      <c r="B6277" s="1832">
        <f>'Acct Summary 7-8'!D83</f>
        <v>-0.7515499782970646</v>
      </c>
      <c r="D6277" s="2" t="str">
        <f t="shared" si="97"/>
        <v>Error?</v>
      </c>
      <c r="E6277" s="2" t="s">
        <v>189</v>
      </c>
    </row>
    <row r="6278" spans="1:5" x14ac:dyDescent="0.2">
      <c r="A6278">
        <v>6217</v>
      </c>
      <c r="B6278" s="1832">
        <f>'Acct Summary 7-8'!E83</f>
        <v>0</v>
      </c>
      <c r="D6278" s="2" t="str">
        <f t="shared" si="97"/>
        <v>Error?</v>
      </c>
      <c r="E6278" s="2" t="s">
        <v>189</v>
      </c>
    </row>
    <row r="6279" spans="1:5" x14ac:dyDescent="0.2">
      <c r="A6279">
        <v>6218</v>
      </c>
      <c r="B6279" s="1832">
        <f>'Acct Summary 7-8'!F83</f>
        <v>0.26805966401140396</v>
      </c>
      <c r="D6279" s="2" t="str">
        <f t="shared" si="97"/>
        <v>Error?</v>
      </c>
      <c r="E6279" s="2" t="s">
        <v>189</v>
      </c>
    </row>
    <row r="6280" spans="1:5" x14ac:dyDescent="0.2">
      <c r="A6280">
        <v>6219</v>
      </c>
      <c r="B6280" s="1832">
        <f>'Acct Summary 7-8'!G83</f>
        <v>-7.1813755913222171E-2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0.50320288842301419</v>
      </c>
      <c r="D6282" s="2" t="str">
        <f t="shared" si="97"/>
        <v>Error?</v>
      </c>
      <c r="E6282" s="2" t="s">
        <v>189</v>
      </c>
    </row>
    <row r="6283" spans="1:5" x14ac:dyDescent="0.2">
      <c r="A6283">
        <v>6222</v>
      </c>
      <c r="B6283" s="1832">
        <f>'Acct Summary 7-8'!J83</f>
        <v>3.8821847047321653E-2</v>
      </c>
      <c r="D6283" s="2" t="str">
        <f t="shared" si="97"/>
        <v>Error?</v>
      </c>
      <c r="E6283" s="2" t="s">
        <v>189</v>
      </c>
    </row>
    <row r="6284" spans="1:5" x14ac:dyDescent="0.2">
      <c r="A6284">
        <v>6223</v>
      </c>
      <c r="B6284" s="1832">
        <f>'Acct Summary 7-8'!K83</f>
        <v>0.17734428270730188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57424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57424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57478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52157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57478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6525</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6525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326</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326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12186</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12186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17417</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17417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15703</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15703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19037</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33120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52157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19037</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33120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52157</v>
      </c>
      <c r="D7224" s="2" t="str">
        <f t="shared" si="111"/>
        <v>Error?</v>
      </c>
    </row>
    <row r="7225" spans="1:4" x14ac:dyDescent="0.2">
      <c r="A7225">
        <v>7164</v>
      </c>
      <c r="B7225" s="1832">
        <f>'Expenditures 15-22'!K343</f>
        <v>5321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2600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2600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2600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70334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5976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18328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1222085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64569</v>
      </c>
      <c r="D7834" s="2" t="str">
        <f t="shared" si="129"/>
        <v>Error?</v>
      </c>
      <c r="E7834" s="4" t="s">
        <v>1998</v>
      </c>
    </row>
    <row r="7835" spans="1:5" x14ac:dyDescent="0.2">
      <c r="A7835">
        <v>7774</v>
      </c>
      <c r="B7835" s="1832">
        <f>'PCTC-OEPP 27-28'!F78</f>
        <v>1157516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19100.924092409241</v>
      </c>
      <c r="D7837" s="2" t="str">
        <f t="shared" si="129"/>
        <v>Error?</v>
      </c>
      <c r="E7837" s="4" t="s">
        <v>1998</v>
      </c>
    </row>
    <row r="7838" spans="1:5" x14ac:dyDescent="0.2">
      <c r="A7838">
        <v>7777</v>
      </c>
      <c r="B7838" s="1832">
        <f>'PCTC-OEPP 27-28'!F96</f>
        <v>869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54482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141</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1157</v>
      </c>
      <c r="D7857" s="2" t="str">
        <f t="shared" si="129"/>
        <v>Error?</v>
      </c>
      <c r="E7857" s="4" t="s">
        <v>1998</v>
      </c>
    </row>
    <row r="7858" spans="1:5" x14ac:dyDescent="0.2">
      <c r="A7858">
        <v>7797</v>
      </c>
      <c r="B7858" s="1832">
        <f>'PCTC-OEPP 27-28'!F126</f>
        <v>5773</v>
      </c>
      <c r="D7858" s="2" t="str">
        <f t="shared" si="129"/>
        <v>Error?</v>
      </c>
      <c r="E7858" s="4" t="s">
        <v>1998</v>
      </c>
    </row>
    <row r="7859" spans="1:5" x14ac:dyDescent="0.2">
      <c r="A7859">
        <v>7798</v>
      </c>
      <c r="B7859" s="1832">
        <f>'PCTC-OEPP 27-28'!F127</f>
        <v>31043</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3327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1316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180457</v>
      </c>
      <c r="D7877" s="2" t="str">
        <f t="shared" si="129"/>
        <v>Error?</v>
      </c>
      <c r="E7877" s="4" t="s">
        <v>1998</v>
      </c>
    </row>
    <row r="7878" spans="1:5" x14ac:dyDescent="0.2">
      <c r="A7878">
        <v>7817</v>
      </c>
      <c r="B7878" s="1832">
        <f>'PCTC-OEPP 27-28'!F176</f>
        <v>977059</v>
      </c>
      <c r="D7878" s="2" t="str">
        <f t="shared" si="129"/>
        <v>Error?</v>
      </c>
      <c r="E7878" s="4" t="s">
        <v>1998</v>
      </c>
    </row>
    <row r="7879" spans="1:5" x14ac:dyDescent="0.2">
      <c r="A7879">
        <v>7818</v>
      </c>
      <c r="B7879" s="1832">
        <f>'PCTC-OEPP 27-28'!F178</f>
        <v>1047393</v>
      </c>
      <c r="D7879" s="2" t="str">
        <f t="shared" si="129"/>
        <v>Error?</v>
      </c>
      <c r="E7879" s="4" t="s">
        <v>1998</v>
      </c>
    </row>
    <row r="7880" spans="1:5" x14ac:dyDescent="0.2">
      <c r="A7880">
        <v>7819</v>
      </c>
      <c r="B7880" s="1832">
        <f>'PCTC-OEPP 27-28'!F180</f>
        <v>17283.712871287127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28515625" defaultRowHeight="12.75" x14ac:dyDescent="0.2"/>
  <cols>
    <col min="1" max="1" width="7.7109375" style="959" customWidth="1"/>
    <col min="2" max="2" width="2.28515625" style="955" customWidth="1"/>
    <col min="3" max="3" width="9.28515625" style="959"/>
    <col min="4" max="4" width="13" style="959" customWidth="1"/>
    <col min="5" max="5" width="16" style="959" customWidth="1"/>
    <col min="6" max="6" width="4.28515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7109375" style="959" customWidth="1"/>
    <col min="13" max="13" width="2.7109375" style="959" customWidth="1"/>
    <col min="14" max="14" width="13.28515625" style="959" customWidth="1"/>
    <col min="15" max="15" width="7.28515625" style="959" customWidth="1"/>
    <col min="16" max="16" width="7" style="959" customWidth="1"/>
    <col min="17" max="19" width="9.7109375" style="959" customWidth="1"/>
    <col min="20" max="16384" width="9.28515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Steward ESD 220</v>
      </c>
      <c r="B7" s="2516"/>
      <c r="C7" s="2516"/>
      <c r="D7" s="2554"/>
      <c r="E7" s="2555">
        <f>COVER!A13</f>
        <v>47052220002</v>
      </c>
      <c r="F7" s="2556"/>
      <c r="G7" s="2522" t="str">
        <f>COVER!T23</f>
        <v>066-004501</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HOPKINS &amp; ASSOCIATES, CPAS</v>
      </c>
      <c r="H9" s="2529"/>
      <c r="I9" s="2529"/>
      <c r="J9" s="2529"/>
      <c r="K9" s="2529"/>
      <c r="L9" s="2530"/>
    </row>
    <row r="10" spans="1:29" ht="13.5" customHeight="1" x14ac:dyDescent="0.2">
      <c r="A10" s="2512" t="str">
        <f>COVER!A38</f>
        <v>LOWELL TAYLOR</v>
      </c>
      <c r="B10" s="2513"/>
      <c r="C10" s="2513"/>
      <c r="D10" s="2513"/>
      <c r="E10" s="2513"/>
      <c r="F10" s="2514"/>
      <c r="G10" s="2528" t="str">
        <f>COVER!T17</f>
        <v>314 S MCCOY STREET</v>
      </c>
      <c r="H10" s="2541"/>
      <c r="I10" s="2541"/>
      <c r="J10" s="2541"/>
      <c r="K10" s="2541"/>
      <c r="L10" s="2542"/>
    </row>
    <row r="11" spans="1:29" ht="13.5" customHeight="1" x14ac:dyDescent="0.2">
      <c r="A11" s="963" t="s">
        <v>1502</v>
      </c>
      <c r="B11" s="964"/>
      <c r="C11" s="965"/>
      <c r="D11" s="970"/>
      <c r="E11" s="965"/>
      <c r="F11" s="969"/>
      <c r="G11" s="2528" t="str">
        <f>COVER!T19</f>
        <v>GRANVILLE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JOEL@HOPKINSOFFICE.COM</v>
      </c>
      <c r="J13" s="2550"/>
      <c r="K13" s="2550"/>
      <c r="L13" s="2551"/>
    </row>
    <row r="14" spans="1:29" ht="13.5" customHeight="1" x14ac:dyDescent="0.2">
      <c r="A14" s="2528" t="str">
        <f>COVER!A19</f>
        <v>PO BOX 76</v>
      </c>
      <c r="B14" s="2541"/>
      <c r="C14" s="2541"/>
      <c r="D14" s="2541"/>
      <c r="E14" s="2541"/>
      <c r="F14" s="2542"/>
      <c r="G14" s="974" t="s">
        <v>1175</v>
      </c>
      <c r="H14" s="972"/>
      <c r="I14" s="972"/>
      <c r="J14" s="972"/>
      <c r="K14" s="972"/>
      <c r="L14" s="973"/>
    </row>
    <row r="15" spans="1:29" ht="13.5" customHeight="1" x14ac:dyDescent="0.2">
      <c r="A15" s="2528" t="str">
        <f>COVER!A21</f>
        <v xml:space="preserve">STEWARD  </v>
      </c>
      <c r="B15" s="2541"/>
      <c r="C15" s="2541"/>
      <c r="D15" s="2541"/>
      <c r="E15" s="2541"/>
      <c r="F15" s="2542"/>
      <c r="G15" s="2538" t="str">
        <f>COVER!T15</f>
        <v>JOEL HOPKINS</v>
      </c>
      <c r="H15" s="2539"/>
      <c r="I15" s="2539"/>
      <c r="J15" s="2539"/>
      <c r="K15" s="2539"/>
      <c r="L15" s="2540"/>
    </row>
    <row r="16" spans="1:29" ht="12.4" customHeight="1" x14ac:dyDescent="0.2">
      <c r="A16" s="2518">
        <f>COVER!A25</f>
        <v>60553</v>
      </c>
      <c r="B16" s="2519"/>
      <c r="C16" s="2519"/>
      <c r="D16" s="2519"/>
      <c r="E16" s="2519"/>
      <c r="F16" s="2520"/>
      <c r="G16" s="2531"/>
      <c r="H16" s="2532"/>
      <c r="I16" s="2532"/>
      <c r="J16" s="2532"/>
      <c r="K16" s="2532"/>
      <c r="L16" s="2533"/>
    </row>
    <row r="17" spans="1:13" ht="12.4" customHeight="1" x14ac:dyDescent="0.2">
      <c r="A17" s="2534"/>
      <c r="B17" s="2519"/>
      <c r="C17" s="2519"/>
      <c r="D17" s="2519"/>
      <c r="E17" s="2519"/>
      <c r="F17" s="2520"/>
      <c r="G17" s="974" t="s">
        <v>1174</v>
      </c>
      <c r="H17" s="972"/>
      <c r="I17" s="972"/>
      <c r="J17" s="972"/>
      <c r="K17" s="976" t="s">
        <v>1173</v>
      </c>
      <c r="L17" s="969"/>
      <c r="M17" s="962"/>
    </row>
    <row r="18" spans="1:13" ht="12.4" customHeight="1" x14ac:dyDescent="0.2">
      <c r="A18" s="2512"/>
      <c r="B18" s="2513"/>
      <c r="C18" s="2513"/>
      <c r="D18" s="2513"/>
      <c r="E18" s="2513"/>
      <c r="F18" s="2514"/>
      <c r="G18" s="2515" t="str">
        <f>COVER!T21</f>
        <v>815-339-6630</v>
      </c>
      <c r="H18" s="2516"/>
      <c r="I18" s="2516"/>
      <c r="J18" s="2516"/>
      <c r="K18" s="2515" t="str">
        <f>COVER!X21</f>
        <v>815-339-6643</v>
      </c>
      <c r="L18" s="2517"/>
    </row>
    <row r="19" spans="1:13" ht="12.4" customHeight="1" x14ac:dyDescent="0.2">
      <c r="A19" s="977"/>
      <c r="C19" s="977"/>
      <c r="D19" s="977"/>
      <c r="E19" s="977"/>
      <c r="F19" s="977"/>
      <c r="G19" s="977"/>
      <c r="H19" s="977"/>
      <c r="I19" s="977"/>
      <c r="J19" s="977"/>
      <c r="K19" s="977"/>
      <c r="L19" s="977"/>
    </row>
    <row r="20" spans="1:13" ht="12.4" customHeight="1" x14ac:dyDescent="0.2">
      <c r="A20" s="977"/>
      <c r="C20" s="977"/>
      <c r="D20" s="977"/>
      <c r="E20" s="977"/>
      <c r="F20" s="977"/>
      <c r="G20" s="977"/>
      <c r="H20" s="977"/>
      <c r="I20" s="977"/>
      <c r="J20" s="977" t="s">
        <v>1159</v>
      </c>
      <c r="K20" s="955" t="s">
        <v>1159</v>
      </c>
    </row>
    <row r="21" spans="1:13" ht="12.4" customHeight="1" x14ac:dyDescent="0.2">
      <c r="A21" s="978" t="s">
        <v>1676</v>
      </c>
    </row>
    <row r="22" spans="1:13" ht="12.4" customHeight="1" x14ac:dyDescent="0.2">
      <c r="A22" s="979"/>
    </row>
    <row r="23" spans="1:13" ht="12.4"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4" customHeight="1" x14ac:dyDescent="0.2">
      <c r="B26" s="980"/>
      <c r="C26" s="981" t="s">
        <v>1677</v>
      </c>
    </row>
    <row r="27" spans="1:13" s="977" customFormat="1" ht="9" customHeight="1" x14ac:dyDescent="0.2">
      <c r="B27" s="982"/>
      <c r="C27" s="981"/>
    </row>
    <row r="28" spans="1:13" s="977" customFormat="1" ht="12.4" customHeight="1" x14ac:dyDescent="0.2">
      <c r="A28" s="984"/>
      <c r="B28" s="980"/>
      <c r="C28" s="981" t="s">
        <v>1678</v>
      </c>
    </row>
    <row r="29" spans="1:13" s="977" customFormat="1" ht="9" customHeight="1" x14ac:dyDescent="0.2">
      <c r="A29" s="984"/>
      <c r="B29" s="982"/>
      <c r="C29" s="981"/>
    </row>
    <row r="30" spans="1:13" s="977" customFormat="1" ht="12.4" customHeight="1" x14ac:dyDescent="0.2">
      <c r="B30" s="980"/>
      <c r="C30" s="981" t="s">
        <v>1545</v>
      </c>
      <c r="D30" s="975"/>
      <c r="E30" s="975"/>
    </row>
    <row r="31" spans="1:13" s="977" customFormat="1" ht="9" customHeight="1" x14ac:dyDescent="0.2">
      <c r="B31" s="982"/>
      <c r="C31" s="981"/>
      <c r="D31" s="975"/>
      <c r="E31" s="975"/>
    </row>
    <row r="32" spans="1:13" s="977" customFormat="1" ht="12.4"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4"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3.1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4" customHeight="1" x14ac:dyDescent="0.2">
      <c r="B46" s="980"/>
      <c r="C46" s="988" t="s">
        <v>1551</v>
      </c>
      <c r="D46" s="975"/>
      <c r="E46" s="975"/>
      <c r="F46" s="975"/>
      <c r="G46" s="975"/>
      <c r="H46" s="975"/>
    </row>
    <row r="47" spans="1:8" ht="9" customHeight="1" x14ac:dyDescent="0.2"/>
    <row r="48" spans="1:8" ht="12.4" customHeight="1" x14ac:dyDescent="0.2">
      <c r="B48" s="1541"/>
      <c r="C48" s="989" t="s">
        <v>1552</v>
      </c>
    </row>
    <row r="49" spans="1:12" ht="9" customHeight="1" x14ac:dyDescent="0.2"/>
    <row r="50" spans="1:12" ht="6" customHeight="1" x14ac:dyDescent="0.2">
      <c r="C50" s="989"/>
    </row>
    <row r="51" spans="1:12" ht="12.4" customHeight="1" x14ac:dyDescent="0.2">
      <c r="A51" s="987"/>
    </row>
    <row r="52" spans="1:12" ht="12.4" customHeight="1" x14ac:dyDescent="0.2"/>
    <row r="53" spans="1:12" ht="12.4" customHeight="1" x14ac:dyDescent="0.2"/>
    <row r="54" spans="1:12" ht="12.4" customHeight="1" x14ac:dyDescent="0.2"/>
    <row r="55" spans="1:12" ht="12.4"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28515625" style="998" customWidth="1"/>
    <col min="6" max="16384" width="10.7109375" style="998"/>
  </cols>
  <sheetData>
    <row r="1" spans="1:11" s="991" customFormat="1" ht="12.75" x14ac:dyDescent="0.2">
      <c r="A1" s="2557" t="str">
        <f>'Single Audit Cover'!A7</f>
        <v>Steward ESD 220</v>
      </c>
      <c r="B1" s="2558"/>
      <c r="C1" s="2558"/>
      <c r="D1" s="2558"/>
    </row>
    <row r="2" spans="1:11" s="991" customFormat="1" ht="12.75" x14ac:dyDescent="0.2">
      <c r="A2" s="2559">
        <f>'Single Audit Cover'!E7</f>
        <v>47052220002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71093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Steward ESD 220</v>
      </c>
      <c r="B1" s="2562"/>
      <c r="C1" s="2562"/>
      <c r="D1" s="2562"/>
      <c r="E1" s="2562"/>
    </row>
    <row r="2" spans="1:5" x14ac:dyDescent="0.2">
      <c r="A2" s="2563">
        <f>'Single Audit Cover'!E7</f>
        <v>47052220002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52616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2037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-1316</v>
      </c>
    </row>
    <row r="19" spans="1:4" ht="13.5" thickBot="1" x14ac:dyDescent="0.25">
      <c r="A19" s="1041" t="s">
        <v>1224</v>
      </c>
      <c r="D19" s="1042">
        <f>SUM(D10:D17)</f>
        <v>53337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53337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53337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Steward ESD 220</v>
      </c>
      <c r="C1" s="2566"/>
      <c r="D1" s="2566"/>
      <c r="E1" s="2566"/>
      <c r="F1" s="2566"/>
      <c r="G1" s="2566"/>
      <c r="H1" s="2566"/>
      <c r="I1" s="2566"/>
      <c r="J1" s="2566"/>
      <c r="K1" s="2566"/>
      <c r="L1" s="2566"/>
      <c r="M1" s="2566"/>
    </row>
    <row r="2" spans="2:14" ht="15" x14ac:dyDescent="0.2">
      <c r="B2" s="2567">
        <f>'Single Audit Cover'!E7</f>
        <v>47052220002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Steward ESD 220</v>
      </c>
      <c r="B1" s="2571"/>
      <c r="C1" s="2571"/>
      <c r="D1" s="2571"/>
      <c r="E1" s="2571"/>
      <c r="F1" s="2571"/>
    </row>
    <row r="2" spans="1:7" ht="13.5" customHeight="1" x14ac:dyDescent="0.2">
      <c r="A2" s="2567">
        <f>'Single Audit Cover'!E7</f>
        <v>47052220002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1.1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6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D118" sqref="D118"/>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28515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86" t="str">
        <f>'Single Audit Cover'!A7</f>
        <v>Steward ESD 220</v>
      </c>
      <c r="C1" s="2587"/>
      <c r="D1" s="2587"/>
      <c r="E1" s="2587"/>
      <c r="F1" s="2587"/>
      <c r="G1" s="2587"/>
      <c r="H1" s="2587"/>
      <c r="I1" s="2587"/>
      <c r="J1" s="1178"/>
    </row>
    <row r="2" spans="2:10" s="295" customFormat="1" ht="12.75" customHeight="1" x14ac:dyDescent="0.2">
      <c r="B2" s="2588">
        <f>'Single Audit Cover'!E7</f>
        <v>47052220002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4" customHeight="1" x14ac:dyDescent="0.2">
      <c r="B5" s="1180" t="s">
        <v>1159</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4"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6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65"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65"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65"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10.15"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10.15"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4.1500000000000004" customHeight="1" x14ac:dyDescent="0.2">
      <c r="A57" s="1214"/>
      <c r="B57" s="1218"/>
      <c r="C57" s="1214"/>
      <c r="D57" s="1214"/>
    </row>
    <row r="58" spans="1:9" s="1217" customFormat="1" ht="13.5" customHeight="1" x14ac:dyDescent="0.2">
      <c r="A58" s="1214"/>
      <c r="B58" s="1219" t="s">
        <v>1730</v>
      </c>
      <c r="C58" s="1220"/>
      <c r="D58" s="1220"/>
    </row>
    <row r="59" spans="1:9" s="1217" customFormat="1" ht="4.1500000000000004" customHeight="1" x14ac:dyDescent="0.2">
      <c r="A59" s="1214"/>
      <c r="B59" s="1219"/>
      <c r="C59" s="1220"/>
      <c r="D59" s="1220"/>
    </row>
    <row r="60" spans="1:9" s="1217" customFormat="1" ht="13.5" customHeight="1" x14ac:dyDescent="0.2">
      <c r="A60" s="1214"/>
      <c r="B60" s="1219" t="s">
        <v>1731</v>
      </c>
      <c r="C60" s="1220"/>
      <c r="D60" s="1220"/>
    </row>
    <row r="61" spans="1:9" s="1217" customFormat="1" ht="4.1500000000000004"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6" t="str">
        <f>'Single Audit Cover'!A7</f>
        <v>Steward ESD 220</v>
      </c>
      <c r="C1" s="2586"/>
      <c r="D1" s="2586"/>
      <c r="E1" s="2586"/>
      <c r="F1" s="2586"/>
      <c r="G1" s="2586"/>
      <c r="H1" s="2586"/>
      <c r="I1" s="2586"/>
      <c r="J1" s="2586"/>
      <c r="K1" s="2586"/>
      <c r="L1" s="1144"/>
      <c r="M1" s="1144"/>
    </row>
    <row r="2" spans="1:13" ht="12" customHeight="1" x14ac:dyDescent="0.2">
      <c r="B2" s="2588">
        <f>'Single Audit Cover'!E7</f>
        <v>47052220002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3" t="str">
        <f>'Single Audit Cover'!A7</f>
        <v>Steward ESD 220</v>
      </c>
      <c r="C1" s="2613"/>
      <c r="D1" s="2613"/>
      <c r="E1" s="2613"/>
      <c r="F1" s="2613"/>
      <c r="G1" s="2613"/>
      <c r="H1" s="2613"/>
      <c r="I1" s="2613"/>
      <c r="J1" s="2613"/>
      <c r="K1" s="2613"/>
      <c r="L1" s="1221"/>
    </row>
    <row r="2" spans="1:12" ht="12.75" customHeight="1" x14ac:dyDescent="0.2">
      <c r="B2" s="2614">
        <f>'Single Audit Cover'!E7</f>
        <v>47052220002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8" customFormat="1" ht="12.75" customHeight="1" x14ac:dyDescent="0.2">
      <c r="B1" s="2586" t="str">
        <f>'Single Audit Cover'!A7</f>
        <v>Steward ESD 220</v>
      </c>
      <c r="C1" s="2586"/>
      <c r="D1" s="2586"/>
      <c r="E1" s="1240"/>
    </row>
    <row r="2" spans="2:5" s="1058" customFormat="1" ht="12.75" customHeight="1" x14ac:dyDescent="0.2">
      <c r="B2" s="2588">
        <f>'Single Audit Cover'!E7</f>
        <v>47052220002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4" customHeight="1" x14ac:dyDescent="0.2">
      <c r="B44" s="1033" t="s">
        <v>1302</v>
      </c>
      <c r="C44" s="300"/>
    </row>
    <row r="45" spans="2:5" ht="12.4" customHeight="1" x14ac:dyDescent="0.2">
      <c r="B45" s="1254" t="s">
        <v>1746</v>
      </c>
    </row>
    <row r="46" spans="2:5" ht="12.4" customHeight="1" x14ac:dyDescent="0.2">
      <c r="B46" s="1254" t="s">
        <v>1747</v>
      </c>
    </row>
    <row r="47" spans="2:5" ht="12.4" customHeight="1" x14ac:dyDescent="0.2">
      <c r="B47" s="1255" t="s">
        <v>1301</v>
      </c>
    </row>
    <row r="48" spans="2:5" ht="12.4" customHeight="1" x14ac:dyDescent="0.2">
      <c r="B48" s="1255" t="s">
        <v>1300</v>
      </c>
    </row>
    <row r="49" spans="2:5" ht="12.4" customHeight="1" x14ac:dyDescent="0.2">
      <c r="B49" s="1255" t="s">
        <v>1299</v>
      </c>
    </row>
    <row r="50" spans="2:5" ht="12.4"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32" sqref="B32"/>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29251077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2.0102999999999999E-2</v>
      </c>
      <c r="E10" s="333" t="s">
        <v>998</v>
      </c>
      <c r="F10" s="332">
        <v>3.5959999999999998E-3</v>
      </c>
      <c r="G10" s="333" t="s">
        <v>998</v>
      </c>
      <c r="H10" s="332">
        <v>1.5759999999999999E-3</v>
      </c>
      <c r="I10" s="333" t="s">
        <v>999</v>
      </c>
      <c r="J10" s="1424">
        <f>ROUND(D10+F10+H10,5)</f>
        <v>2.528E-2</v>
      </c>
      <c r="K10" s="217"/>
      <c r="L10" s="332">
        <v>3.01E-4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1095215</v>
      </c>
      <c r="E16" s="1547"/>
      <c r="F16" s="1546">
        <f>SUM('Acct Summary 7-8'!C17,'Acct Summary 7-8'!D17,'Acct Summary 7-8'!F17)</f>
        <v>1152784</v>
      </c>
      <c r="G16" s="1547"/>
      <c r="H16" s="1546">
        <f>SUM(D16-F16)</f>
        <v>-57569</v>
      </c>
      <c r="I16" s="1548"/>
      <c r="J16" s="1546">
        <f>SUM('Acct Summary 7-8'!C81,'Acct Summary 7-8'!D81,'Acct Summary 7-8'!F81,'Acct Summary 7-8'!I81)</f>
        <v>492557</v>
      </c>
      <c r="K16" s="217"/>
      <c r="L16" s="217"/>
      <c r="M16" s="217"/>
    </row>
    <row r="17" spans="1:13" ht="12.4" customHeight="1" x14ac:dyDescent="0.2">
      <c r="A17" s="327"/>
      <c r="B17" s="255" t="s">
        <v>8</v>
      </c>
      <c r="C17" s="232" t="s">
        <v>1379</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582</v>
      </c>
      <c r="D31" s="232" t="s">
        <v>1063</v>
      </c>
      <c r="E31" s="217"/>
      <c r="F31" s="217"/>
      <c r="G31" s="340"/>
      <c r="H31" s="1425">
        <f>IF(B31="X",(J7*0.069),IF(B32="X",(J7*0.138),"Enter x in a.or b."))</f>
        <v>2018324.3130000001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Steward ESD 220</v>
      </c>
      <c r="E7" s="368"/>
      <c r="G7" s="247"/>
      <c r="H7" s="364"/>
      <c r="I7" s="364"/>
      <c r="J7" s="364"/>
      <c r="K7" s="364"/>
      <c r="L7" s="307"/>
      <c r="M7" s="307"/>
      <c r="N7" s="307"/>
      <c r="O7" s="307"/>
      <c r="P7" s="307"/>
    </row>
    <row r="8" spans="1:18" ht="12.75" x14ac:dyDescent="0.2">
      <c r="A8" s="307"/>
      <c r="B8" s="307"/>
      <c r="C8" s="366" t="s">
        <v>1115</v>
      </c>
      <c r="D8" s="369">
        <f>COVER!A13</f>
        <v>47052220002</v>
      </c>
      <c r="E8" s="370"/>
      <c r="G8" s="307"/>
      <c r="H8" s="307"/>
      <c r="I8" s="307"/>
      <c r="J8" s="307"/>
      <c r="K8" s="307"/>
      <c r="L8" s="307"/>
      <c r="M8" s="307"/>
      <c r="N8" s="307"/>
      <c r="O8" s="307"/>
      <c r="P8" s="307"/>
    </row>
    <row r="9" spans="1:18" ht="12.75" x14ac:dyDescent="0.2">
      <c r="A9" s="307"/>
      <c r="B9" s="307"/>
      <c r="C9" s="366" t="s">
        <v>708</v>
      </c>
      <c r="D9" s="371" t="str">
        <f>COVER!A15</f>
        <v>LEE AND 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492557</v>
      </c>
      <c r="I12" s="380"/>
      <c r="J12" s="380"/>
      <c r="K12" s="1559">
        <f>TRUNC((H12/H13*100000),5)/100000</f>
        <v>0.44973544000000004</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1095215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6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1152784</v>
      </c>
      <c r="I17" s="380"/>
      <c r="J17" s="389"/>
      <c r="K17" s="1559">
        <f>TRUNC((H17/H18*100000),5)/100000</f>
        <v>1.0525641083999999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1095215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6.6535027000000007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65" customHeight="1" x14ac:dyDescent="0.2">
      <c r="A21" s="211"/>
      <c r="B21" s="373"/>
      <c r="C21" s="213" t="s">
        <v>472</v>
      </c>
      <c r="D21" s="211"/>
      <c r="E21" s="211"/>
      <c r="F21" s="211"/>
      <c r="G21" s="387"/>
      <c r="H21" s="1552"/>
      <c r="I21" s="211"/>
      <c r="J21" s="211"/>
      <c r="K21" s="1552"/>
      <c r="L21" s="211"/>
      <c r="M21" s="388"/>
      <c r="N21" s="388"/>
      <c r="O21" s="1564"/>
      <c r="P21" s="211"/>
      <c r="R21" s="361"/>
    </row>
    <row r="22" spans="1:18" ht="11.6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492557</v>
      </c>
      <c r="I24" s="394"/>
      <c r="J24" s="394"/>
      <c r="K24" s="1555">
        <f>TRUNC(((H24/H25*100000)/100000),2)</f>
        <v>153.81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3202.17778</v>
      </c>
      <c r="I25" s="396"/>
      <c r="J25" s="396"/>
      <c r="K25" s="1558"/>
      <c r="L25" s="213"/>
      <c r="M25" s="337" t="s">
        <v>1135</v>
      </c>
      <c r="N25" s="337"/>
      <c r="O25" s="1563">
        <f>O23*O24</f>
        <v>0.30000000000000004</v>
      </c>
      <c r="P25" s="213"/>
      <c r="R25" s="385"/>
    </row>
    <row r="26" spans="1:18" ht="12.4"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628547.14257999999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2018324.3130000001</v>
      </c>
      <c r="I33" s="392"/>
      <c r="J33" s="392"/>
      <c r="K33" s="379"/>
      <c r="L33" s="213"/>
      <c r="M33" s="401" t="s">
        <v>1135</v>
      </c>
      <c r="N33" s="401"/>
      <c r="O33" s="1568">
        <f>(O31*O32)</f>
        <v>0.4</v>
      </c>
    </row>
    <row r="34" spans="1:17" ht="12.4"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0" activePane="bottomLeft" state="frozen"/>
      <selection pane="bottomLeft" activeCell="C39" sqref="C39"/>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50245</v>
      </c>
      <c r="D4" s="1573">
        <v>154357</v>
      </c>
      <c r="E4" s="1573">
        <v>564</v>
      </c>
      <c r="F4" s="1573">
        <f>269477+1306</f>
        <v>270783</v>
      </c>
      <c r="G4" s="1573">
        <v>72507</v>
      </c>
      <c r="H4" s="1573"/>
      <c r="I4" s="1573">
        <v>17172</v>
      </c>
      <c r="J4" s="1574">
        <f>137272-210</f>
        <v>137062</v>
      </c>
      <c r="K4" s="1573">
        <v>33731</v>
      </c>
      <c r="L4" s="1573">
        <f>14258+6658</f>
        <v>20916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50245</v>
      </c>
      <c r="D13" s="1587">
        <f t="shared" ref="D13:L13" si="0">SUM(D4:D12)</f>
        <v>154357</v>
      </c>
      <c r="E13" s="1587">
        <f t="shared" si="0"/>
        <v>564</v>
      </c>
      <c r="F13" s="1587">
        <f t="shared" si="0"/>
        <v>270783</v>
      </c>
      <c r="G13" s="1587">
        <f t="shared" si="0"/>
        <v>72507</v>
      </c>
      <c r="H13" s="1587">
        <f t="shared" si="0"/>
        <v>0</v>
      </c>
      <c r="I13" s="1587">
        <f t="shared" si="0"/>
        <v>17172</v>
      </c>
      <c r="J13" s="1587">
        <f t="shared" si="0"/>
        <v>137062</v>
      </c>
      <c r="K13" s="1587">
        <f t="shared" si="0"/>
        <v>33731</v>
      </c>
      <c r="L13" s="1587">
        <f t="shared" si="0"/>
        <v>20916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2600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2240902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170825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344273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2758600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20916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20916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11061</v>
      </c>
      <c r="D38" s="1573">
        <f>15114+25848</f>
        <v>40962</v>
      </c>
      <c r="E38" s="1573"/>
      <c r="F38" s="1573"/>
      <c r="G38" s="1573"/>
      <c r="H38" s="1573"/>
      <c r="I38" s="1573"/>
      <c r="J38" s="1574"/>
      <c r="K38" s="1573"/>
      <c r="L38" s="1586"/>
      <c r="M38" s="1604"/>
      <c r="N38" s="1604"/>
    </row>
    <row r="39" spans="1:14" s="307" customFormat="1" ht="13.5" customHeight="1" x14ac:dyDescent="0.2">
      <c r="A39" s="438" t="s">
        <v>339</v>
      </c>
      <c r="B39" s="432">
        <v>730</v>
      </c>
      <c r="C39" s="1573">
        <f>50245-11061</f>
        <v>39184</v>
      </c>
      <c r="D39" s="1573">
        <f>154357-40962</f>
        <v>113395</v>
      </c>
      <c r="E39" s="1573">
        <v>564</v>
      </c>
      <c r="F39" s="1573">
        <v>270783</v>
      </c>
      <c r="G39" s="1573">
        <v>72507</v>
      </c>
      <c r="H39" s="1573"/>
      <c r="I39" s="1573">
        <v>17172</v>
      </c>
      <c r="J39" s="1574">
        <v>137062</v>
      </c>
      <c r="K39" s="1573">
        <v>33731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2758600</v>
      </c>
      <c r="N40" s="1604"/>
    </row>
    <row r="41" spans="1:14" ht="13.5" customHeight="1" thickBot="1" x14ac:dyDescent="0.25">
      <c r="A41" s="1426" t="s">
        <v>650</v>
      </c>
      <c r="B41" s="1405"/>
      <c r="C41" s="1594">
        <f>(SUM(C34,C37,C38,C39))</f>
        <v>50245</v>
      </c>
      <c r="D41" s="1594">
        <f t="shared" ref="D41:L41" si="2">SUM(D34,D37,D38:D39)</f>
        <v>154357</v>
      </c>
      <c r="E41" s="1594">
        <f t="shared" si="2"/>
        <v>564</v>
      </c>
      <c r="F41" s="1594">
        <f t="shared" si="2"/>
        <v>270783</v>
      </c>
      <c r="G41" s="1594">
        <f t="shared" si="2"/>
        <v>72507</v>
      </c>
      <c r="H41" s="1594">
        <f t="shared" si="2"/>
        <v>0</v>
      </c>
      <c r="I41" s="1594">
        <f t="shared" si="2"/>
        <v>17172</v>
      </c>
      <c r="J41" s="1594">
        <f t="shared" si="2"/>
        <v>137062</v>
      </c>
      <c r="K41" s="1594">
        <f t="shared" si="2"/>
        <v>33731</v>
      </c>
      <c r="L41" s="1594">
        <f t="shared" si="2"/>
        <v>20916</v>
      </c>
      <c r="M41" s="1594">
        <f>SUM(M40)</f>
        <v>2758600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pane="bottomLeft" activeCell="C10" sqref="C10"/>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676461</v>
      </c>
      <c r="D4" s="1606">
        <f>'Revenues 9-14'!D109</f>
        <v>161123</v>
      </c>
      <c r="E4" s="1606">
        <f>'Revenues 9-14'!E109</f>
        <v>0</v>
      </c>
      <c r="F4" s="1606">
        <f>'Revenues 9-14'!F109</f>
        <v>45342</v>
      </c>
      <c r="G4" s="1606">
        <f>'Revenues 9-14'!G109</f>
        <v>11937</v>
      </c>
      <c r="H4" s="1606">
        <f>'Revenues 9-14'!H109</f>
        <v>0</v>
      </c>
      <c r="I4" s="1606">
        <f>'Revenues 9-14'!I109</f>
        <v>8641</v>
      </c>
      <c r="J4" s="1606">
        <f>'Revenues 9-14'!J109</f>
        <v>57478</v>
      </c>
      <c r="K4" s="1606">
        <f>'Revenues 9-14'!K109</f>
        <v>5982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54050</v>
      </c>
      <c r="D6" s="1607">
        <f>'Revenues 9-14'!D170</f>
        <v>42500</v>
      </c>
      <c r="E6" s="1607">
        <f>'Revenues 9-14'!E170</f>
        <v>0</v>
      </c>
      <c r="F6" s="1607">
        <f>'Revenues 9-14'!F170</f>
        <v>54482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52616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783127</v>
      </c>
      <c r="D8" s="1594">
        <f t="shared" ref="D8:K8" si="0">SUM(D4:D7)</f>
        <v>203623</v>
      </c>
      <c r="E8" s="1594">
        <f t="shared" si="0"/>
        <v>0</v>
      </c>
      <c r="F8" s="1594">
        <f t="shared" si="0"/>
        <v>99824</v>
      </c>
      <c r="G8" s="1594">
        <f t="shared" si="0"/>
        <v>11937</v>
      </c>
      <c r="H8" s="1594">
        <f t="shared" si="0"/>
        <v>0</v>
      </c>
      <c r="I8" s="1594">
        <f t="shared" si="0"/>
        <v>8641</v>
      </c>
      <c r="J8" s="1594">
        <f t="shared" si="0"/>
        <v>57478</v>
      </c>
      <c r="K8" s="1594">
        <f t="shared" si="0"/>
        <v>5982</v>
      </c>
      <c r="L8" s="325"/>
    </row>
    <row r="9" spans="1:13" ht="15.75" thickTop="1" x14ac:dyDescent="0.2">
      <c r="A9" s="449" t="s">
        <v>1634</v>
      </c>
      <c r="B9" s="450">
        <v>3998</v>
      </c>
      <c r="C9" s="1586">
        <v>473085</v>
      </c>
      <c r="D9" s="1613"/>
      <c r="E9" s="1586"/>
      <c r="F9" s="1586"/>
      <c r="G9" s="1614"/>
      <c r="H9" s="1586"/>
      <c r="I9" s="1609" t="s">
        <v>1159</v>
      </c>
      <c r="J9" s="1583"/>
      <c r="K9" s="1586"/>
      <c r="L9" s="325"/>
    </row>
    <row r="10" spans="1:13" s="452" customFormat="1" ht="13.5" thickBot="1" x14ac:dyDescent="0.25">
      <c r="A10" s="1426" t="s">
        <v>1163</v>
      </c>
      <c r="B10" s="1407"/>
      <c r="C10" s="1594">
        <f>SUM(C8:C9)</f>
        <v>1256212</v>
      </c>
      <c r="D10" s="1594">
        <f t="shared" ref="D10:K10" si="1">SUM(D8:D9)</f>
        <v>203623</v>
      </c>
      <c r="E10" s="1594">
        <f t="shared" si="1"/>
        <v>0</v>
      </c>
      <c r="F10" s="1594">
        <f t="shared" si="1"/>
        <v>99824</v>
      </c>
      <c r="G10" s="1594">
        <f t="shared" si="1"/>
        <v>11937</v>
      </c>
      <c r="H10" s="1594">
        <f t="shared" si="1"/>
        <v>0</v>
      </c>
      <c r="I10" s="1594">
        <f t="shared" si="1"/>
        <v>8641</v>
      </c>
      <c r="J10" s="1594">
        <f t="shared" si="1"/>
        <v>57478</v>
      </c>
      <c r="K10" s="1594">
        <f t="shared" si="1"/>
        <v>5982</v>
      </c>
      <c r="L10" s="451"/>
    </row>
    <row r="11" spans="1:13" s="452" customFormat="1" ht="16.899999999999999"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558203</v>
      </c>
      <c r="D12" s="1616" t="s">
        <v>1159</v>
      </c>
      <c r="E12" s="1575" t="s">
        <v>1159</v>
      </c>
      <c r="F12" s="1575" t="s">
        <v>1159</v>
      </c>
      <c r="G12" s="1606">
        <f>'Expenditures 15-22'!K229</f>
        <v>6834</v>
      </c>
      <c r="H12" s="1617"/>
      <c r="I12" s="1575" t="s">
        <v>1159</v>
      </c>
      <c r="J12" s="1575" t="s">
        <v>1159</v>
      </c>
      <c r="K12" s="1617" t="s">
        <v>1159</v>
      </c>
      <c r="L12" s="325"/>
    </row>
    <row r="13" spans="1:13" ht="15.75" customHeight="1" x14ac:dyDescent="0.2">
      <c r="A13" s="1314" t="s">
        <v>454</v>
      </c>
      <c r="B13" s="1316">
        <v>2000</v>
      </c>
      <c r="C13" s="1607">
        <f>'Expenditures 15-22'!K74</f>
        <v>425140</v>
      </c>
      <c r="D13" s="1607">
        <f>'Expenditures 15-22'!K129</f>
        <v>119630</v>
      </c>
      <c r="E13" s="1576" t="s">
        <v>1159</v>
      </c>
      <c r="F13" s="1607">
        <f>'Expenditures 15-22'!K184</f>
        <v>27238</v>
      </c>
      <c r="G13" s="1607">
        <f>'Expenditures 15-22'!K279</f>
        <v>10310</v>
      </c>
      <c r="H13" s="1607">
        <f>'Expenditures 15-22'!K303</f>
        <v>0</v>
      </c>
      <c r="I13" s="1575" t="s">
        <v>1159</v>
      </c>
      <c r="J13" s="1607">
        <f>'Expenditures 15-22'!K330</f>
        <v>52157</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22573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1005916</v>
      </c>
      <c r="D17" s="1594">
        <f t="shared" si="2"/>
        <v>119630</v>
      </c>
      <c r="E17" s="1594">
        <f t="shared" si="2"/>
        <v>0</v>
      </c>
      <c r="F17" s="1594">
        <f t="shared" si="2"/>
        <v>27238</v>
      </c>
      <c r="G17" s="1594">
        <f t="shared" si="2"/>
        <v>17144</v>
      </c>
      <c r="H17" s="1594">
        <f t="shared" si="2"/>
        <v>0</v>
      </c>
      <c r="I17" s="1575"/>
      <c r="J17" s="1594">
        <f>SUM(J12:J16)</f>
        <v>52157</v>
      </c>
      <c r="K17" s="1594">
        <f>SUM(K12:K16)</f>
        <v>0</v>
      </c>
      <c r="L17" s="325"/>
    </row>
    <row r="18" spans="1:12" ht="15" customHeight="1" thickTop="1" x14ac:dyDescent="0.2">
      <c r="A18" s="1430" t="s">
        <v>1635</v>
      </c>
      <c r="B18" s="1431">
        <v>4180</v>
      </c>
      <c r="C18" s="1606">
        <f t="shared" ref="C18:H18" si="3">C9</f>
        <v>473085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1479001</v>
      </c>
      <c r="D19" s="1594">
        <f t="shared" si="4"/>
        <v>119630</v>
      </c>
      <c r="E19" s="1594">
        <f t="shared" si="4"/>
        <v>0</v>
      </c>
      <c r="F19" s="1594">
        <f t="shared" si="4"/>
        <v>27238</v>
      </c>
      <c r="G19" s="1594">
        <f t="shared" si="4"/>
        <v>17144</v>
      </c>
      <c r="H19" s="1594">
        <f t="shared" si="4"/>
        <v>0</v>
      </c>
      <c r="I19" s="1575"/>
      <c r="J19" s="1594">
        <f>SUM(J17:J18)</f>
        <v>52157</v>
      </c>
      <c r="K19" s="1594">
        <f>SUM(K17:K18)</f>
        <v>0</v>
      </c>
      <c r="L19" s="325"/>
    </row>
    <row r="20" spans="1:12" ht="16.5" thickTop="1" thickBot="1" x14ac:dyDescent="0.25">
      <c r="A20" s="2231" t="s">
        <v>1636</v>
      </c>
      <c r="B20" s="2232"/>
      <c r="C20" s="1622">
        <f>C8-C17</f>
        <v>-222789</v>
      </c>
      <c r="D20" s="1622">
        <f t="shared" ref="D20:K20" si="5">D8-D17</f>
        <v>83993</v>
      </c>
      <c r="E20" s="1622">
        <f t="shared" si="5"/>
        <v>0</v>
      </c>
      <c r="F20" s="1622">
        <f t="shared" si="5"/>
        <v>72586</v>
      </c>
      <c r="G20" s="1622">
        <f t="shared" si="5"/>
        <v>-5207</v>
      </c>
      <c r="H20" s="1622">
        <f t="shared" si="5"/>
        <v>0</v>
      </c>
      <c r="I20" s="1622">
        <f t="shared" si="5"/>
        <v>8641</v>
      </c>
      <c r="J20" s="1622">
        <f t="shared" si="5"/>
        <v>5321</v>
      </c>
      <c r="K20" s="1622">
        <f t="shared" si="5"/>
        <v>5982</v>
      </c>
      <c r="L20" s="325"/>
    </row>
    <row r="21" spans="1:12" ht="16.899999999999999"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200000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200000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v>200000</v>
      </c>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200000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200000</v>
      </c>
      <c r="D77" s="1624">
        <f t="shared" si="8"/>
        <v>-200000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-22789</v>
      </c>
      <c r="D78" s="1629">
        <f t="shared" si="9"/>
        <v>-116007</v>
      </c>
      <c r="E78" s="1629">
        <f t="shared" si="9"/>
        <v>0</v>
      </c>
      <c r="F78" s="1629">
        <f t="shared" si="9"/>
        <v>72586</v>
      </c>
      <c r="G78" s="1629">
        <f t="shared" si="9"/>
        <v>-5207</v>
      </c>
      <c r="H78" s="1629">
        <f t="shared" si="9"/>
        <v>0</v>
      </c>
      <c r="I78" s="1629">
        <f t="shared" si="9"/>
        <v>8641</v>
      </c>
      <c r="J78" s="1629">
        <f t="shared" si="9"/>
        <v>5321</v>
      </c>
      <c r="K78" s="1629">
        <f t="shared" si="9"/>
        <v>5982</v>
      </c>
      <c r="L78" s="457"/>
    </row>
    <row r="79" spans="1:12" ht="13.5" thickTop="1" x14ac:dyDescent="0.2">
      <c r="A79" s="1844" t="str">
        <f>"Fund Balances - July 1, "&amp;'AFR20'!E2-1</f>
        <v>Fund Balances - July 1, 2019</v>
      </c>
      <c r="B79" s="458"/>
      <c r="C79" s="1583">
        <v>73034</v>
      </c>
      <c r="D79" s="1630">
        <v>270364</v>
      </c>
      <c r="E79" s="1630">
        <v>564</v>
      </c>
      <c r="F79" s="1630">
        <v>198197</v>
      </c>
      <c r="G79" s="1630">
        <v>77714</v>
      </c>
      <c r="H79" s="1630"/>
      <c r="I79" s="1630">
        <v>8531</v>
      </c>
      <c r="J79" s="1630">
        <v>131741</v>
      </c>
      <c r="K79" s="1630">
        <v>27749</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50245</v>
      </c>
      <c r="D81" s="1594">
        <f>SUM(D78:D80)</f>
        <v>154357</v>
      </c>
      <c r="E81" s="1594">
        <f t="shared" ref="E81:K81" si="10">SUM(E78:E80)</f>
        <v>564</v>
      </c>
      <c r="F81" s="1594">
        <f t="shared" si="10"/>
        <v>270783</v>
      </c>
      <c r="G81" s="1594">
        <f t="shared" si="10"/>
        <v>72507</v>
      </c>
      <c r="H81" s="1594">
        <f t="shared" si="10"/>
        <v>0</v>
      </c>
      <c r="I81" s="1594">
        <f t="shared" si="10"/>
        <v>17172</v>
      </c>
      <c r="J81" s="1594">
        <f t="shared" si="10"/>
        <v>137062</v>
      </c>
      <c r="K81" s="1594">
        <f t="shared" si="10"/>
        <v>33731</v>
      </c>
      <c r="L81" s="325"/>
    </row>
    <row r="82" spans="1:12" ht="0.75" customHeight="1" thickTop="1" thickBot="1" x14ac:dyDescent="0.25">
      <c r="A82" s="459" t="s">
        <v>340</v>
      </c>
      <c r="B82" s="460"/>
      <c r="C82" s="461">
        <f>(C81-C79)</f>
        <v>-22789</v>
      </c>
      <c r="D82" s="461">
        <f t="shared" ref="D82:K82" si="11">(D81-D79)</f>
        <v>-116007</v>
      </c>
      <c r="E82" s="461">
        <f t="shared" si="11"/>
        <v>0</v>
      </c>
      <c r="F82" s="461">
        <f t="shared" si="11"/>
        <v>72586</v>
      </c>
      <c r="G82" s="461">
        <f t="shared" si="11"/>
        <v>-5207</v>
      </c>
      <c r="H82" s="461">
        <f t="shared" si="11"/>
        <v>0</v>
      </c>
      <c r="I82" s="461">
        <f t="shared" si="11"/>
        <v>8641</v>
      </c>
      <c r="J82" s="461">
        <f t="shared" si="11"/>
        <v>5321</v>
      </c>
      <c r="K82" s="461">
        <f t="shared" si="11"/>
        <v>5982</v>
      </c>
    </row>
    <row r="83" spans="1:12" ht="14.25" hidden="1" thickTop="1" thickBot="1" x14ac:dyDescent="0.25">
      <c r="A83" s="462" t="s">
        <v>341</v>
      </c>
      <c r="B83" s="428"/>
      <c r="C83" s="463">
        <f>C82/C81</f>
        <v>-0.4535575679172057</v>
      </c>
      <c r="D83" s="463">
        <f t="shared" ref="D83:K83" si="12">D82/D81</f>
        <v>-0.7515499782970646</v>
      </c>
      <c r="E83" s="463">
        <f t="shared" si="12"/>
        <v>0</v>
      </c>
      <c r="F83" s="463">
        <f t="shared" si="12"/>
        <v>0.26805966401140396</v>
      </c>
      <c r="G83" s="463">
        <f t="shared" si="12"/>
        <v>-7.1813755913222171E-2</v>
      </c>
      <c r="H83" s="463" t="e">
        <f t="shared" si="12"/>
        <v>#DIV/0!</v>
      </c>
      <c r="I83" s="463">
        <f t="shared" si="12"/>
        <v>0.50320288842301419</v>
      </c>
      <c r="J83" s="463">
        <f t="shared" si="12"/>
        <v>3.8821847047321653E-2</v>
      </c>
      <c r="K83" s="463">
        <f t="shared" si="12"/>
        <v>0.17734428270730188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247" activePane="bottomLeft" state="frozen"/>
      <selection pane="bottomLeft" activeCell="C259" sqref="C259"/>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899999999999999"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577616</v>
      </c>
      <c r="D5" s="1586">
        <v>103328</v>
      </c>
      <c r="E5" s="1573"/>
      <c r="F5" s="1631">
        <v>45298</v>
      </c>
      <c r="G5" s="1573">
        <v>462</v>
      </c>
      <c r="H5" s="1573"/>
      <c r="I5" s="1573">
        <v>8632</v>
      </c>
      <c r="J5" s="1574">
        <v>57424</v>
      </c>
      <c r="K5" s="1573">
        <v>5976</v>
      </c>
    </row>
    <row r="6" spans="1:12" ht="15" x14ac:dyDescent="0.2">
      <c r="A6" s="427" t="s">
        <v>1643</v>
      </c>
      <c r="B6" s="429">
        <v>1130</v>
      </c>
      <c r="C6" s="1573"/>
      <c r="D6" s="1573">
        <v>7564</v>
      </c>
      <c r="E6" s="1580"/>
      <c r="F6" s="1580"/>
      <c r="G6" s="1575"/>
      <c r="H6" s="1575"/>
      <c r="I6" s="1575"/>
      <c r="J6" s="1575"/>
      <c r="K6" s="1575"/>
    </row>
    <row r="7" spans="1:12" x14ac:dyDescent="0.2">
      <c r="A7" s="427" t="s">
        <v>110</v>
      </c>
      <c r="B7" s="471">
        <v>1140</v>
      </c>
      <c r="C7" s="1573">
        <v>5976</v>
      </c>
      <c r="D7" s="1573"/>
      <c r="E7" s="1575"/>
      <c r="F7" s="1574"/>
      <c r="G7" s="1574"/>
      <c r="H7" s="1574"/>
      <c r="I7" s="1575"/>
      <c r="J7" s="1575"/>
      <c r="K7" s="1575"/>
    </row>
    <row r="8" spans="1:12" x14ac:dyDescent="0.2">
      <c r="A8" s="427" t="s">
        <v>410</v>
      </c>
      <c r="B8" s="429">
        <v>1150</v>
      </c>
      <c r="C8" s="1580"/>
      <c r="D8" s="1580"/>
      <c r="E8" s="1582"/>
      <c r="F8" s="1582"/>
      <c r="G8" s="1586">
        <v>11462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583592</v>
      </c>
      <c r="D12" s="1633">
        <f t="shared" si="0"/>
        <v>110892</v>
      </c>
      <c r="E12" s="1633">
        <f t="shared" si="0"/>
        <v>0</v>
      </c>
      <c r="F12" s="1633">
        <f t="shared" si="0"/>
        <v>45298</v>
      </c>
      <c r="G12" s="1633">
        <f t="shared" si="0"/>
        <v>11924</v>
      </c>
      <c r="H12" s="1633">
        <f t="shared" si="0"/>
        <v>0</v>
      </c>
      <c r="I12" s="1633">
        <f t="shared" si="0"/>
        <v>8632</v>
      </c>
      <c r="J12" s="1633">
        <f t="shared" si="0"/>
        <v>57424</v>
      </c>
      <c r="K12" s="1594">
        <f t="shared" si="0"/>
        <v>5976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32273</v>
      </c>
      <c r="D16" s="1573"/>
      <c r="E16" s="1573"/>
      <c r="F16" s="1573"/>
      <c r="G16" s="1573"/>
      <c r="H16" s="1573"/>
      <c r="I16" s="1573"/>
      <c r="J16" s="1574"/>
      <c r="K16" s="1573"/>
    </row>
    <row r="17" spans="1:11" ht="12.75" customHeight="1" x14ac:dyDescent="0.2">
      <c r="A17" s="427" t="s">
        <v>802</v>
      </c>
      <c r="B17" s="429">
        <v>1290</v>
      </c>
      <c r="C17" s="1632"/>
      <c r="D17" s="1573">
        <v>50123</v>
      </c>
      <c r="E17" s="1573"/>
      <c r="F17" s="1573"/>
      <c r="G17" s="1573"/>
      <c r="H17" s="1573"/>
      <c r="I17" s="1573"/>
      <c r="J17" s="1574"/>
      <c r="K17" s="1573"/>
    </row>
    <row r="18" spans="1:11" ht="12.75" customHeight="1" thickBot="1" x14ac:dyDescent="0.25">
      <c r="A18" s="1406" t="s">
        <v>534</v>
      </c>
      <c r="B18" s="1407"/>
      <c r="C18" s="1635">
        <f>SUM(C14:C17)</f>
        <v>32273</v>
      </c>
      <c r="D18" s="1635">
        <f t="shared" ref="D18:K18" si="1">SUM(D14:D17)</f>
        <v>50123</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25643</v>
      </c>
      <c r="D65" s="1573">
        <v>108</v>
      </c>
      <c r="E65" s="1573"/>
      <c r="F65" s="1574">
        <v>44</v>
      </c>
      <c r="G65" s="1573">
        <v>13</v>
      </c>
      <c r="H65" s="1573"/>
      <c r="I65" s="1573">
        <v>9</v>
      </c>
      <c r="J65" s="1574">
        <v>54</v>
      </c>
      <c r="K65" s="1573">
        <v>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25643</v>
      </c>
      <c r="D67" s="1594">
        <f t="shared" ref="D67:K67" si="2">SUM(D65:D66)</f>
        <v>108</v>
      </c>
      <c r="E67" s="1594">
        <f t="shared" si="2"/>
        <v>0</v>
      </c>
      <c r="F67" s="1594">
        <f t="shared" si="2"/>
        <v>44</v>
      </c>
      <c r="G67" s="1594">
        <f t="shared" si="2"/>
        <v>13</v>
      </c>
      <c r="H67" s="1594">
        <f t="shared" si="2"/>
        <v>0</v>
      </c>
      <c r="I67" s="1594">
        <f t="shared" si="2"/>
        <v>9</v>
      </c>
      <c r="J67" s="1594">
        <f t="shared" si="2"/>
        <v>54</v>
      </c>
      <c r="K67" s="1594">
        <f t="shared" si="2"/>
        <v>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8024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8027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869</v>
      </c>
      <c r="D81" s="1573"/>
      <c r="E81" s="1575"/>
      <c r="F81" s="1575"/>
      <c r="G81" s="1575"/>
      <c r="H81" s="1575"/>
      <c r="I81" s="1575"/>
      <c r="J81" s="1575"/>
      <c r="K81" s="1575"/>
    </row>
    <row r="82" spans="1:11" ht="12.75" customHeight="1" thickBot="1" x14ac:dyDescent="0.25">
      <c r="A82" s="1406" t="s">
        <v>239</v>
      </c>
      <c r="B82" s="1407"/>
      <c r="C82" s="1633">
        <f>SUM(C77:C81)</f>
        <v>869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3430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3430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15407</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7220</v>
      </c>
      <c r="D107" s="1573"/>
      <c r="E107" s="1573"/>
      <c r="F107" s="1573"/>
      <c r="G107" s="1573"/>
      <c r="H107" s="1573"/>
      <c r="I107" s="1573"/>
      <c r="J107" s="1574"/>
      <c r="K107" s="1573"/>
    </row>
    <row r="108" spans="1:12" ht="12.75" customHeight="1" thickBot="1" x14ac:dyDescent="0.25">
      <c r="A108" s="1406" t="s">
        <v>484</v>
      </c>
      <c r="B108" s="1408"/>
      <c r="C108" s="1633">
        <f>SUM(C95:C107)</f>
        <v>22627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676461</v>
      </c>
      <c r="D109" s="1641">
        <f t="shared" si="4"/>
        <v>161123</v>
      </c>
      <c r="E109" s="1641">
        <f t="shared" si="4"/>
        <v>0</v>
      </c>
      <c r="F109" s="1641">
        <f t="shared" si="4"/>
        <v>45342</v>
      </c>
      <c r="G109" s="1641">
        <f t="shared" si="4"/>
        <v>11937</v>
      </c>
      <c r="H109" s="1641">
        <f t="shared" si="4"/>
        <v>0</v>
      </c>
      <c r="I109" s="1641">
        <f t="shared" si="4"/>
        <v>8641</v>
      </c>
      <c r="J109" s="1641">
        <f t="shared" si="4"/>
        <v>57478</v>
      </c>
      <c r="K109" s="1629">
        <f t="shared" si="4"/>
        <v>5982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899999999999999"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53845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53845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44306</v>
      </c>
      <c r="G152" s="1574"/>
      <c r="H152" s="1575"/>
      <c r="I152" s="1575"/>
      <c r="J152" s="1575"/>
      <c r="K152" s="1575"/>
    </row>
    <row r="153" spans="1:11" ht="12.75" customHeight="1" x14ac:dyDescent="0.2">
      <c r="A153" s="427" t="s">
        <v>1048</v>
      </c>
      <c r="B153" s="478">
        <v>3510</v>
      </c>
      <c r="C153" s="1632"/>
      <c r="D153" s="1573"/>
      <c r="E153" s="1640"/>
      <c r="F153" s="1573">
        <v>10176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54482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42500</v>
      </c>
      <c r="E167" s="1617"/>
      <c r="F167" s="1617"/>
      <c r="G167" s="1575"/>
      <c r="H167" s="1627"/>
      <c r="I167" s="1575"/>
      <c r="J167" s="1575"/>
      <c r="K167" s="1626"/>
    </row>
    <row r="168" spans="1:11" ht="14.25" thickTop="1" thickBot="1" x14ac:dyDescent="0.25">
      <c r="A168" s="1270" t="s">
        <v>70</v>
      </c>
      <c r="B168" s="484">
        <v>3999</v>
      </c>
      <c r="C168" s="1654">
        <v>141</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205</v>
      </c>
      <c r="D169" s="1658">
        <f t="shared" si="6"/>
        <v>42500</v>
      </c>
      <c r="E169" s="1658">
        <f t="shared" si="6"/>
        <v>0</v>
      </c>
      <c r="F169" s="1658">
        <f t="shared" si="6"/>
        <v>54482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54050</v>
      </c>
      <c r="D170" s="1641">
        <f t="shared" si="7"/>
        <v>42500</v>
      </c>
      <c r="E170" s="1641">
        <f t="shared" si="7"/>
        <v>0</v>
      </c>
      <c r="F170" s="1641">
        <f t="shared" si="7"/>
        <v>54482</v>
      </c>
      <c r="G170" s="1641">
        <f t="shared" si="7"/>
        <v>0</v>
      </c>
      <c r="H170" s="1641">
        <f t="shared" si="7"/>
        <v>0</v>
      </c>
      <c r="I170" s="1641">
        <f t="shared" si="7"/>
        <v>0</v>
      </c>
      <c r="J170" s="1641">
        <f t="shared" si="7"/>
        <v>0</v>
      </c>
      <c r="K170" s="1629">
        <f t="shared" si="7"/>
        <v>0</v>
      </c>
    </row>
    <row r="171" spans="1:11" ht="16.899999999999999"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1157</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1157</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5767</v>
      </c>
      <c r="D191" s="1575"/>
      <c r="E191" s="1640"/>
      <c r="F191" s="1575"/>
      <c r="G191" s="1664"/>
      <c r="H191" s="1575"/>
      <c r="I191" s="1575"/>
      <c r="J191" s="1575"/>
      <c r="K191" s="1575"/>
    </row>
    <row r="192" spans="1:11" ht="12.75" customHeight="1" x14ac:dyDescent="0.2">
      <c r="A192" s="427" t="s">
        <v>1038</v>
      </c>
      <c r="B192" s="429">
        <v>4215</v>
      </c>
      <c r="C192" s="1632">
        <v>6</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5773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31043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31043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3327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1316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52616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52616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783127</v>
      </c>
      <c r="D268" s="1641">
        <f t="shared" si="12"/>
        <v>203623</v>
      </c>
      <c r="E268" s="1641">
        <f t="shared" si="12"/>
        <v>0</v>
      </c>
      <c r="F268" s="1641">
        <f t="shared" si="12"/>
        <v>99824</v>
      </c>
      <c r="G268" s="1641">
        <f t="shared" si="12"/>
        <v>11937</v>
      </c>
      <c r="H268" s="1641">
        <f t="shared" si="12"/>
        <v>0</v>
      </c>
      <c r="I268" s="1641">
        <f t="shared" si="12"/>
        <v>8641</v>
      </c>
      <c r="J268" s="1641">
        <f t="shared" si="12"/>
        <v>57478</v>
      </c>
      <c r="K268" s="1629">
        <f t="shared" si="12"/>
        <v>5982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20" activePane="bottomLeft" state="frozen"/>
      <selection pane="bottomLeft" activeCell="D42" sqref="D42"/>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899999999999999"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352422</v>
      </c>
      <c r="D5" s="1573">
        <v>134873</v>
      </c>
      <c r="E5" s="1573">
        <v>11277</v>
      </c>
      <c r="F5" s="1573">
        <v>58654</v>
      </c>
      <c r="G5" s="1573"/>
      <c r="H5" s="1573">
        <v>977</v>
      </c>
      <c r="I5" s="1574"/>
      <c r="J5" s="1574"/>
      <c r="K5" s="1672">
        <f>SUM(C5:J5)</f>
        <v>558203</v>
      </c>
      <c r="L5" s="1573">
        <v>597435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v>17350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352422</v>
      </c>
      <c r="D33" s="1674">
        <f t="shared" ref="D33:L33" si="1">SUM(D5:D32)</f>
        <v>134873</v>
      </c>
      <c r="E33" s="1674">
        <f t="shared" si="1"/>
        <v>11277</v>
      </c>
      <c r="F33" s="1674">
        <f t="shared" si="1"/>
        <v>58654</v>
      </c>
      <c r="G33" s="1674">
        <f t="shared" si="1"/>
        <v>0</v>
      </c>
      <c r="H33" s="1674">
        <f t="shared" si="1"/>
        <v>977</v>
      </c>
      <c r="I33" s="1674">
        <f t="shared" si="1"/>
        <v>0</v>
      </c>
      <c r="J33" s="1674">
        <f t="shared" si="1"/>
        <v>0</v>
      </c>
      <c r="K33" s="1674">
        <f t="shared" si="1"/>
        <v>558203</v>
      </c>
      <c r="L33" s="1674">
        <f t="shared" si="1"/>
        <v>614785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5970</v>
      </c>
      <c r="D40" s="1573">
        <v>771</v>
      </c>
      <c r="E40" s="1573"/>
      <c r="F40" s="1573"/>
      <c r="G40" s="1573"/>
      <c r="H40" s="1573"/>
      <c r="I40" s="1574"/>
      <c r="J40" s="1574"/>
      <c r="K40" s="1672">
        <f t="shared" si="2"/>
        <v>6741</v>
      </c>
      <c r="L40" s="1573">
        <v>5100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5970</v>
      </c>
      <c r="D42" s="1674">
        <f t="shared" ref="D42:L42" si="3">SUM(D36:D41)</f>
        <v>771</v>
      </c>
      <c r="E42" s="1674">
        <f t="shared" si="3"/>
        <v>0</v>
      </c>
      <c r="F42" s="1674">
        <f t="shared" si="3"/>
        <v>0</v>
      </c>
      <c r="G42" s="1674">
        <f t="shared" si="3"/>
        <v>0</v>
      </c>
      <c r="H42" s="1674">
        <f t="shared" si="3"/>
        <v>0</v>
      </c>
      <c r="I42" s="1674">
        <f t="shared" si="3"/>
        <v>0</v>
      </c>
      <c r="J42" s="1674">
        <f t="shared" si="3"/>
        <v>0</v>
      </c>
      <c r="K42" s="1674">
        <f t="shared" si="3"/>
        <v>6741</v>
      </c>
      <c r="L42" s="1674">
        <f t="shared" si="3"/>
        <v>5100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v>115</v>
      </c>
      <c r="G44" s="1586"/>
      <c r="H44" s="1586"/>
      <c r="I44" s="1574"/>
      <c r="J44" s="1574"/>
      <c r="K44" s="1678">
        <f>SUM(C44:J44)</f>
        <v>115</v>
      </c>
      <c r="L44" s="1586">
        <v>1500</v>
      </c>
    </row>
    <row r="45" spans="1:14" x14ac:dyDescent="0.2">
      <c r="A45" s="1274" t="s">
        <v>810</v>
      </c>
      <c r="B45" s="503">
        <v>2220</v>
      </c>
      <c r="C45" s="1573"/>
      <c r="D45" s="1573"/>
      <c r="E45" s="1573"/>
      <c r="F45" s="1573"/>
      <c r="G45" s="1573"/>
      <c r="H45" s="1573"/>
      <c r="I45" s="1574"/>
      <c r="J45" s="1574"/>
      <c r="K45" s="1678">
        <f>SUM(C45:J45)</f>
        <v>0</v>
      </c>
      <c r="L45" s="1573">
        <v>500</v>
      </c>
    </row>
    <row r="46" spans="1:14" x14ac:dyDescent="0.2">
      <c r="A46" s="1274" t="s">
        <v>811</v>
      </c>
      <c r="B46" s="503">
        <v>2230</v>
      </c>
      <c r="C46" s="1573"/>
      <c r="D46" s="1573"/>
      <c r="E46" s="1573"/>
      <c r="F46" s="1573">
        <v>40</v>
      </c>
      <c r="G46" s="1573"/>
      <c r="H46" s="1573"/>
      <c r="I46" s="1574"/>
      <c r="J46" s="1574"/>
      <c r="K46" s="1678">
        <f>SUM(C46:J46)</f>
        <v>40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155</v>
      </c>
      <c r="G47" s="1674">
        <f t="shared" si="4"/>
        <v>0</v>
      </c>
      <c r="H47" s="1674">
        <f t="shared" si="4"/>
        <v>0</v>
      </c>
      <c r="I47" s="1674">
        <f t="shared" si="4"/>
        <v>0</v>
      </c>
      <c r="J47" s="1674">
        <f t="shared" si="4"/>
        <v>0</v>
      </c>
      <c r="K47" s="1674">
        <f t="shared" si="4"/>
        <v>155</v>
      </c>
      <c r="L47" s="1674">
        <f>SUM(L44:L46)</f>
        <v>2000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18000+10325+2308+130</f>
        <v>30763</v>
      </c>
      <c r="F49" s="1586"/>
      <c r="G49" s="1586"/>
      <c r="H49" s="1586">
        <v>4422</v>
      </c>
      <c r="I49" s="1574"/>
      <c r="J49" s="1574"/>
      <c r="K49" s="1678">
        <f>SUM(C49:J49)</f>
        <v>35185</v>
      </c>
      <c r="L49" s="1586">
        <v>34000</v>
      </c>
    </row>
    <row r="50" spans="1:14" x14ac:dyDescent="0.2">
      <c r="A50" s="1274" t="s">
        <v>813</v>
      </c>
      <c r="B50" s="503">
        <v>2320</v>
      </c>
      <c r="C50" s="1573">
        <v>116325</v>
      </c>
      <c r="D50" s="1573">
        <v>69270</v>
      </c>
      <c r="E50" s="1573">
        <v>7554</v>
      </c>
      <c r="F50" s="1573">
        <v>243</v>
      </c>
      <c r="G50" s="1573"/>
      <c r="H50" s="1573"/>
      <c r="I50" s="1574"/>
      <c r="J50" s="1574"/>
      <c r="K50" s="1678">
        <f>SUM(C50:J50)</f>
        <v>193392</v>
      </c>
      <c r="L50" s="1573"/>
    </row>
    <row r="51" spans="1:14" x14ac:dyDescent="0.2">
      <c r="A51" s="1274" t="s">
        <v>42</v>
      </c>
      <c r="B51" s="503">
        <v>2330</v>
      </c>
      <c r="C51" s="1573"/>
      <c r="D51" s="1573"/>
      <c r="E51" s="1573"/>
      <c r="F51" s="1573"/>
      <c r="G51" s="1573"/>
      <c r="H51" s="1573"/>
      <c r="I51" s="1574"/>
      <c r="J51" s="1574"/>
      <c r="K51" s="1678">
        <f>SUM(C51:J51)</f>
        <v>0</v>
      </c>
      <c r="L51" s="1573">
        <v>155500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116325</v>
      </c>
      <c r="D53" s="1674">
        <f t="shared" ref="D53:L53" si="5">SUM(D49:D52)</f>
        <v>69270</v>
      </c>
      <c r="E53" s="1674">
        <f t="shared" si="5"/>
        <v>38317</v>
      </c>
      <c r="F53" s="1674">
        <f t="shared" si="5"/>
        <v>243</v>
      </c>
      <c r="G53" s="1674">
        <f t="shared" si="5"/>
        <v>0</v>
      </c>
      <c r="H53" s="1674">
        <f t="shared" si="5"/>
        <v>4422</v>
      </c>
      <c r="I53" s="1674">
        <f t="shared" si="5"/>
        <v>0</v>
      </c>
      <c r="J53" s="1674">
        <f t="shared" si="5"/>
        <v>0</v>
      </c>
      <c r="K53" s="1674">
        <f t="shared" si="5"/>
        <v>228577</v>
      </c>
      <c r="L53" s="1674">
        <f t="shared" si="5"/>
        <v>189500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90000</v>
      </c>
      <c r="D55" s="1586">
        <v>34660</v>
      </c>
      <c r="E55" s="1586"/>
      <c r="F55" s="1586"/>
      <c r="G55" s="1586"/>
      <c r="H55" s="1586"/>
      <c r="I55" s="1574"/>
      <c r="J55" s="1574"/>
      <c r="K55" s="1678">
        <f>SUM(C55:J55)</f>
        <v>124660</v>
      </c>
      <c r="L55" s="1586">
        <v>250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90000</v>
      </c>
      <c r="D57" s="1679">
        <f t="shared" ref="D57:K57" si="6">SUM(D55:D56)</f>
        <v>34660</v>
      </c>
      <c r="E57" s="1679">
        <f t="shared" si="6"/>
        <v>0</v>
      </c>
      <c r="F57" s="1679">
        <f t="shared" si="6"/>
        <v>0</v>
      </c>
      <c r="G57" s="1679">
        <f t="shared" si="6"/>
        <v>0</v>
      </c>
      <c r="H57" s="1679">
        <f t="shared" si="6"/>
        <v>0</v>
      </c>
      <c r="I57" s="1679">
        <f t="shared" si="6"/>
        <v>0</v>
      </c>
      <c r="J57" s="1679">
        <f t="shared" si="6"/>
        <v>0</v>
      </c>
      <c r="K57" s="1679">
        <f t="shared" si="6"/>
        <v>124660</v>
      </c>
      <c r="L57" s="1674">
        <f>SUM(L55:L56)</f>
        <v>250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27496</v>
      </c>
      <c r="D60" s="1573"/>
      <c r="E60" s="1573">
        <v>3255</v>
      </c>
      <c r="F60" s="1573">
        <v>967</v>
      </c>
      <c r="G60" s="1573"/>
      <c r="H60" s="1573"/>
      <c r="I60" s="1574"/>
      <c r="J60" s="1574"/>
      <c r="K60" s="1678">
        <f t="shared" si="7"/>
        <v>31718</v>
      </c>
      <c r="L60" s="1573">
        <v>49650</v>
      </c>
      <c r="M60" s="501"/>
      <c r="N60" s="501"/>
    </row>
    <row r="61" spans="1:14" s="321" customFormat="1" x14ac:dyDescent="0.2">
      <c r="A61" s="1274" t="s">
        <v>195</v>
      </c>
      <c r="B61" s="503">
        <v>2540</v>
      </c>
      <c r="C61" s="1573"/>
      <c r="D61" s="1573"/>
      <c r="E61" s="1573">
        <v>7178</v>
      </c>
      <c r="F61" s="1573"/>
      <c r="G61" s="1573"/>
      <c r="H61" s="1573"/>
      <c r="I61" s="1574"/>
      <c r="J61" s="1574"/>
      <c r="K61" s="1678">
        <f t="shared" si="7"/>
        <v>7178</v>
      </c>
      <c r="L61" s="1573">
        <v>5300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7931</v>
      </c>
      <c r="D63" s="1573">
        <v>750</v>
      </c>
      <c r="E63" s="1573">
        <v>1593</v>
      </c>
      <c r="F63" s="1573">
        <v>9938</v>
      </c>
      <c r="G63" s="1573"/>
      <c r="H63" s="1573"/>
      <c r="I63" s="1574"/>
      <c r="J63" s="1574"/>
      <c r="K63" s="1678">
        <f t="shared" si="7"/>
        <v>20212</v>
      </c>
      <c r="L63" s="1573">
        <v>27750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35427</v>
      </c>
      <c r="D65" s="1674">
        <f t="shared" ref="D65:L65" si="8">SUM(D59:D64)</f>
        <v>750</v>
      </c>
      <c r="E65" s="1674">
        <f t="shared" si="8"/>
        <v>12026</v>
      </c>
      <c r="F65" s="1674">
        <f t="shared" si="8"/>
        <v>10905</v>
      </c>
      <c r="G65" s="1674">
        <f t="shared" si="8"/>
        <v>0</v>
      </c>
      <c r="H65" s="1674">
        <f t="shared" si="8"/>
        <v>0</v>
      </c>
      <c r="I65" s="1674">
        <f t="shared" si="8"/>
        <v>0</v>
      </c>
      <c r="J65" s="1674">
        <f t="shared" si="8"/>
        <v>0</v>
      </c>
      <c r="K65" s="1674">
        <f t="shared" si="8"/>
        <v>59108</v>
      </c>
      <c r="L65" s="1674">
        <f t="shared" si="8"/>
        <v>82700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2433</v>
      </c>
      <c r="F69" s="1573"/>
      <c r="G69" s="1573"/>
      <c r="H69" s="1573"/>
      <c r="I69" s="1574"/>
      <c r="J69" s="1574"/>
      <c r="K69" s="1678">
        <f>SUM(C69:J69)</f>
        <v>2433</v>
      </c>
      <c r="L69" s="1573">
        <v>9000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v>3466</v>
      </c>
      <c r="G71" s="1573"/>
      <c r="H71" s="1573"/>
      <c r="I71" s="1574"/>
      <c r="J71" s="1574"/>
      <c r="K71" s="1678">
        <f>SUM(C71:J71)</f>
        <v>3466</v>
      </c>
      <c r="L71" s="1573">
        <v>9500</v>
      </c>
      <c r="M71" s="501"/>
      <c r="N71" s="501"/>
    </row>
    <row r="72" spans="1:14" s="321" customFormat="1" ht="12.75" customHeight="1" thickBot="1" x14ac:dyDescent="0.25">
      <c r="A72" s="1380" t="s">
        <v>37</v>
      </c>
      <c r="B72" s="1383" t="s">
        <v>36</v>
      </c>
      <c r="C72" s="1674">
        <f>SUM(C67:C71)</f>
        <v>0</v>
      </c>
      <c r="D72" s="1674">
        <f t="shared" ref="D72:K72" si="9">SUM(D67:D71)</f>
        <v>0</v>
      </c>
      <c r="E72" s="1674">
        <f t="shared" si="9"/>
        <v>2433</v>
      </c>
      <c r="F72" s="1674">
        <f t="shared" si="9"/>
        <v>3466</v>
      </c>
      <c r="G72" s="1674">
        <f t="shared" si="9"/>
        <v>0</v>
      </c>
      <c r="H72" s="1674">
        <f t="shared" si="9"/>
        <v>0</v>
      </c>
      <c r="I72" s="1674">
        <f t="shared" si="9"/>
        <v>0</v>
      </c>
      <c r="J72" s="1674">
        <f t="shared" si="9"/>
        <v>0</v>
      </c>
      <c r="K72" s="1674">
        <f t="shared" si="9"/>
        <v>5899</v>
      </c>
      <c r="L72" s="1674">
        <f>SUM(L67:L71)</f>
        <v>18500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247722</v>
      </c>
      <c r="D74" s="1681">
        <f t="shared" ref="D74:K74" si="10">SUM(D42,D47,D53,D57,D65,D72,D73)</f>
        <v>105451</v>
      </c>
      <c r="E74" s="1681">
        <f t="shared" si="10"/>
        <v>52776</v>
      </c>
      <c r="F74" s="1681">
        <f t="shared" si="10"/>
        <v>14769</v>
      </c>
      <c r="G74" s="1681">
        <f t="shared" si="10"/>
        <v>0</v>
      </c>
      <c r="H74" s="1681">
        <f t="shared" si="10"/>
        <v>4422</v>
      </c>
      <c r="I74" s="1681">
        <f t="shared" si="10"/>
        <v>0</v>
      </c>
      <c r="J74" s="1681">
        <f t="shared" si="10"/>
        <v>0</v>
      </c>
      <c r="K74" s="1681">
        <f t="shared" si="10"/>
        <v>425140</v>
      </c>
      <c r="L74" s="1681">
        <f>SUM(L42,L47,L53,L57,L65,L72,L73)</f>
        <v>298050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580</v>
      </c>
      <c r="F78" s="1673"/>
      <c r="G78" s="1673"/>
      <c r="H78" s="1682"/>
      <c r="I78" s="1582"/>
      <c r="J78" s="1582"/>
      <c r="K78" s="1672">
        <f t="shared" ref="K78:K83" si="11">SUM(C78:J78)</f>
        <v>580</v>
      </c>
      <c r="L78" s="1586">
        <v>500</v>
      </c>
    </row>
    <row r="79" spans="1:14" x14ac:dyDescent="0.2">
      <c r="A79" s="1274" t="s">
        <v>301</v>
      </c>
      <c r="B79" s="503">
        <v>4120</v>
      </c>
      <c r="C79" s="1673"/>
      <c r="D79" s="1673"/>
      <c r="E79" s="1573">
        <v>21993</v>
      </c>
      <c r="F79" s="1673"/>
      <c r="G79" s="1673"/>
      <c r="H79" s="1573"/>
      <c r="I79" s="1582"/>
      <c r="J79" s="1582"/>
      <c r="K79" s="1672">
        <f t="shared" si="11"/>
        <v>21993</v>
      </c>
      <c r="L79" s="1573">
        <v>4500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22573</v>
      </c>
      <c r="F84" s="1673"/>
      <c r="G84" s="1673"/>
      <c r="H84" s="1674">
        <f>SUM(H78:H83)</f>
        <v>0</v>
      </c>
      <c r="I84" s="1582"/>
      <c r="J84" s="1582"/>
      <c r="K84" s="1674">
        <f>SUM(K78:K83)</f>
        <v>22573</v>
      </c>
      <c r="L84" s="1674">
        <f>SUM(L78:L83)</f>
        <v>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22573</v>
      </c>
      <c r="F102" s="1673"/>
      <c r="G102" s="1673"/>
      <c r="H102" s="1681">
        <f>SUM(H84,H92,H100,H101)</f>
        <v>0</v>
      </c>
      <c r="I102" s="1582"/>
      <c r="J102" s="1582"/>
      <c r="K102" s="1681">
        <f>SUM(K84,K92,K100,K101)</f>
        <v>22573</v>
      </c>
      <c r="L102" s="1681">
        <f>SUM(L84,L92,L100,L101)</f>
        <v>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600144</v>
      </c>
      <c r="D114" s="1674">
        <f t="shared" ref="D114:K114" si="13">SUM(D33,D74,D75,D102,D112,D113)</f>
        <v>240324</v>
      </c>
      <c r="E114" s="1674">
        <f t="shared" si="13"/>
        <v>86626</v>
      </c>
      <c r="F114" s="1674">
        <f t="shared" si="13"/>
        <v>73423</v>
      </c>
      <c r="G114" s="1674">
        <f t="shared" si="13"/>
        <v>0</v>
      </c>
      <c r="H114" s="1674">
        <f>SUM(H33,H74,H75,H102,H112,H113)</f>
        <v>5399</v>
      </c>
      <c r="I114" s="1674">
        <f t="shared" si="13"/>
        <v>0</v>
      </c>
      <c r="J114" s="1674">
        <f t="shared" si="13"/>
        <v>0</v>
      </c>
      <c r="K114" s="1674">
        <f t="shared" si="13"/>
        <v>1005916</v>
      </c>
      <c r="L114" s="1674">
        <f>SUM(L33,L74,L75,L102,L112,L113)</f>
        <v>917835</v>
      </c>
    </row>
    <row r="115" spans="1:14" ht="13.5" thickTop="1" x14ac:dyDescent="0.2">
      <c r="A115" s="2261" t="s">
        <v>989</v>
      </c>
      <c r="B115" s="2262"/>
      <c r="C115" s="1675"/>
      <c r="D115" s="1675"/>
      <c r="E115" s="1675"/>
      <c r="F115" s="1675"/>
      <c r="G115" s="1675"/>
      <c r="H115" s="1675"/>
      <c r="I115" s="1675"/>
      <c r="J115" s="1675"/>
      <c r="K115" s="1689">
        <f>'Revenues 9-14'!C268-'Expenditures 15-22'!K114</f>
        <v>-222789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899999999999999"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27747</v>
      </c>
      <c r="D122" s="1573">
        <v>1500</v>
      </c>
      <c r="E122" s="1573"/>
      <c r="F122" s="1573"/>
      <c r="G122" s="1573"/>
      <c r="H122" s="1573"/>
      <c r="I122" s="1574"/>
      <c r="J122" s="1574"/>
      <c r="K122" s="1674">
        <f>SUM(C122:J122)</f>
        <v>29247</v>
      </c>
      <c r="L122" s="1573">
        <v>28750</v>
      </c>
    </row>
    <row r="123" spans="1:14" ht="14.25" thickTop="1" thickBot="1" x14ac:dyDescent="0.25">
      <c r="A123" s="1274" t="s">
        <v>4</v>
      </c>
      <c r="B123" s="503">
        <v>2530</v>
      </c>
      <c r="C123" s="1573"/>
      <c r="D123" s="1573"/>
      <c r="E123" s="1573"/>
      <c r="F123" s="1573"/>
      <c r="G123" s="1573">
        <v>41996</v>
      </c>
      <c r="H123" s="1573"/>
      <c r="I123" s="1574"/>
      <c r="J123" s="1574"/>
      <c r="K123" s="1674">
        <f>SUM(C123:J123)</f>
        <v>41996</v>
      </c>
      <c r="L123" s="1573">
        <v>20000</v>
      </c>
    </row>
    <row r="124" spans="1:14" ht="14.25" thickTop="1" thickBot="1" x14ac:dyDescent="0.25">
      <c r="A124" s="1274" t="s">
        <v>195</v>
      </c>
      <c r="B124" s="503">
        <v>2540</v>
      </c>
      <c r="C124" s="1573"/>
      <c r="D124" s="1573"/>
      <c r="E124" s="1573">
        <v>23879</v>
      </c>
      <c r="F124" s="1573">
        <f>6754+8233+9118+403</f>
        <v>24508</v>
      </c>
      <c r="G124" s="1573"/>
      <c r="H124" s="1573"/>
      <c r="I124" s="1574"/>
      <c r="J124" s="1574"/>
      <c r="K124" s="1674">
        <f>SUM(C124:J124)</f>
        <v>48387</v>
      </c>
      <c r="L124" s="1573">
        <v>59450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27747</v>
      </c>
      <c r="D127" s="1674">
        <f t="shared" ref="D127:L127" si="14">SUM(D122:D126)</f>
        <v>1500</v>
      </c>
      <c r="E127" s="1674">
        <f t="shared" si="14"/>
        <v>23879</v>
      </c>
      <c r="F127" s="1674">
        <f t="shared" si="14"/>
        <v>24508</v>
      </c>
      <c r="G127" s="1674">
        <f t="shared" si="14"/>
        <v>41996</v>
      </c>
      <c r="H127" s="1674">
        <f t="shared" si="14"/>
        <v>0</v>
      </c>
      <c r="I127" s="1674">
        <f t="shared" si="14"/>
        <v>0</v>
      </c>
      <c r="J127" s="1674">
        <f t="shared" si="14"/>
        <v>0</v>
      </c>
      <c r="K127" s="1674">
        <f t="shared" si="14"/>
        <v>119630</v>
      </c>
      <c r="L127" s="1674">
        <f t="shared" si="14"/>
        <v>108200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27747</v>
      </c>
      <c r="D129" s="1681">
        <f t="shared" ref="D129:L129" si="15">SUM(D120,D127,D128)</f>
        <v>1500</v>
      </c>
      <c r="E129" s="1681">
        <f t="shared" si="15"/>
        <v>23879</v>
      </c>
      <c r="F129" s="1681">
        <f t="shared" si="15"/>
        <v>24508</v>
      </c>
      <c r="G129" s="1681">
        <f t="shared" si="15"/>
        <v>41996</v>
      </c>
      <c r="H129" s="1681">
        <f t="shared" si="15"/>
        <v>0</v>
      </c>
      <c r="I129" s="1681">
        <f t="shared" si="15"/>
        <v>0</v>
      </c>
      <c r="J129" s="1681">
        <f t="shared" si="15"/>
        <v>0</v>
      </c>
      <c r="K129" s="1681">
        <f t="shared" si="15"/>
        <v>119630</v>
      </c>
      <c r="L129" s="1681">
        <f t="shared" si="15"/>
        <v>108200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27747</v>
      </c>
      <c r="D151" s="1674">
        <f t="shared" ref="D151:K151" si="16">SUM(D129,D130,D139,D149,D150)</f>
        <v>1500</v>
      </c>
      <c r="E151" s="1674">
        <f t="shared" si="16"/>
        <v>23879</v>
      </c>
      <c r="F151" s="1674">
        <f t="shared" si="16"/>
        <v>24508</v>
      </c>
      <c r="G151" s="1674">
        <f t="shared" si="16"/>
        <v>41996</v>
      </c>
      <c r="H151" s="1674">
        <f t="shared" si="16"/>
        <v>0</v>
      </c>
      <c r="I151" s="1674">
        <f t="shared" si="16"/>
        <v>0</v>
      </c>
      <c r="J151" s="1674">
        <f t="shared" si="16"/>
        <v>0</v>
      </c>
      <c r="K151" s="1674">
        <f t="shared" si="16"/>
        <v>119630</v>
      </c>
      <c r="L151" s="1674">
        <f>SUM(L129,L130,L139,L149,L150)</f>
        <v>108200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83993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899999999999999"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899999999999999"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16325</v>
      </c>
      <c r="D182" s="1573">
        <v>750</v>
      </c>
      <c r="E182" s="1573">
        <v>10163</v>
      </c>
      <c r="F182" s="1573"/>
      <c r="G182" s="1573"/>
      <c r="H182" s="1573"/>
      <c r="I182" s="1574"/>
      <c r="J182" s="1574"/>
      <c r="K182" s="1672">
        <f>SUM(C182:J182)</f>
        <v>27238</v>
      </c>
      <c r="L182" s="1573">
        <v>27850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16325</v>
      </c>
      <c r="D184" s="1681">
        <f t="shared" ref="D184:J184" si="17">SUM(D180,D182,D183)</f>
        <v>750</v>
      </c>
      <c r="E184" s="1681">
        <f t="shared" si="17"/>
        <v>10163</v>
      </c>
      <c r="F184" s="1681">
        <f t="shared" si="17"/>
        <v>0</v>
      </c>
      <c r="G184" s="1681">
        <f t="shared" si="17"/>
        <v>0</v>
      </c>
      <c r="H184" s="1681">
        <f t="shared" si="17"/>
        <v>0</v>
      </c>
      <c r="I184" s="1681">
        <f t="shared" si="17"/>
        <v>0</v>
      </c>
      <c r="J184" s="1681">
        <f t="shared" si="17"/>
        <v>0</v>
      </c>
      <c r="K184" s="1681">
        <f>SUM(K180,K182,K183)</f>
        <v>27238</v>
      </c>
      <c r="L184" s="1681">
        <f>SUM(L180, L182:L183)</f>
        <v>27850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16325</v>
      </c>
      <c r="D210" s="1674">
        <f>SUM(D184,D185)</f>
        <v>750</v>
      </c>
      <c r="E210" s="1674">
        <f>SUM(E184,E185,E196)</f>
        <v>10163</v>
      </c>
      <c r="F210" s="1674">
        <f>SUM(F184,F185)</f>
        <v>0</v>
      </c>
      <c r="G210" s="1674">
        <f>SUM(G184,G185)</f>
        <v>0</v>
      </c>
      <c r="H210" s="1674">
        <f>SUM(H184,H185,H196,H208,H209)</f>
        <v>0</v>
      </c>
      <c r="I210" s="1674">
        <f>SUM(I184,I185)</f>
        <v>0</v>
      </c>
      <c r="J210" s="1674">
        <f>SUM(J184,J185)</f>
        <v>0</v>
      </c>
      <c r="K210" s="1672">
        <f>SUM(K184,K185,K196,K208,K209)</f>
        <v>27238</v>
      </c>
      <c r="L210" s="1674">
        <f>SUM(L184,L185,L196,L208,L209)</f>
        <v>27850</v>
      </c>
    </row>
    <row r="211" spans="1:14" ht="13.5" thickTop="1" x14ac:dyDescent="0.2">
      <c r="A211" s="2261" t="s">
        <v>989</v>
      </c>
      <c r="B211" s="2262"/>
      <c r="C211" s="1675"/>
      <c r="D211" s="1675"/>
      <c r="E211" s="1675"/>
      <c r="F211" s="1675"/>
      <c r="G211" s="1675"/>
      <c r="H211" s="1675"/>
      <c r="I211" s="1673"/>
      <c r="J211" s="1673"/>
      <c r="K211" s="1689">
        <f>'Revenues 9-14'!F268-'Expenditures 15-22'!K210</f>
        <v>72586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899999999999999"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49+6785</f>
        <v>6834</v>
      </c>
      <c r="E215" s="1673"/>
      <c r="F215" s="1673"/>
      <c r="G215" s="1673"/>
      <c r="H215" s="1673"/>
      <c r="I215" s="1673"/>
      <c r="J215" s="1673"/>
      <c r="K215" s="1672">
        <f>D215</f>
        <v>6834</v>
      </c>
      <c r="L215" s="1573">
        <v>11100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v>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6834</v>
      </c>
      <c r="E229" s="1673"/>
      <c r="F229" s="1673"/>
      <c r="G229" s="1673"/>
      <c r="H229" s="1673"/>
      <c r="I229" s="1673"/>
      <c r="J229" s="1673"/>
      <c r="K229" s="1674">
        <f>SUM(K215:K228)</f>
        <v>6834</v>
      </c>
      <c r="L229" s="1674">
        <f>SUM(L215:L228)</f>
        <v>11600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95</v>
      </c>
      <c r="E236" s="1673"/>
      <c r="F236" s="1673"/>
      <c r="G236" s="1673"/>
      <c r="H236" s="1673"/>
      <c r="I236" s="1673"/>
      <c r="J236" s="1673"/>
      <c r="K236" s="1672">
        <f t="shared" si="20"/>
        <v>95</v>
      </c>
      <c r="L236" s="1573">
        <v>150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95</v>
      </c>
      <c r="E238" s="1673"/>
      <c r="F238" s="1673"/>
      <c r="G238" s="1673"/>
      <c r="H238" s="1673"/>
      <c r="I238" s="1673"/>
      <c r="J238" s="1673"/>
      <c r="K238" s="1674">
        <f>SUM(K232:K237)</f>
        <v>95</v>
      </c>
      <c r="L238" s="1674">
        <f>SUM(L232:L237)</f>
        <v>150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v>500</v>
      </c>
    </row>
    <row r="247" spans="1:12" x14ac:dyDescent="0.2">
      <c r="A247" s="1274" t="s">
        <v>814</v>
      </c>
      <c r="B247" s="503">
        <v>2330</v>
      </c>
      <c r="C247" s="1673"/>
      <c r="D247" s="1573">
        <v>3379</v>
      </c>
      <c r="E247" s="1673"/>
      <c r="F247" s="1673"/>
      <c r="G247" s="1673"/>
      <c r="H247" s="1673"/>
      <c r="I247" s="1673"/>
      <c r="J247" s="1673"/>
      <c r="K247" s="1678">
        <f t="shared" si="21"/>
        <v>3379</v>
      </c>
      <c r="L247" s="1573">
        <v>2250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v>55</v>
      </c>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3379</v>
      </c>
      <c r="E257" s="1673"/>
      <c r="F257" s="1673"/>
      <c r="G257" s="1673"/>
      <c r="H257" s="1673"/>
      <c r="I257" s="1673"/>
      <c r="J257" s="1673"/>
      <c r="K257" s="1674">
        <f>SUM(K245:K256)</f>
        <v>3379</v>
      </c>
      <c r="L257" s="1674">
        <f>SUM(L245:L256)</f>
        <v>2805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v>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455+4341</f>
        <v>4796</v>
      </c>
      <c r="E264" s="1673"/>
      <c r="F264" s="1673"/>
      <c r="G264" s="1673"/>
      <c r="H264" s="1673"/>
      <c r="I264" s="1673"/>
      <c r="J264" s="1673"/>
      <c r="K264" s="1678">
        <f t="shared" ref="K264:K269" si="22">D264</f>
        <v>4796</v>
      </c>
      <c r="L264" s="1573">
        <v>675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v>865</v>
      </c>
    </row>
    <row r="267" spans="1:14" x14ac:dyDescent="0.2">
      <c r="A267" s="1274" t="s">
        <v>947</v>
      </c>
      <c r="B267" s="503">
        <v>2550</v>
      </c>
      <c r="C267" s="1673"/>
      <c r="D267" s="1573">
        <v>1306</v>
      </c>
      <c r="E267" s="1673"/>
      <c r="F267" s="1673"/>
      <c r="G267" s="1673"/>
      <c r="H267" s="1673"/>
      <c r="I267" s="1673"/>
      <c r="J267" s="1673"/>
      <c r="K267" s="1678">
        <f t="shared" si="22"/>
        <v>1306</v>
      </c>
      <c r="L267" s="1573">
        <v>400</v>
      </c>
    </row>
    <row r="268" spans="1:14" x14ac:dyDescent="0.2">
      <c r="A268" s="1274" t="s">
        <v>100</v>
      </c>
      <c r="B268" s="503">
        <v>2560</v>
      </c>
      <c r="C268" s="1673"/>
      <c r="D268" s="1573">
        <f>70+538+126</f>
        <v>734</v>
      </c>
      <c r="E268" s="1673"/>
      <c r="F268" s="1673"/>
      <c r="G268" s="1673"/>
      <c r="H268" s="1673"/>
      <c r="I268" s="1673"/>
      <c r="J268" s="1673"/>
      <c r="K268" s="1678">
        <f t="shared" si="22"/>
        <v>734</v>
      </c>
      <c r="L268" s="1573">
        <v>245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6836</v>
      </c>
      <c r="E270" s="1673"/>
      <c r="F270" s="1673"/>
      <c r="G270" s="1673"/>
      <c r="H270" s="1673"/>
      <c r="I270" s="1673"/>
      <c r="J270" s="1673"/>
      <c r="K270" s="1674">
        <f>SUM(K263:K269)</f>
        <v>6836</v>
      </c>
      <c r="L270" s="1674">
        <f>SUM(L263:L269)</f>
        <v>2185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10310</v>
      </c>
      <c r="E279" s="1673"/>
      <c r="F279" s="1673"/>
      <c r="G279" s="1673"/>
      <c r="H279" s="1673"/>
      <c r="I279" s="1673"/>
      <c r="J279" s="1673"/>
      <c r="K279" s="1681">
        <f>SUM(K238,K243,K257,K261,K270,K277,K278)</f>
        <v>10310</v>
      </c>
      <c r="L279" s="1681">
        <f>SUM(L238,L243,L257,L261,L270,L277,L278)</f>
        <v>5340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17144</v>
      </c>
      <c r="E295" s="1673"/>
      <c r="F295" s="1673"/>
      <c r="G295" s="1673"/>
      <c r="H295" s="1674">
        <f>H293</f>
        <v>0</v>
      </c>
      <c r="I295" s="1673"/>
      <c r="J295" s="1673"/>
      <c r="K295" s="1674">
        <f>SUM(K229,K279,K280,K285,K293,K294)</f>
        <v>17144</v>
      </c>
      <c r="L295" s="1674">
        <f>SUM(L229,L279,L280,L285,L293,L294)</f>
        <v>16940</v>
      </c>
    </row>
    <row r="296" spans="1:14" ht="13.5" thickTop="1" x14ac:dyDescent="0.2">
      <c r="A296" s="2261" t="s">
        <v>989</v>
      </c>
      <c r="B296" s="2262"/>
      <c r="C296" s="1673"/>
      <c r="D296" s="1675"/>
      <c r="E296" s="1673"/>
      <c r="F296" s="1673"/>
      <c r="G296" s="1673"/>
      <c r="H296" s="1707"/>
      <c r="I296" s="1673"/>
      <c r="J296" s="1673"/>
      <c r="K296" s="1689">
        <f>'Revenues 9-14'!G268-'Expenditures 15-22'!K295</f>
        <v>-5207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899999999999999"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899999999999999"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899999999999999"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v>6525</v>
      </c>
      <c r="E320" s="1574"/>
      <c r="F320" s="1574"/>
      <c r="G320" s="1574"/>
      <c r="H320" s="1574"/>
      <c r="I320" s="1574"/>
      <c r="J320" s="1574"/>
      <c r="K320" s="1672">
        <f t="shared" ref="K320:K327" si="24">SUM(C320:J320)</f>
        <v>6525</v>
      </c>
      <c r="L320" s="1574">
        <v>9000</v>
      </c>
      <c r="M320" s="539"/>
      <c r="N320" s="539"/>
    </row>
    <row r="321" spans="1:14" s="548" customFormat="1" x14ac:dyDescent="0.2">
      <c r="A321" s="1289" t="s">
        <v>297</v>
      </c>
      <c r="B321" s="567" t="s">
        <v>281</v>
      </c>
      <c r="C321" s="1574"/>
      <c r="D321" s="1574">
        <v>326</v>
      </c>
      <c r="E321" s="1574"/>
      <c r="F321" s="1574"/>
      <c r="G321" s="1574"/>
      <c r="H321" s="1574"/>
      <c r="I321" s="1574"/>
      <c r="J321" s="1574"/>
      <c r="K321" s="1672">
        <f t="shared" si="24"/>
        <v>326</v>
      </c>
      <c r="L321" s="1574">
        <v>950</v>
      </c>
      <c r="M321" s="539"/>
      <c r="N321" s="539"/>
    </row>
    <row r="322" spans="1:14" s="548" customFormat="1" x14ac:dyDescent="0.2">
      <c r="A322" s="1289" t="s">
        <v>236</v>
      </c>
      <c r="B322" s="567" t="s">
        <v>282</v>
      </c>
      <c r="C322" s="1574"/>
      <c r="D322" s="1574">
        <v>12186</v>
      </c>
      <c r="E322" s="1574"/>
      <c r="F322" s="1574"/>
      <c r="G322" s="1574"/>
      <c r="H322" s="1574"/>
      <c r="I322" s="1574"/>
      <c r="J322" s="1574"/>
      <c r="K322" s="1672">
        <f t="shared" si="24"/>
        <v>12186</v>
      </c>
      <c r="L322" s="1574">
        <v>17500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v>17417</v>
      </c>
      <c r="G325" s="1574"/>
      <c r="H325" s="1574"/>
      <c r="I325" s="1574"/>
      <c r="J325" s="1574"/>
      <c r="K325" s="1672">
        <f t="shared" si="24"/>
        <v>17417</v>
      </c>
      <c r="L325" s="1574">
        <v>5350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v>15703</v>
      </c>
      <c r="G327" s="1574"/>
      <c r="H327" s="1574"/>
      <c r="I327" s="1574"/>
      <c r="J327" s="1574"/>
      <c r="K327" s="1672">
        <f t="shared" si="24"/>
        <v>15703</v>
      </c>
      <c r="L327" s="1574">
        <v>12500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19037</v>
      </c>
      <c r="E330" s="1674">
        <f t="shared" si="25"/>
        <v>0</v>
      </c>
      <c r="F330" s="1674">
        <f t="shared" si="25"/>
        <v>33120</v>
      </c>
      <c r="G330" s="1674">
        <f t="shared" si="25"/>
        <v>0</v>
      </c>
      <c r="H330" s="1674">
        <f t="shared" si="25"/>
        <v>0</v>
      </c>
      <c r="I330" s="1674">
        <f t="shared" si="25"/>
        <v>0</v>
      </c>
      <c r="J330" s="1674">
        <f t="shared" si="25"/>
        <v>0</v>
      </c>
      <c r="K330" s="1674">
        <f>SUM(K319:K329)</f>
        <v>52157</v>
      </c>
      <c r="L330" s="1674">
        <f>SUM(L319:L329)</f>
        <v>45300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19037</v>
      </c>
      <c r="E342" s="1674">
        <f>SUM(E330)</f>
        <v>0</v>
      </c>
      <c r="F342" s="1674">
        <f>SUM(F330)</f>
        <v>33120</v>
      </c>
      <c r="G342" s="1674">
        <f>SUM(G330)</f>
        <v>0</v>
      </c>
      <c r="H342" s="1674">
        <f>SUM(H330,H334,H340)</f>
        <v>0</v>
      </c>
      <c r="I342" s="1674">
        <f>SUM(I330)</f>
        <v>0</v>
      </c>
      <c r="J342" s="1674">
        <f>SUM(J330)</f>
        <v>0</v>
      </c>
      <c r="K342" s="1674">
        <f>SUM(K330,K334,K340)</f>
        <v>52157</v>
      </c>
      <c r="L342" s="1681">
        <f>SUM(L330,L334,L340,L341)</f>
        <v>45300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5321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899999999999999"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6000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6000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6000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6000</v>
      </c>
    </row>
    <row r="368" spans="1:14" ht="13.5" thickTop="1" x14ac:dyDescent="0.2">
      <c r="A368" s="2261" t="s">
        <v>989</v>
      </c>
      <c r="B368" s="2262"/>
      <c r="C368" s="1694"/>
      <c r="D368" s="1694"/>
      <c r="E368" s="1677"/>
      <c r="F368" s="1677"/>
      <c r="G368" s="1677"/>
      <c r="H368" s="1677"/>
      <c r="I368" s="1677"/>
      <c r="J368" s="1676"/>
      <c r="K368" s="1672">
        <f>'Revenues 9-14'!K268-'Expenditures 15-22'!K367</f>
        <v>5982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infopath/2007/PartnerControls"/>
    <ds:schemaRef ds:uri="http://purl.org/dc/elements/1.1/"/>
    <ds:schemaRef ds:uri="d21dc803-237d-4c68-8692-8d731fd29118"/>
    <ds:schemaRef ds:uri="http://schemas.microsoft.com/office/2006/documentManagement/types"/>
    <ds:schemaRef ds:uri="http://purl.org/dc/dcmitype/"/>
    <ds:schemaRef ds:uri="http://schemas.microsoft.com/office/2006/metadata/properties"/>
    <ds:schemaRef ds:uri="http://purl.org/dc/terms/"/>
    <ds:schemaRef ds:uri="4d435f69-8686-490b-bd6d-b153bf22ab50"/>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2020-09-29T20:34:13Z</cp:lastPrinted>
  <dcterms:created xsi:type="dcterms:W3CDTF">2003-10-29T19:06:34Z</dcterms:created>
  <dcterms:modified xsi:type="dcterms:W3CDTF">2020-10-03T15:21:13Z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